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15" windowWidth="19875" windowHeight="7725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3378" i="1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<sst xmlns="http://schemas.openxmlformats.org/spreadsheetml/2006/main" count="65143" uniqueCount="3107">
  <si>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</si>
  <si>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</si>
  <si>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</si>
  <si>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</si>
  <si>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</si>
  <si>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</si>
  <si>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</si>
  <si>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</si>
  <si>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</si>
  <si>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</si>
  <si>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</si>
  <si>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</si>
  <si>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</si>
  <si>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</si>
  <si>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</si>
  <si>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</si>
  <si>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</si>
  <si>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</si>
  <si>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</si>
  <si>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</si>
  <si>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</si>
  <si>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</si>
  <si>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</si>
  <si>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</si>
  <si>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</si>
  <si>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</si>
  <si>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</si>
  <si>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</si>
  <si>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</si>
  <si>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</si>
  <si>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</si>
  <si>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</si>
  <si>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</si>
  <si>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</si>
  <si>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</si>
  <si>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</si>
  <si>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</si>
  <si>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</si>
  <si>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</si>
  <si>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</si>
  <si>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</si>
  <si>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</si>
  <si>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</si>
  <si>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</si>
  <si>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</si>
  <si>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</si>
  <si>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</si>
  <si>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</si>
  <si>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</si>
  <si>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</si>
  <si>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</si>
  <si>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</si>
  <si>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</si>
  <si>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</si>
  <si>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</si>
  <si>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</si>
  <si>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</si>
  <si>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</si>
  <si>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</si>
  <si>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</si>
  <si>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</si>
  <si>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</si>
  <si>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</si>
  <si>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</si>
  <si>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</si>
  <si>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</si>
  <si>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</si>
  <si>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</si>
  <si>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</si>
  <si>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</si>
  <si>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</si>
  <si>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</si>
  <si>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</si>
  <si>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</si>
  <si>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</si>
  <si>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</si>
  <si>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</si>
  <si>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</si>
  <si>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SASOL</t>
  </si>
  <si>
    <t>SASOLBURG</t>
  </si>
  <si>
    <t xml:space="preserve">SASOL CHEMICALS SA                 </t>
  </si>
  <si>
    <t>RD</t>
  </si>
  <si>
    <t>RECEIVING</t>
  </si>
  <si>
    <t>ABRAM MACHAKA</t>
  </si>
  <si>
    <t>tladi</t>
  </si>
  <si>
    <t>yes</t>
  </si>
  <si>
    <t>POD received from cell 0714137462 M</t>
  </si>
  <si>
    <t>BOX</t>
  </si>
  <si>
    <t>RDD</t>
  </si>
  <si>
    <t>no</t>
  </si>
  <si>
    <t>SPRI3</t>
  </si>
  <si>
    <t>SPRINGS</t>
  </si>
  <si>
    <t xml:space="preserve">BEVCAN                             </t>
  </si>
  <si>
    <t>MPHO</t>
  </si>
  <si>
    <t>POD received from cell 0612827599 M</t>
  </si>
  <si>
    <t>PARCEL</t>
  </si>
  <si>
    <t>RDL</t>
  </si>
  <si>
    <t xml:space="preserve">Festo                              </t>
  </si>
  <si>
    <t>PIET1</t>
  </si>
  <si>
    <t>PIETERMARITZBURG</t>
  </si>
  <si>
    <t xml:space="preserve">COMMUTER TRANSPORT ENGINEERING     </t>
  </si>
  <si>
    <t>ON1</t>
  </si>
  <si>
    <t>Receiving</t>
  </si>
  <si>
    <t>Abram Machaka</t>
  </si>
  <si>
    <t>Bongiwe</t>
  </si>
  <si>
    <t>POD received from cell 0720159564 M</t>
  </si>
  <si>
    <t>JOHAN</t>
  </si>
  <si>
    <t>JOHANNESBURG</t>
  </si>
  <si>
    <t xml:space="preserve">BEARING MAN GROUP                  </t>
  </si>
  <si>
    <t>KEEGAN</t>
  </si>
  <si>
    <t>POD received from cell 0844988662 M</t>
  </si>
  <si>
    <t>DESPA</t>
  </si>
  <si>
    <t>DESPATCH</t>
  </si>
  <si>
    <t xml:space="preserve">DKT   PARTNERS                     </t>
  </si>
  <si>
    <t>ILLEG</t>
  </si>
  <si>
    <t>BOKSB</t>
  </si>
  <si>
    <t>BOKSBURG</t>
  </si>
  <si>
    <t xml:space="preserve">CULINARY A DIV OF TIGER CONSUM     </t>
  </si>
  <si>
    <t>moses</t>
  </si>
  <si>
    <t>POD received from cell 0732937434 M</t>
  </si>
  <si>
    <t>Flyer</t>
  </si>
  <si>
    <t>DELMA</t>
  </si>
  <si>
    <t>DELMAS</t>
  </si>
  <si>
    <t xml:space="preserve">MCCAIN FOOD SOUTH AFRICA PTY L     </t>
  </si>
  <si>
    <t>WINDY</t>
  </si>
  <si>
    <t>DURBA</t>
  </si>
  <si>
    <t>DURBAN</t>
  </si>
  <si>
    <t xml:space="preserve">BAGTECH INTERNATIONAL PTY LTD      </t>
  </si>
  <si>
    <t>RECIEVING</t>
  </si>
  <si>
    <t>Jason</t>
  </si>
  <si>
    <t>POD received from cell 0620923972 M</t>
  </si>
  <si>
    <t>UMHLA</t>
  </si>
  <si>
    <t>UMHLANGA ROCKS</t>
  </si>
  <si>
    <t xml:space="preserve">FILTEC AUTOMATION PTY LTD          </t>
  </si>
  <si>
    <t>shaun</t>
  </si>
  <si>
    <t>POD received from cell 0767999848 M</t>
  </si>
  <si>
    <t>PORT3</t>
  </si>
  <si>
    <t>PORT ELIZABETH</t>
  </si>
  <si>
    <t xml:space="preserve">JENDAMARK AUTOMATION PTY LTD       </t>
  </si>
  <si>
    <t>carristen</t>
  </si>
  <si>
    <t>POD received from cell 0835101103 M</t>
  </si>
  <si>
    <t xml:space="preserve">CONLOG PTY LTD                     </t>
  </si>
  <si>
    <t>RECEIVER</t>
  </si>
  <si>
    <t>deon</t>
  </si>
  <si>
    <t>POD received from cell 0619314610 M</t>
  </si>
  <si>
    <t>EAST</t>
  </si>
  <si>
    <t>EAST LONDON</t>
  </si>
  <si>
    <t xml:space="preserve">PHARMACARE LTD T A ASPEN           </t>
  </si>
  <si>
    <t>andiswa</t>
  </si>
  <si>
    <t>Late linehaul</t>
  </si>
  <si>
    <t>nos</t>
  </si>
  <si>
    <t>POD received from cell 0732611486 M</t>
  </si>
  <si>
    <t>GERMI</t>
  </si>
  <si>
    <t>GERMISTON</t>
  </si>
  <si>
    <t xml:space="preserve">AVENG TRIDENT STEEL ADIVISION      </t>
  </si>
  <si>
    <t>MBONGENI</t>
  </si>
  <si>
    <t>Driver late</t>
  </si>
  <si>
    <t>TSE</t>
  </si>
  <si>
    <t>PRETO</t>
  </si>
  <si>
    <t>PRETORIA</t>
  </si>
  <si>
    <t xml:space="preserve">RCL FOODS SUGAR   MILLING          </t>
  </si>
  <si>
    <t>PATRICK</t>
  </si>
  <si>
    <t>ALBE2</t>
  </si>
  <si>
    <t>ALBERTON</t>
  </si>
  <si>
    <t xml:space="preserve">THE SOUTH AFRICAN BREWERIES LT     </t>
  </si>
  <si>
    <t>THEMBA</t>
  </si>
  <si>
    <t xml:space="preserve">GATEWAY TECHNICAL CC               </t>
  </si>
  <si>
    <t>E DIAS</t>
  </si>
  <si>
    <t>PINET</t>
  </si>
  <si>
    <t>PINETOWN</t>
  </si>
  <si>
    <t xml:space="preserve">NATIONAL PACKAGING SYSTEMS         </t>
  </si>
  <si>
    <t>G LUNDALL</t>
  </si>
  <si>
    <t>POD received from cell 0733966806 M</t>
  </si>
  <si>
    <t>CAPET</t>
  </si>
  <si>
    <t>CAPE TOWN</t>
  </si>
  <si>
    <t xml:space="preserve">HYDROMATIC                         </t>
  </si>
  <si>
    <t>Randall</t>
  </si>
  <si>
    <t>POD received from cell 0738058187 M</t>
  </si>
  <si>
    <t xml:space="preserve">CONTINENTAL TYRE SA                </t>
  </si>
  <si>
    <t>Richard</t>
  </si>
  <si>
    <t>POD received from cell 0606552064 M</t>
  </si>
  <si>
    <t xml:space="preserve">SMA ENGINEERING S.A. (PTY) LTD     </t>
  </si>
  <si>
    <t xml:space="preserve">Stephanie                     </t>
  </si>
  <si>
    <t xml:space="preserve">POD received from cell 0723415494 M     </t>
  </si>
  <si>
    <t xml:space="preserve">AUTO INDUSTRIAL MACHINING          </t>
  </si>
  <si>
    <t>?</t>
  </si>
  <si>
    <t xml:space="preserve">SAR ELECTRONIC SA PTY LTD          </t>
  </si>
  <si>
    <t>RECIEVER</t>
  </si>
  <si>
    <t>friddah</t>
  </si>
  <si>
    <t>VERWO</t>
  </si>
  <si>
    <t>CENTURION</t>
  </si>
  <si>
    <t xml:space="preserve">ROBOTIC INNOVATIONS PTY            </t>
  </si>
  <si>
    <t>MARGARET</t>
  </si>
  <si>
    <t>dumi</t>
  </si>
  <si>
    <t>DANIE</t>
  </si>
  <si>
    <t>DANIELSKUIL</t>
  </si>
  <si>
    <t xml:space="preserve">IDWALA INDUSTRIAL HOLDINGS LTD     </t>
  </si>
  <si>
    <t>E P</t>
  </si>
  <si>
    <t>POD received from cell 0735070302 M</t>
  </si>
  <si>
    <t xml:space="preserve">S.A. MINT                          </t>
  </si>
  <si>
    <t>illeg</t>
  </si>
  <si>
    <t xml:space="preserve">BEARING   HYDRAULIC SPARES         </t>
  </si>
  <si>
    <t>ELEANOR</t>
  </si>
  <si>
    <t>POD received from cell 0628919084 M</t>
  </si>
  <si>
    <t xml:space="preserve">AEL MINING SERVICES LIMITED        </t>
  </si>
  <si>
    <t>SIGNATURE</t>
  </si>
  <si>
    <t>POD received from cell 0766412100 M</t>
  </si>
  <si>
    <t>AMANZ</t>
  </si>
  <si>
    <t>AMANZIMTOTI</t>
  </si>
  <si>
    <t xml:space="preserve">DIGN ENGINEERING PTY LTD           </t>
  </si>
  <si>
    <t>r nzama</t>
  </si>
  <si>
    <t>POD received from cell 0717313860 M</t>
  </si>
  <si>
    <t>PAARL</t>
  </si>
  <si>
    <t xml:space="preserve">FILMATIC PACKAGING SYSTEM (PTY     </t>
  </si>
  <si>
    <t xml:space="preserve">INTAKA TECH PTY LTD                </t>
  </si>
  <si>
    <t>MARCELINO</t>
  </si>
  <si>
    <t>POD received from cell 0736814363 M</t>
  </si>
  <si>
    <t xml:space="preserve">MAHLE BEHR SOUTH AFRCA (PTY) L     </t>
  </si>
  <si>
    <t>thobile</t>
  </si>
  <si>
    <t>col</t>
  </si>
  <si>
    <t>POD received from cell 0625063292 M</t>
  </si>
  <si>
    <t>ISIPI</t>
  </si>
  <si>
    <t>ISIPINGO</t>
  </si>
  <si>
    <t xml:space="preserve">ACAP HYDRO PNEUMATIC SUPPLY CC     </t>
  </si>
  <si>
    <t>louis</t>
  </si>
  <si>
    <t>POD received from cell 0813484700 M</t>
  </si>
  <si>
    <t xml:space="preserve">HULAMIN OPERATIONTS PTY LTD        </t>
  </si>
  <si>
    <t>Busi</t>
  </si>
  <si>
    <t xml:space="preserve">COMPRESSED AIR EQUIPMENT           </t>
  </si>
  <si>
    <t>Recieving</t>
  </si>
  <si>
    <t>noma</t>
  </si>
  <si>
    <t>POD received from cell 0848255037 M</t>
  </si>
  <si>
    <t xml:space="preserve">ROBOTIC HANDLING SYSTEM Cc         </t>
  </si>
  <si>
    <t>Tony</t>
  </si>
  <si>
    <t>POD received from cell 0746644640 M</t>
  </si>
  <si>
    <t>UGIE</t>
  </si>
  <si>
    <t xml:space="preserve">PG BISON PTY LTD UGIE BOARD PL     </t>
  </si>
  <si>
    <t>ricardo</t>
  </si>
  <si>
    <t>RUSTE</t>
  </si>
  <si>
    <t>RUSTENBURG</t>
  </si>
  <si>
    <t xml:space="preserve">SUNBAKE                            </t>
  </si>
  <si>
    <t xml:space="preserve">PFG BUILDING GLASS                 </t>
  </si>
  <si>
    <t>RHONA</t>
  </si>
  <si>
    <t xml:space="preserve">MAIN STREET 1310 PTY LTD           </t>
  </si>
  <si>
    <t>NOEL KING</t>
  </si>
  <si>
    <t>BULELWA</t>
  </si>
  <si>
    <t>NGF</t>
  </si>
  <si>
    <t>POD received from cell 0761190287 M</t>
  </si>
  <si>
    <t xml:space="preserve">FINLAR FINE FOODS (PTY) LTD        </t>
  </si>
  <si>
    <t>CRAIG</t>
  </si>
  <si>
    <t>Eugene</t>
  </si>
  <si>
    <t xml:space="preserve">HERAEUS ELECTRO NITE               </t>
  </si>
  <si>
    <t>priscilla</t>
  </si>
  <si>
    <t>VANDE</t>
  </si>
  <si>
    <t>VANDERBIJLPARK</t>
  </si>
  <si>
    <t xml:space="preserve">CAPE GATE                          </t>
  </si>
  <si>
    <t>Meshack</t>
  </si>
  <si>
    <t>POD received from cell 0825884890 M</t>
  </si>
  <si>
    <t xml:space="preserve">FORD MOTOR CO. SA MANUFACTURIN     </t>
  </si>
  <si>
    <t xml:space="preserve">VC AUTOMATION   INDUSTRIAL CON     </t>
  </si>
  <si>
    <t>Vernon</t>
  </si>
  <si>
    <t>POD received from cell 08368999932 M</t>
  </si>
  <si>
    <t>UITEN</t>
  </si>
  <si>
    <t>UITENHAGE</t>
  </si>
  <si>
    <t xml:space="preserve">BENTELER AUTOMOTIVE SA (PTY) L     </t>
  </si>
  <si>
    <t>MARK</t>
  </si>
  <si>
    <t>POD received from cell 0815112382 M</t>
  </si>
  <si>
    <t>grant</t>
  </si>
  <si>
    <t xml:space="preserve">carista                       </t>
  </si>
  <si>
    <t xml:space="preserve">POD received from cell 0783894189 M     </t>
  </si>
  <si>
    <t>Parcel Parcel</t>
  </si>
  <si>
    <t>RD2</t>
  </si>
  <si>
    <t>NIGEL</t>
  </si>
  <si>
    <t xml:space="preserve">ALSTOM UBUNYE                      </t>
  </si>
  <si>
    <t>NOMSA MHLONGO</t>
  </si>
  <si>
    <t>SIPHO</t>
  </si>
  <si>
    <t>amt</t>
  </si>
  <si>
    <t>RANDB</t>
  </si>
  <si>
    <t>RANDBURG</t>
  </si>
  <si>
    <t xml:space="preserve">CLYDE BERGEMAN AFRICA (PTY)LTD     </t>
  </si>
  <si>
    <t>JACQUES FOURIE</t>
  </si>
  <si>
    <t>SIFISO</t>
  </si>
  <si>
    <t>BOX BOX</t>
  </si>
  <si>
    <t xml:space="preserve">UNILIVER SA                        </t>
  </si>
  <si>
    <t>PARCEL PARCEL PARCEL PARCEL Flyer</t>
  </si>
  <si>
    <t>preto</t>
  </si>
  <si>
    <t xml:space="preserve">DALEIN AGRI PLAN PTY LTD           </t>
  </si>
  <si>
    <t>trevor</t>
  </si>
  <si>
    <t>PARCEL PARCEL</t>
  </si>
  <si>
    <t>RDR</t>
  </si>
  <si>
    <t xml:space="preserve">COMPRESSED AIR                     </t>
  </si>
  <si>
    <t xml:space="preserve">BINGO                         </t>
  </si>
  <si>
    <t>GGS</t>
  </si>
  <si>
    <t xml:space="preserve">                                        </t>
  </si>
  <si>
    <t>rdd</t>
  </si>
  <si>
    <t>HAMMA</t>
  </si>
  <si>
    <t>HAMMANSKRAAL</t>
  </si>
  <si>
    <t xml:space="preserve">BADER SA PTY LTD                   </t>
  </si>
  <si>
    <t>TEBOGO BAPELA</t>
  </si>
  <si>
    <t>suzan</t>
  </si>
  <si>
    <t xml:space="preserve">ATC INNOVATION (PTY) LTD           </t>
  </si>
  <si>
    <t>alfred</t>
  </si>
  <si>
    <t>FRAGILE OIL</t>
  </si>
  <si>
    <t>SIG</t>
  </si>
  <si>
    <t>BRONK</t>
  </si>
  <si>
    <t>BRONKHORSTSPRUIT</t>
  </si>
  <si>
    <t xml:space="preserve">SASOL DYNO NOBEL PTY LTD           </t>
  </si>
  <si>
    <t>james</t>
  </si>
  <si>
    <t>POD received from cell 0630596429 M</t>
  </si>
  <si>
    <t xml:space="preserve">PREMIER FMCG                       </t>
  </si>
  <si>
    <t>BELINDA</t>
  </si>
  <si>
    <t>PALLET PALLET</t>
  </si>
  <si>
    <t>carista</t>
  </si>
  <si>
    <t>Missed cutoff</t>
  </si>
  <si>
    <t>NLG</t>
  </si>
  <si>
    <t>POD received from cell 0783894189 M</t>
  </si>
  <si>
    <t>PARCEL PARCEL Flyer</t>
  </si>
  <si>
    <t xml:space="preserve">DIRECTECH                          </t>
  </si>
  <si>
    <t>DAVID STRYDOM</t>
  </si>
  <si>
    <t>MASHUDU</t>
  </si>
  <si>
    <t>POD received from cell 0729209886 M</t>
  </si>
  <si>
    <t>ferddah</t>
  </si>
  <si>
    <t>POD received from cell 0826688138 M</t>
  </si>
  <si>
    <t xml:space="preserve">HYFLO SOUTHERN AFRICA (PTY) LT     </t>
  </si>
  <si>
    <t>mark</t>
  </si>
  <si>
    <t>VEREE</t>
  </si>
  <si>
    <t>VEREENIGING</t>
  </si>
  <si>
    <t xml:space="preserve">CHEMLINK SA (PTY) LTD              </t>
  </si>
  <si>
    <t>ANDREW</t>
  </si>
  <si>
    <t>POD received from cell 0782359829 M</t>
  </si>
  <si>
    <t xml:space="preserve">RISHABA TRADING CC                 </t>
  </si>
  <si>
    <t>ARNEAL RAMJAS</t>
  </si>
  <si>
    <t>a ramjas</t>
  </si>
  <si>
    <t xml:space="preserve">FEDERAL MOGUL SEALING SYSTEMS      </t>
  </si>
  <si>
    <t>QUINTIN</t>
  </si>
  <si>
    <t>farieda</t>
  </si>
  <si>
    <t xml:space="preserve">NGOLOVAN CC                        </t>
  </si>
  <si>
    <t>POD received from cell 0631962221 M</t>
  </si>
  <si>
    <t xml:space="preserve">VEES AUTOMATIVE PIPES   FITTIN     </t>
  </si>
  <si>
    <t>ON2</t>
  </si>
  <si>
    <t>GRAHA</t>
  </si>
  <si>
    <t>GRAHAMSTOWN</t>
  </si>
  <si>
    <t xml:space="preserve">GRAHAMSTOWN BRICK PTL LTD          </t>
  </si>
  <si>
    <t>HEIMISH</t>
  </si>
  <si>
    <t>HANNES</t>
  </si>
  <si>
    <t>ANDRE</t>
  </si>
  <si>
    <t>LUCKY</t>
  </si>
  <si>
    <t>POD received from cell 0836743353 M</t>
  </si>
  <si>
    <t>mandipho</t>
  </si>
  <si>
    <t xml:space="preserve">BIO CAPSULE PHARMACEUTICALS        </t>
  </si>
  <si>
    <t>HANS</t>
  </si>
  <si>
    <t xml:space="preserve">PNEUMATIC AID                      </t>
  </si>
  <si>
    <t>rd1</t>
  </si>
  <si>
    <t xml:space="preserve">BARNES REINFORCING INDUSTRIES      </t>
  </si>
  <si>
    <t>lucas</t>
  </si>
  <si>
    <t>POD received from cell 0837323487 M</t>
  </si>
  <si>
    <t>Parcel</t>
  </si>
  <si>
    <t xml:space="preserve">TIGER CONSUMER BRANDS              </t>
  </si>
  <si>
    <t>CECIL</t>
  </si>
  <si>
    <t>Merle</t>
  </si>
  <si>
    <t>POD received from cell 0814169974 M</t>
  </si>
  <si>
    <t>Samson</t>
  </si>
  <si>
    <t>POD received from cell 0729919507 M</t>
  </si>
  <si>
    <t xml:space="preserve">ACK SOLUTIONS                      </t>
  </si>
  <si>
    <t>.</t>
  </si>
  <si>
    <t>yolande</t>
  </si>
  <si>
    <t>POD received from cell 0739524922 M</t>
  </si>
  <si>
    <t>keenan</t>
  </si>
  <si>
    <t>jmm</t>
  </si>
  <si>
    <t>reegan</t>
  </si>
  <si>
    <t xml:space="preserve">H.G MOLENAAR (PTY) LTD             </t>
  </si>
  <si>
    <t>werner</t>
  </si>
  <si>
    <t xml:space="preserve">ROBOTIC HANDELING                  </t>
  </si>
  <si>
    <t>FESTO</t>
  </si>
  <si>
    <t>ROBOTIC HANDELING</t>
  </si>
  <si>
    <t>yolanda</t>
  </si>
  <si>
    <t xml:space="preserve">Liqui Box                          </t>
  </si>
  <si>
    <t>jarred</t>
  </si>
  <si>
    <t>POD received from cell 0763378994 M</t>
  </si>
  <si>
    <t xml:space="preserve">VICTOR FORTUNE (PTY)LTD            </t>
  </si>
  <si>
    <t>MM Panaino</t>
  </si>
  <si>
    <t xml:space="preserve">FESTO CPT                          </t>
  </si>
  <si>
    <t>PIETER RAUBENHEIMER</t>
  </si>
  <si>
    <t>Flyer Flyer</t>
  </si>
  <si>
    <t xml:space="preserve">AVENG GRINAKED LTA PTY LTD         </t>
  </si>
  <si>
    <t>themba</t>
  </si>
  <si>
    <t>POD received from cell 0837842726 M</t>
  </si>
  <si>
    <t xml:space="preserve">COCA COLA SHANDUKA BEVERAGES       </t>
  </si>
  <si>
    <t>nicky</t>
  </si>
  <si>
    <t>POD received from cell 0787128822 M</t>
  </si>
  <si>
    <t>JABULANI MAKAMU</t>
  </si>
  <si>
    <t>Rene</t>
  </si>
  <si>
    <t>POD received from cell 0810382830 M</t>
  </si>
  <si>
    <t xml:space="preserve">ACEPAK PACKAGING SYSTEMS           </t>
  </si>
  <si>
    <t>wilbur</t>
  </si>
  <si>
    <t>POD received from cell 0838564279 M</t>
  </si>
  <si>
    <t xml:space="preserve">MULTOTEC MANUFACTURING             </t>
  </si>
  <si>
    <t>muriel</t>
  </si>
  <si>
    <t xml:space="preserve">R.A. DISTRIBUTORS CC               </t>
  </si>
  <si>
    <t>EUGENE</t>
  </si>
  <si>
    <t>POD received from cell 0723863877 M</t>
  </si>
  <si>
    <t>GELUK</t>
  </si>
  <si>
    <t>GELUKWAARTS</t>
  </si>
  <si>
    <t xml:space="preserve">PREMIER FMCG (PTY) LTD             </t>
  </si>
  <si>
    <t>cecilia</t>
  </si>
  <si>
    <t xml:space="preserve">BUHLER PTY LTD                     </t>
  </si>
  <si>
    <t>MOSES MATHE</t>
  </si>
  <si>
    <t xml:space="preserve">EUGENE                        </t>
  </si>
  <si>
    <t xml:space="preserve">POD received from cell 0729209886 M     </t>
  </si>
  <si>
    <t xml:space="preserve">Paardman Foods                     </t>
  </si>
  <si>
    <t>sarah</t>
  </si>
  <si>
    <t>cha</t>
  </si>
  <si>
    <t>POD received from cell 0607269284 M</t>
  </si>
  <si>
    <t xml:space="preserve">DCD -  RINGROLLERS DIV OF DORB     </t>
  </si>
  <si>
    <t>BM NKUMALO</t>
  </si>
  <si>
    <t>ASHTO</t>
  </si>
  <si>
    <t>ASHTON</t>
  </si>
  <si>
    <t xml:space="preserve">LANGEBERG   ASHTON FOODS           </t>
  </si>
  <si>
    <t xml:space="preserve">haizel                        </t>
  </si>
  <si>
    <t xml:space="preserve">WASSERTEC OZONE SYSTEMS            </t>
  </si>
  <si>
    <t xml:space="preserve">chuma                         </t>
  </si>
  <si>
    <t xml:space="preserve">POD received from cell 0736814363 M     </t>
  </si>
  <si>
    <t>BRAKP</t>
  </si>
  <si>
    <t>BRAKPAN</t>
  </si>
  <si>
    <t xml:space="preserve">TUPPERWARE SA                      </t>
  </si>
  <si>
    <t>Jacob</t>
  </si>
  <si>
    <t>POD received from cell 0625670357 M</t>
  </si>
  <si>
    <t xml:space="preserve">DE BEERS GROUP SERVICES            </t>
  </si>
  <si>
    <t>SIGNED</t>
  </si>
  <si>
    <t>POD received from cell 0739633425 M</t>
  </si>
  <si>
    <t xml:space="preserve">I M E SA                           </t>
  </si>
  <si>
    <t>MARIA FERREIRA</t>
  </si>
  <si>
    <t xml:space="preserve">SIGNATURE                     </t>
  </si>
  <si>
    <t xml:space="preserve">VICTORY ELECTRICAL CC              </t>
  </si>
  <si>
    <t>nyasha</t>
  </si>
  <si>
    <t xml:space="preserve">HENRED FRUEHAUF PART DIV TRAIL     </t>
  </si>
  <si>
    <t>martie</t>
  </si>
  <si>
    <t>Consignee not available)</t>
  </si>
  <si>
    <t>RMA</t>
  </si>
  <si>
    <t>POD received from cell 0768370739 M</t>
  </si>
  <si>
    <t>RANDF</t>
  </si>
  <si>
    <t>RANDFONTEIN</t>
  </si>
  <si>
    <t xml:space="preserve">RCL FOODCORP (PTY) LTD             </t>
  </si>
  <si>
    <t>ENNA</t>
  </si>
  <si>
    <t xml:space="preserve">PRIDE MILLING CO PTY LTD           </t>
  </si>
  <si>
    <t>marlene</t>
  </si>
  <si>
    <t xml:space="preserve">SCHAEFFLER SOUTH AFRICA            </t>
  </si>
  <si>
    <t xml:space="preserve">siziwe                        </t>
  </si>
  <si>
    <t xml:space="preserve">POD received from cell 0835101103 M     </t>
  </si>
  <si>
    <t>ROODE</t>
  </si>
  <si>
    <t>ROODEPOORT</t>
  </si>
  <si>
    <t xml:space="preserve">HARVARD PROJECTS                   </t>
  </si>
  <si>
    <t>SHIREEN</t>
  </si>
  <si>
    <t>POD received from cell 0791194308 M</t>
  </si>
  <si>
    <t xml:space="preserve">L OREAL MANUFACTURING (PTY)LTD     </t>
  </si>
  <si>
    <t>DIPUO</t>
  </si>
  <si>
    <t>bem</t>
  </si>
  <si>
    <t>POD received from cell 0761383282 M</t>
  </si>
  <si>
    <t xml:space="preserve">PRODUCTION PLANT                   </t>
  </si>
  <si>
    <t>absalom</t>
  </si>
  <si>
    <t xml:space="preserve">MARLYN INSTRUMENTATION CC          </t>
  </si>
  <si>
    <t>NATASHA</t>
  </si>
  <si>
    <t>SOME2</t>
  </si>
  <si>
    <t>SOMERSET WEST</t>
  </si>
  <si>
    <t xml:space="preserve">GOSSAMER STRUCTURES CC             </t>
  </si>
  <si>
    <t>LOUW</t>
  </si>
  <si>
    <t>JANINE</t>
  </si>
  <si>
    <t xml:space="preserve">INDLOVU INSTRUMENTATION SUPPLI     </t>
  </si>
  <si>
    <t>ELOEL</t>
  </si>
  <si>
    <t>POD received from cell 0833656676 M</t>
  </si>
  <si>
    <t xml:space="preserve">FESTO ELS                          </t>
  </si>
  <si>
    <t>Outlying delivery location</t>
  </si>
  <si>
    <t xml:space="preserve">QUALITECHS                         </t>
  </si>
  <si>
    <t>sam williams</t>
  </si>
  <si>
    <t>samy</t>
  </si>
  <si>
    <t xml:space="preserve">ALBANY BAKERIES                    </t>
  </si>
  <si>
    <t>DIRK COETZEE</t>
  </si>
  <si>
    <t xml:space="preserve">Anna                          </t>
  </si>
  <si>
    <t xml:space="preserve">POD received from cell 0714137462 M     </t>
  </si>
  <si>
    <t xml:space="preserve">ASH RESOURCES                      </t>
  </si>
  <si>
    <t>WILLEM</t>
  </si>
  <si>
    <t>POD received from cell 0731292266 M</t>
  </si>
  <si>
    <t xml:space="preserve">B.T. ENTERPRISES                   </t>
  </si>
  <si>
    <t>THUTHUKANI</t>
  </si>
  <si>
    <t xml:space="preserve">AUTOMA MULTI STYRENE               </t>
  </si>
  <si>
    <t>DEBRA</t>
  </si>
  <si>
    <t>POD received from cell 0738698647 M</t>
  </si>
  <si>
    <t xml:space="preserve">NIORO PLASTICS                     </t>
  </si>
  <si>
    <t xml:space="preserve">cindi                         </t>
  </si>
  <si>
    <t xml:space="preserve">POD received from cell 0607269284 M     </t>
  </si>
  <si>
    <t>HAMME</t>
  </si>
  <si>
    <t>OLD HAMMARSDALE</t>
  </si>
  <si>
    <t xml:space="preserve">RCL FOODS CONSUMER (PTY)LTD        </t>
  </si>
  <si>
    <t>vukani</t>
  </si>
  <si>
    <t>POD received from cell 0795396044 M</t>
  </si>
  <si>
    <t xml:space="preserve">TIGER CONSUMER BRANDS LTD T A      </t>
  </si>
  <si>
    <t>helen</t>
  </si>
  <si>
    <t>POD received from cell 0732912108 M</t>
  </si>
  <si>
    <t xml:space="preserve">SUPERIOR PACKAGING INDUSTRIES      </t>
  </si>
  <si>
    <t>MIKE</t>
  </si>
  <si>
    <t>Micaela</t>
  </si>
  <si>
    <t xml:space="preserve">ALPHAPAX PACKAGING CC              </t>
  </si>
  <si>
    <t>KALLIE</t>
  </si>
  <si>
    <t xml:space="preserve">FESTIVE A DIV OF ASTRAL OPERAT     </t>
  </si>
  <si>
    <t>SIZWE</t>
  </si>
  <si>
    <t xml:space="preserve">HYBRID AUTOMATION CC               </t>
  </si>
  <si>
    <t>rebekah</t>
  </si>
  <si>
    <t>POD received from cell 0648706753 M</t>
  </si>
  <si>
    <t xml:space="preserve">PAARL PNEUMATICS CC                </t>
  </si>
  <si>
    <t>GRANT</t>
  </si>
  <si>
    <t>POD received from cell 0640497784 M</t>
  </si>
  <si>
    <t xml:space="preserve">AFGRI POULTRY (PTY)LTD             </t>
  </si>
  <si>
    <t>ILLEGE</t>
  </si>
  <si>
    <t>pph</t>
  </si>
  <si>
    <t xml:space="preserve">UNILEVER SOUTH AFRICA (PTY) LT     </t>
  </si>
  <si>
    <t>RECEVING   STORE</t>
  </si>
  <si>
    <t>pamela</t>
  </si>
  <si>
    <t xml:space="preserve">B M S C ENGINEERING CC             </t>
  </si>
  <si>
    <t>HELMIE</t>
  </si>
  <si>
    <t>THULANI</t>
  </si>
  <si>
    <t>POD received from cell 0820536959 M</t>
  </si>
  <si>
    <t>GEORG</t>
  </si>
  <si>
    <t>GEORGE</t>
  </si>
  <si>
    <t xml:space="preserve">SANMIK AGENCIES CC                 </t>
  </si>
  <si>
    <t>Theo</t>
  </si>
  <si>
    <t>POD received from cell 0792881349 M</t>
  </si>
  <si>
    <t>WORCE</t>
  </si>
  <si>
    <t>WORCESTER</t>
  </si>
  <si>
    <t xml:space="preserve">RCL FOODS CONSUMER PTY             </t>
  </si>
  <si>
    <t>danre</t>
  </si>
  <si>
    <t>POD received from cell 0723786860 M</t>
  </si>
  <si>
    <t>garry</t>
  </si>
  <si>
    <t>POD received from cell 0729460926 M</t>
  </si>
  <si>
    <t xml:space="preserve">PARMALAT (PTY) LTD                 </t>
  </si>
  <si>
    <t>SCHALK LOEDOLFF</t>
  </si>
  <si>
    <t>sherman</t>
  </si>
  <si>
    <t>JARROD</t>
  </si>
  <si>
    <t>POD received from cell 0625964993 M</t>
  </si>
  <si>
    <t>Werner</t>
  </si>
  <si>
    <t xml:space="preserve">illeg                         </t>
  </si>
  <si>
    <t xml:space="preserve">FESTO PLZ                          </t>
  </si>
  <si>
    <t>BARRY JANE</t>
  </si>
  <si>
    <t>POD received from cell 0763756553 M</t>
  </si>
  <si>
    <t xml:space="preserve">PROMAX                             </t>
  </si>
  <si>
    <t xml:space="preserve">Marenique                     </t>
  </si>
  <si>
    <t xml:space="preserve">POD received from cell 0780245853 M     </t>
  </si>
  <si>
    <t>Richman</t>
  </si>
  <si>
    <t>BENON</t>
  </si>
  <si>
    <t>BENONI</t>
  </si>
  <si>
    <t xml:space="preserve">WICTRA HOLDINGS PTY                </t>
  </si>
  <si>
    <t>collies</t>
  </si>
  <si>
    <t>ESTCO</t>
  </si>
  <si>
    <t>ESTCOURT</t>
  </si>
  <si>
    <t xml:space="preserve">NARROWTEX PTY LTD                  </t>
  </si>
  <si>
    <t>patrick</t>
  </si>
  <si>
    <t>POD received from cell 0849917765 M</t>
  </si>
  <si>
    <t>Ikeem</t>
  </si>
  <si>
    <t xml:space="preserve">NORTHFIELD ENGINEERING (PTY) L     </t>
  </si>
  <si>
    <t>KEVIN VAN ROOYEN</t>
  </si>
  <si>
    <t xml:space="preserve">ERNEST                        </t>
  </si>
  <si>
    <t xml:space="preserve">INTOCAST SA                        </t>
  </si>
  <si>
    <t>WICKUS PRETORIUS</t>
  </si>
  <si>
    <t>mellysa</t>
  </si>
  <si>
    <t>andrew</t>
  </si>
  <si>
    <t xml:space="preserve">BMW ROSSLYN                        </t>
  </si>
  <si>
    <t>mmd</t>
  </si>
  <si>
    <t>KRUGE</t>
  </si>
  <si>
    <t>KRUGERSDORP</t>
  </si>
  <si>
    <t xml:space="preserve">WATCH TOWER BIBLE TRACT SOCIET     </t>
  </si>
  <si>
    <t>GOLDEN</t>
  </si>
  <si>
    <t>POD received from cell 0734890643 M</t>
  </si>
  <si>
    <t xml:space="preserve">AUTOMATION TECHNIQUES              </t>
  </si>
  <si>
    <t>NITA</t>
  </si>
  <si>
    <t xml:space="preserve">DENEL VEHICLE SYSTEMS              </t>
  </si>
  <si>
    <t xml:space="preserve">MAVTECH                            </t>
  </si>
  <si>
    <t>neo</t>
  </si>
  <si>
    <t xml:space="preserve">MONDI LIMITED                      </t>
  </si>
  <si>
    <t>Anwar</t>
  </si>
  <si>
    <t>POD received from cell 0763492871 M</t>
  </si>
  <si>
    <t>ELIAS</t>
  </si>
  <si>
    <t xml:space="preserve">CLURE PROJECTS CC                  </t>
  </si>
  <si>
    <t>Keith</t>
  </si>
  <si>
    <t xml:space="preserve">MEGA-PAK                           </t>
  </si>
  <si>
    <t>LORNA</t>
  </si>
  <si>
    <t>SIGNATUE</t>
  </si>
  <si>
    <t xml:space="preserve">MEXAN PRODUCTS                     </t>
  </si>
  <si>
    <t>David</t>
  </si>
  <si>
    <t xml:space="preserve">UNILIVER SA PTY LTD                </t>
  </si>
  <si>
    <t xml:space="preserve">FESTO PRETORIA                     </t>
  </si>
  <si>
    <t>K Viljoen</t>
  </si>
  <si>
    <t>POD received from cell 0788931763 M</t>
  </si>
  <si>
    <t xml:space="preserve">ARREAU INDUSTRIES PTY LTD          </t>
  </si>
  <si>
    <t>LINDY LEE BEYERS</t>
  </si>
  <si>
    <t>ALLAN</t>
  </si>
  <si>
    <t>COL</t>
  </si>
  <si>
    <t>POD received from cell 0731520477 M</t>
  </si>
  <si>
    <t xml:space="preserve">CONSOL GLASS                       </t>
  </si>
  <si>
    <t>WILLIAM</t>
  </si>
  <si>
    <t>BETHL</t>
  </si>
  <si>
    <t>BETHLEHEM</t>
  </si>
  <si>
    <t xml:space="preserve">BUILD IT BETLHEHEM                 </t>
  </si>
  <si>
    <t>david</t>
  </si>
  <si>
    <t>POD received from cell 0731643511 M</t>
  </si>
  <si>
    <t xml:space="preserve">ADCOCK INGRAM HEALTHCARE           </t>
  </si>
  <si>
    <t>lorinda</t>
  </si>
  <si>
    <t>POD received from cell 0839805552 M</t>
  </si>
  <si>
    <t>SAMSON</t>
  </si>
  <si>
    <t xml:space="preserve">BELGOTEX FLOORCOVERINGS PTY LT     </t>
  </si>
  <si>
    <t>hoosen</t>
  </si>
  <si>
    <t xml:space="preserve">REHAU POLYMER PTY LTD              </t>
  </si>
  <si>
    <t xml:space="preserve">metomele                      </t>
  </si>
  <si>
    <t xml:space="preserve">POD received from cell 0833807574 M     </t>
  </si>
  <si>
    <t>c17924</t>
  </si>
  <si>
    <t xml:space="preserve">BOYSEN EXHAUST TECH                </t>
  </si>
  <si>
    <t>DEVON</t>
  </si>
  <si>
    <t xml:space="preserve">TECHTION CC                        </t>
  </si>
  <si>
    <t>GRAFF</t>
  </si>
  <si>
    <t xml:space="preserve">SKIRROW ENGINEERING SERIVICE       </t>
  </si>
  <si>
    <t xml:space="preserve">Kyle                          </t>
  </si>
  <si>
    <t xml:space="preserve">POD received from cell 0738698647 M     </t>
  </si>
  <si>
    <t xml:space="preserve">NON FERROUS METAL WORKS SA PTY     </t>
  </si>
  <si>
    <t>sandile</t>
  </si>
  <si>
    <t>FRANCINA</t>
  </si>
  <si>
    <t>Esethu</t>
  </si>
  <si>
    <t xml:space="preserve">MS INDUSTRIAL SUPPLIERS   DIST     </t>
  </si>
  <si>
    <t xml:space="preserve">anneline                      </t>
  </si>
  <si>
    <t xml:space="preserve">POD received from cell 0648706753 M     </t>
  </si>
  <si>
    <t xml:space="preserve">BOYSEN EXHAUST TECHNOLOGY RSA      </t>
  </si>
  <si>
    <t>Sikho</t>
  </si>
  <si>
    <t>POD received from cell 0723415494 M</t>
  </si>
  <si>
    <t xml:space="preserve">BLISS CHEMICALS PTY LTD            </t>
  </si>
  <si>
    <t>NAZEFA DAYA</t>
  </si>
  <si>
    <t>CHRISTINE</t>
  </si>
  <si>
    <t xml:space="preserve">RAPID INDUSTRIAL SUPPLIES PTY      </t>
  </si>
  <si>
    <t>NAVEEN CHETTY</t>
  </si>
  <si>
    <t>wesley</t>
  </si>
  <si>
    <t>C BOTHA</t>
  </si>
  <si>
    <t xml:space="preserve">ABERDER CABLES                     </t>
  </si>
  <si>
    <t>AOBAKWE</t>
  </si>
  <si>
    <t xml:space="preserve">ACCUTECH WEIGHING SERVICES         </t>
  </si>
  <si>
    <t>SAM</t>
  </si>
  <si>
    <t>JOSEPH</t>
  </si>
  <si>
    <t xml:space="preserve">BENTELER SA                        </t>
  </si>
  <si>
    <t xml:space="preserve">andrew                        </t>
  </si>
  <si>
    <t xml:space="preserve">POD received from cell 0844988662 M     </t>
  </si>
  <si>
    <t xml:space="preserve">COCA-COLA BEVERAGE SOUTH AFRIC     </t>
  </si>
  <si>
    <t>THULA</t>
  </si>
  <si>
    <t xml:space="preserve">MYKAS PLASTICS CC                  </t>
  </si>
  <si>
    <t>SULIMAN</t>
  </si>
  <si>
    <t xml:space="preserve">TUMI MOFOKENG                 </t>
  </si>
  <si>
    <t xml:space="preserve">FRONERI SOUTH AFRICA (PTY)LTD      </t>
  </si>
  <si>
    <t>BRIT1</t>
  </si>
  <si>
    <t>BRITS</t>
  </si>
  <si>
    <t xml:space="preserve">KROMBERG   SCHUBERT CABLE   WI     </t>
  </si>
  <si>
    <t>ANNATJIE VAN NIEKERK</t>
  </si>
  <si>
    <t>A VAN NIEKERK</t>
  </si>
  <si>
    <t>POD received from cell 0648706692 M</t>
  </si>
  <si>
    <t xml:space="preserve">SHATTERPRUFE TRADING               </t>
  </si>
  <si>
    <t>JANN SCHNEPEL</t>
  </si>
  <si>
    <t>sina</t>
  </si>
  <si>
    <t xml:space="preserve">ROV DURRANT ENGINEERING (PTY)      </t>
  </si>
  <si>
    <t>Barry</t>
  </si>
  <si>
    <t xml:space="preserve">TENNECO RIDE CONTROL SA            </t>
  </si>
  <si>
    <t xml:space="preserve">lifa                          </t>
  </si>
  <si>
    <t xml:space="preserve">NR EXTREME ENGINEERING   PIPIN     </t>
  </si>
  <si>
    <t>jenell</t>
  </si>
  <si>
    <t>POD received from cell 0823898478 M</t>
  </si>
  <si>
    <t>anni</t>
  </si>
  <si>
    <t>teb</t>
  </si>
  <si>
    <t>POD received from cell 0766143929 M</t>
  </si>
  <si>
    <t xml:space="preserve">EGLI PRECISION ENGINEERING PTY     </t>
  </si>
  <si>
    <t>Thushni</t>
  </si>
  <si>
    <t>Koki</t>
  </si>
  <si>
    <t xml:space="preserve">KIMBERLY CLARK                     </t>
  </si>
  <si>
    <t>mike</t>
  </si>
  <si>
    <t xml:space="preserve">BOSAL AFRIKA                       </t>
  </si>
  <si>
    <t>SUSAN VAN ASWEGEN</t>
  </si>
  <si>
    <t>l thomson</t>
  </si>
  <si>
    <t>POD received from cell 0796132179 M</t>
  </si>
  <si>
    <t xml:space="preserve">TONGAAT HULETT STARCH PTY LTD      </t>
  </si>
  <si>
    <t>MANIE ELS</t>
  </si>
  <si>
    <t>peter</t>
  </si>
  <si>
    <t>HUMAN</t>
  </si>
  <si>
    <t>HUMANSDORP</t>
  </si>
  <si>
    <t xml:space="preserve">WOODLANDS RESOURCE RECOVERY PL     </t>
  </si>
  <si>
    <t>ARNOLD KHOROMMBI</t>
  </si>
  <si>
    <t>SUDHIR</t>
  </si>
  <si>
    <t>Miranda</t>
  </si>
  <si>
    <t xml:space="preserve">TFM INDUSTRIES PTY LTD             </t>
  </si>
  <si>
    <t>DICKSON</t>
  </si>
  <si>
    <t xml:space="preserve">carristen                     </t>
  </si>
  <si>
    <t xml:space="preserve">BRADCHER INDUSTRIAL WHOLESALER     </t>
  </si>
  <si>
    <t>Wayne</t>
  </si>
  <si>
    <t>POD received from cell 0720332597 M</t>
  </si>
  <si>
    <t xml:space="preserve">WELFIT ODDY LTD                    </t>
  </si>
  <si>
    <t xml:space="preserve">NATIONAL BRANDS LTD BECKETTS       </t>
  </si>
  <si>
    <t>BEN PUDI</t>
  </si>
  <si>
    <t>Kenneth</t>
  </si>
  <si>
    <t xml:space="preserve">PROSEP CHEMICALS                   </t>
  </si>
  <si>
    <t>RIAAN</t>
  </si>
  <si>
    <t xml:space="preserve">FORD MOTORING CO OF SA             </t>
  </si>
  <si>
    <t xml:space="preserve">portia                        </t>
  </si>
  <si>
    <t xml:space="preserve">POD received from cell 0796132179 M     </t>
  </si>
  <si>
    <t>thando</t>
  </si>
  <si>
    <t xml:space="preserve">CW8 BRICKS                         </t>
  </si>
  <si>
    <t>J WOODROTTE</t>
  </si>
  <si>
    <t>Raymond</t>
  </si>
  <si>
    <t>PHINDIWE GABA</t>
  </si>
  <si>
    <t>MEMELA</t>
  </si>
  <si>
    <t xml:space="preserve">MERCEDES BENZ SOUTH AFRICA LIM     </t>
  </si>
  <si>
    <t>R STRYDOM</t>
  </si>
  <si>
    <t xml:space="preserve">G LUNDALL                     </t>
  </si>
  <si>
    <t xml:space="preserve">POD received from cell 0733966806 M     </t>
  </si>
  <si>
    <t>KLEI1</t>
  </si>
  <si>
    <t>KLEINBOS</t>
  </si>
  <si>
    <t xml:space="preserve">SWARTLAND BOUDIENSTE PTY LTD       </t>
  </si>
  <si>
    <t>CHARL</t>
  </si>
  <si>
    <t>FABIAN</t>
  </si>
  <si>
    <t xml:space="preserve">CIRCUIT BREAKER INDUSTRIES PTY     </t>
  </si>
  <si>
    <t>Respect</t>
  </si>
  <si>
    <t xml:space="preserve">RCL FOODS CONSUMER BEVERAGES       </t>
  </si>
  <si>
    <t>joysline</t>
  </si>
  <si>
    <t xml:space="preserve">CCG CABLE TERMINATIONS             </t>
  </si>
  <si>
    <t>alice</t>
  </si>
  <si>
    <t xml:space="preserve">UNILEVER ANDERBOLT HOMECARE LI     </t>
  </si>
  <si>
    <t xml:space="preserve">DISTELL                            </t>
  </si>
  <si>
    <t>JUAN</t>
  </si>
  <si>
    <t>JAMES</t>
  </si>
  <si>
    <t xml:space="preserve">PIONEER FOODS GROCERIES PTY        </t>
  </si>
  <si>
    <t>NTOMBI</t>
  </si>
  <si>
    <t xml:space="preserve">luthando                      </t>
  </si>
  <si>
    <t>SHORT SUPLLIED</t>
  </si>
  <si>
    <t>CARRISTAN</t>
  </si>
  <si>
    <t xml:space="preserve">NESTLE SA                          </t>
  </si>
  <si>
    <t xml:space="preserve">CBI ELECTRIC TELECOM CABLES        </t>
  </si>
  <si>
    <t>NARISKA EVELEIGH</t>
  </si>
  <si>
    <t>tshiamo</t>
  </si>
  <si>
    <t>Freddy</t>
  </si>
  <si>
    <t xml:space="preserve">MAINSTREET 1310                    </t>
  </si>
  <si>
    <t>RENSIA SCHOEMAN</t>
  </si>
  <si>
    <t>AWELANI</t>
  </si>
  <si>
    <t xml:space="preserve">IRVIN   JOHNSON LTD                </t>
  </si>
  <si>
    <t>Zikhona</t>
  </si>
  <si>
    <t>POD received from cell 0788218368 M</t>
  </si>
  <si>
    <t>phillip</t>
  </si>
  <si>
    <t xml:space="preserve">T E M TOOLING CC                   </t>
  </si>
  <si>
    <t>Daniel</t>
  </si>
  <si>
    <t xml:space="preserve">PRO PROJECT ENGINEERING            </t>
  </si>
  <si>
    <t>darren</t>
  </si>
  <si>
    <t>POD received from cell 0788708489 M</t>
  </si>
  <si>
    <t xml:space="preserve">RAGON INDUSTRIES                   </t>
  </si>
  <si>
    <t>BUKS GEYSER</t>
  </si>
  <si>
    <t>Eva</t>
  </si>
  <si>
    <t xml:space="preserve">HACKMACK ENTERPRISES               </t>
  </si>
  <si>
    <t>POD received from cell 0716163149 M</t>
  </si>
  <si>
    <t>DAVID</t>
  </si>
  <si>
    <t xml:space="preserve">FABRINOX CC                        </t>
  </si>
  <si>
    <t>ANGELIQUE GOOSEN</t>
  </si>
  <si>
    <t>Denver</t>
  </si>
  <si>
    <t>JACO1</t>
  </si>
  <si>
    <t>JACOBS</t>
  </si>
  <si>
    <t xml:space="preserve">AMS BEARING CC                     </t>
  </si>
  <si>
    <t>AMon</t>
  </si>
  <si>
    <t xml:space="preserve">ANGLO OPERATIONS (PTY) LTD         </t>
  </si>
  <si>
    <t xml:space="preserve">SMITHS MANUFACTURING               </t>
  </si>
  <si>
    <t>CHRIS BOTHA</t>
  </si>
  <si>
    <t>neli</t>
  </si>
  <si>
    <t>POD received from cell 0745016150 M</t>
  </si>
  <si>
    <t xml:space="preserve">QUALITEC ENGINEERING CC            </t>
  </si>
  <si>
    <t>MONIQUE KUKLA</t>
  </si>
  <si>
    <t xml:space="preserve">monique                       </t>
  </si>
  <si>
    <t xml:space="preserve">NEOPAK PTY LTD                     </t>
  </si>
  <si>
    <t>nkaleka</t>
  </si>
  <si>
    <t xml:space="preserve">DIVFOOD A DIV OF NAMPAK PRODUC     </t>
  </si>
  <si>
    <t>ABRAM</t>
  </si>
  <si>
    <t xml:space="preserve">TIGER BRANDS SNACKS   TREATS       </t>
  </si>
  <si>
    <t>ARNEL RAMRAJ</t>
  </si>
  <si>
    <t xml:space="preserve">kreolen                       </t>
  </si>
  <si>
    <t xml:space="preserve">POD received from cell 0847650130 M     </t>
  </si>
  <si>
    <t>LUCAS</t>
  </si>
  <si>
    <t xml:space="preserve">GRINDING TECHNICS                  </t>
  </si>
  <si>
    <t>TERSHIA</t>
  </si>
  <si>
    <t>CULLI</t>
  </si>
  <si>
    <t>CULLINAN</t>
  </si>
  <si>
    <t xml:space="preserve">DIRK COETZEE                       </t>
  </si>
  <si>
    <t>DIRK</t>
  </si>
  <si>
    <t xml:space="preserve">COCA-COCAL BEVERAGES SOTH AFRI     </t>
  </si>
  <si>
    <t xml:space="preserve">RHODES FOOD GROUP                  </t>
  </si>
  <si>
    <t>NTSAKO</t>
  </si>
  <si>
    <t xml:space="preserve">ANALOG   DIGITAL POWER ELECTRO     </t>
  </si>
  <si>
    <t xml:space="preserve">leonard                       </t>
  </si>
  <si>
    <t xml:space="preserve">MODULAR MASTS   TOWERS CC          </t>
  </si>
  <si>
    <t>A VD MERWE</t>
  </si>
  <si>
    <t>POD received from cell 0768323695 M</t>
  </si>
  <si>
    <t>zaldene</t>
  </si>
  <si>
    <t xml:space="preserve">CLIFFORD WELDING SYSTEMS PTY L     </t>
  </si>
  <si>
    <t>Sthembiso</t>
  </si>
  <si>
    <t xml:space="preserve">G.R.W ENGINEERING (PTY) LTD        </t>
  </si>
  <si>
    <t>Wayne Burger</t>
  </si>
  <si>
    <t>craiog</t>
  </si>
  <si>
    <t xml:space="preserve">JFE ELECTRONIC ENGINEERING         </t>
  </si>
  <si>
    <t>warrick</t>
  </si>
  <si>
    <t xml:space="preserve">CIM SYSTEMS                        </t>
  </si>
  <si>
    <t>maruis</t>
  </si>
  <si>
    <t xml:space="preserve">BEARING   ACCESSORIES CC           </t>
  </si>
  <si>
    <t>Lenny</t>
  </si>
  <si>
    <t>jayson</t>
  </si>
  <si>
    <t>chanelle</t>
  </si>
  <si>
    <t xml:space="preserve">UNIVERSAL AUTOMATED SYSTEMS PT     </t>
  </si>
  <si>
    <t xml:space="preserve">GOODYEAR SOUTH AFRICA PTY LTD      </t>
  </si>
  <si>
    <t xml:space="preserve">jolene                        </t>
  </si>
  <si>
    <t xml:space="preserve">SKYNET WORLWIDE EXP                </t>
  </si>
  <si>
    <t>SELWYN TO COLLECT FROM SKYNET(TOMORROW 02 12 2017)</t>
  </si>
  <si>
    <t>Ashwell</t>
  </si>
  <si>
    <t>S SAUNDERS</t>
  </si>
  <si>
    <t xml:space="preserve">FAURECIA EMISSIONS CONTROL TEC     </t>
  </si>
  <si>
    <t>CLEM GRUNWALD</t>
  </si>
  <si>
    <t>kanya</t>
  </si>
  <si>
    <t xml:space="preserve">PAILPRINT PTY LTD                  </t>
  </si>
  <si>
    <t>msa</t>
  </si>
  <si>
    <t xml:space="preserve">PRESSURE DIE CASTINGS PTY LTD      </t>
  </si>
  <si>
    <t>roy</t>
  </si>
  <si>
    <t>akshay</t>
  </si>
  <si>
    <t xml:space="preserve">SHATTERPRUFE TRADING SA            </t>
  </si>
  <si>
    <t>Merwin</t>
  </si>
  <si>
    <t>SAB LTD ACCOUNTS PAYABLE</t>
  </si>
  <si>
    <t>Ronald</t>
  </si>
  <si>
    <t>POD received from cell 0835346652 M</t>
  </si>
  <si>
    <t>BLOE1</t>
  </si>
  <si>
    <t>BLOEMFONTEIN</t>
  </si>
  <si>
    <t xml:space="preserve">HYFLO SA PTY LTD                   </t>
  </si>
  <si>
    <t>Tahlo</t>
  </si>
  <si>
    <t>POD received from cell 0781742249 M</t>
  </si>
  <si>
    <t xml:space="preserve">absalom                       </t>
  </si>
  <si>
    <t xml:space="preserve">POD received from cell 0732937434 M     </t>
  </si>
  <si>
    <t>ATLAN</t>
  </si>
  <si>
    <t>ATLANTIS</t>
  </si>
  <si>
    <t xml:space="preserve">ATLANTIS FOUNDRY                   </t>
  </si>
  <si>
    <t>Reagan</t>
  </si>
  <si>
    <t>elw</t>
  </si>
  <si>
    <t>POD received from cell 0610882813 M</t>
  </si>
  <si>
    <t xml:space="preserve">CHEMPLUS CC                        </t>
  </si>
  <si>
    <t>greg</t>
  </si>
  <si>
    <t>POD received from cell 0765047659 M</t>
  </si>
  <si>
    <t>CERES</t>
  </si>
  <si>
    <t xml:space="preserve">PIONEER FOODS GROCERIES            </t>
  </si>
  <si>
    <t>william</t>
  </si>
  <si>
    <t>POD received from cell 0826342908 M</t>
  </si>
  <si>
    <t>GERALD</t>
  </si>
  <si>
    <t>craig</t>
  </si>
  <si>
    <t>HOWIC</t>
  </si>
  <si>
    <t>HOWICK</t>
  </si>
  <si>
    <t xml:space="preserve">HONEYDEW DAIRIES                   </t>
  </si>
  <si>
    <t>heidie</t>
  </si>
  <si>
    <t>POD received from cell 0789682446 M</t>
  </si>
  <si>
    <t xml:space="preserve">MW WHEELS SA (PTY) LTD             </t>
  </si>
  <si>
    <t xml:space="preserve">ABI DIV OF SAB LTD                 </t>
  </si>
  <si>
    <t>sugan</t>
  </si>
  <si>
    <t xml:space="preserve">CAVALETTO 98                       </t>
  </si>
  <si>
    <t>gerry</t>
  </si>
  <si>
    <t>STRAN</t>
  </si>
  <si>
    <t>STRAND</t>
  </si>
  <si>
    <t xml:space="preserve">MKH CONCEPT ENGINEERING CC         </t>
  </si>
  <si>
    <t>CHRIS</t>
  </si>
  <si>
    <t xml:space="preserve">THE SIMBA GROUP LTD                </t>
  </si>
  <si>
    <t>ethan</t>
  </si>
  <si>
    <t xml:space="preserve">KWV CELLARS   DISTILLERY           </t>
  </si>
  <si>
    <t>isaac</t>
  </si>
  <si>
    <t>Audrey</t>
  </si>
  <si>
    <t xml:space="preserve">darren                        </t>
  </si>
  <si>
    <t>HILTO</t>
  </si>
  <si>
    <t>HILTON</t>
  </si>
  <si>
    <t xml:space="preserve">BAILEYS PEGS 2000 PTY LTD          </t>
  </si>
  <si>
    <t xml:space="preserve">precoius                      </t>
  </si>
  <si>
    <t xml:space="preserve">MA CONSUME   MAITENANCE            </t>
  </si>
  <si>
    <t>JIMMY</t>
  </si>
  <si>
    <t xml:space="preserve">FAIR CAPE DAIRIES (PTY) LTD        </t>
  </si>
  <si>
    <t>R r geduld</t>
  </si>
  <si>
    <t>fes1162593328</t>
  </si>
  <si>
    <t>Chris Gooding</t>
  </si>
  <si>
    <t>paul</t>
  </si>
  <si>
    <t xml:space="preserve">PROBRAZE METALS                    </t>
  </si>
  <si>
    <t>RINA</t>
  </si>
  <si>
    <t>STEL2</t>
  </si>
  <si>
    <t>STELLENBOSCH</t>
  </si>
  <si>
    <t xml:space="preserve">DISTELL (PTY) LTD                  </t>
  </si>
  <si>
    <t>Spangenberg Kenny</t>
  </si>
  <si>
    <t>POD received from cell 0785728050 M</t>
  </si>
  <si>
    <t xml:space="preserve">PMD PACKAGING SYSTEMS              </t>
  </si>
  <si>
    <t>Andre</t>
  </si>
  <si>
    <t>POD received from cell 0737276972 M</t>
  </si>
  <si>
    <t xml:space="preserve">PABAR (PTY)L.T.D                   </t>
  </si>
  <si>
    <t>CLAUDINE</t>
  </si>
  <si>
    <t>ALEX</t>
  </si>
  <si>
    <t xml:space="preserve">AUTO TRIM ROSSLYN                  </t>
  </si>
  <si>
    <t>SINAH POO</t>
  </si>
  <si>
    <t>nomsa</t>
  </si>
  <si>
    <t xml:space="preserve">PLASTIC OMNIUM AUTO INERGY SA      </t>
  </si>
  <si>
    <t>VERONICA</t>
  </si>
  <si>
    <t xml:space="preserve">TILE MAGIC CC                      </t>
  </si>
  <si>
    <t>P HOLTZ</t>
  </si>
  <si>
    <t>James</t>
  </si>
  <si>
    <t>Wellington</t>
  </si>
  <si>
    <t xml:space="preserve">balo                          </t>
  </si>
  <si>
    <t xml:space="preserve">ACK SOLUTIONS PTY LTD              </t>
  </si>
  <si>
    <t>leani</t>
  </si>
  <si>
    <t>DIDATIC PRODUCT</t>
  </si>
  <si>
    <t>phil</t>
  </si>
  <si>
    <t>SDX</t>
  </si>
  <si>
    <t>ANZELLE</t>
  </si>
  <si>
    <t xml:space="preserve">magiel                        </t>
  </si>
  <si>
    <t>DSD / FUE</t>
  </si>
  <si>
    <t>UMTAT</t>
  </si>
  <si>
    <t>UMTATA</t>
  </si>
  <si>
    <t xml:space="preserve">PREMIER FMCG PTY LTD               </t>
  </si>
  <si>
    <t>ERIC</t>
  </si>
  <si>
    <t xml:space="preserve">GROUP FIVE PIPE                    </t>
  </si>
  <si>
    <t>KELLER</t>
  </si>
  <si>
    <t xml:space="preserve">MECHATRONICS                       </t>
  </si>
  <si>
    <t xml:space="preserve">faseegh                       </t>
  </si>
  <si>
    <t xml:space="preserve">KRONES SA PTY LTD                  </t>
  </si>
  <si>
    <t>AMOS</t>
  </si>
  <si>
    <t xml:space="preserve">FIRST NATIONAL BATTERY             </t>
  </si>
  <si>
    <t>Buyizile</t>
  </si>
  <si>
    <t>DURVESH</t>
  </si>
  <si>
    <t xml:space="preserve">PFERD SA PTY LTD                   </t>
  </si>
  <si>
    <t>MAINTENANCE STORES</t>
  </si>
  <si>
    <t>pauline</t>
  </si>
  <si>
    <t xml:space="preserve">johnson                       </t>
  </si>
  <si>
    <t>VERNON</t>
  </si>
  <si>
    <t xml:space="preserve">TONGAAT HULLETTS GROUP LTD         </t>
  </si>
  <si>
    <t xml:space="preserve">noxolo                        </t>
  </si>
  <si>
    <t xml:space="preserve">FEDERAL MOGUL ENGINE BEARINGS      </t>
  </si>
  <si>
    <t xml:space="preserve">Vinesh                        </t>
  </si>
  <si>
    <t xml:space="preserve">TF DESIGN (PTY) LTD                </t>
  </si>
  <si>
    <t>Niki</t>
  </si>
  <si>
    <t>POD received from cell 0738726261 M</t>
  </si>
  <si>
    <t>bradley</t>
  </si>
  <si>
    <t xml:space="preserve">M   C BEARINGS   TRANSMISSION      </t>
  </si>
  <si>
    <t>Priscilla</t>
  </si>
  <si>
    <t xml:space="preserve">TEQAL                              </t>
  </si>
  <si>
    <t>s gleimuis</t>
  </si>
  <si>
    <t>POD received from cell 06314326232 M</t>
  </si>
  <si>
    <t>GREYT</t>
  </si>
  <si>
    <t>GREYTOWN</t>
  </si>
  <si>
    <t xml:space="preserve">ILLOVO SUGAR LTD-SEZELA            </t>
  </si>
  <si>
    <t>THEMBA NHLANGULELA</t>
  </si>
  <si>
    <t>Lindi</t>
  </si>
  <si>
    <t>POD received from cell 0720743631 M</t>
  </si>
  <si>
    <t xml:space="preserve">BRIDGESTONE FIRESTONE SA PTY L     </t>
  </si>
  <si>
    <t>m   fourie</t>
  </si>
  <si>
    <t xml:space="preserve">EVOWOOD (PTY) LTD                  </t>
  </si>
  <si>
    <t>sbl ntuli</t>
  </si>
  <si>
    <t xml:space="preserve">RG BROSE AUTOMOTIVE COMPONENTS     </t>
  </si>
  <si>
    <t>MICHAEL</t>
  </si>
  <si>
    <t xml:space="preserve">UNILEVER SA PTY LTD                </t>
  </si>
  <si>
    <t>mzamo</t>
  </si>
  <si>
    <t xml:space="preserve">MCCAIN FOODS SA PTY LTD            </t>
  </si>
  <si>
    <t>jeremiah</t>
  </si>
  <si>
    <t xml:space="preserve">AMKA PRODUCTS                      </t>
  </si>
  <si>
    <t>KHUTSO</t>
  </si>
  <si>
    <t xml:space="preserve">ALDOR AFRICA                       </t>
  </si>
  <si>
    <t xml:space="preserve">EAST COAST INSTRUMENTATION SAL     </t>
  </si>
  <si>
    <t xml:space="preserve">SEFKO TRADING SOLUTIONS (PTY)L     </t>
  </si>
  <si>
    <t xml:space="preserve">HULETT HYDRO EXTRUSIONS            </t>
  </si>
  <si>
    <t>Ray</t>
  </si>
  <si>
    <t xml:space="preserve">MA AUTOMOTIVE TOOL   DIE           </t>
  </si>
  <si>
    <t>SAMUEL</t>
  </si>
  <si>
    <t>TEB</t>
  </si>
  <si>
    <t xml:space="preserve">NATIONAL CERAMIC INDUSTRIES SA     </t>
  </si>
  <si>
    <t>LANDELA NKOSI</t>
  </si>
  <si>
    <t>landi</t>
  </si>
  <si>
    <t xml:space="preserve">FESTO DUR OFFICE                   </t>
  </si>
  <si>
    <t>strini</t>
  </si>
  <si>
    <t xml:space="preserve">S4 AUTOMATION (PTY) LTD            </t>
  </si>
  <si>
    <t>Dwain</t>
  </si>
  <si>
    <t xml:space="preserve">DIGN ENGENEERING (PTY)LTD          </t>
  </si>
  <si>
    <t>HARRY</t>
  </si>
  <si>
    <t>nathanael</t>
  </si>
  <si>
    <t>Kamesan</t>
  </si>
  <si>
    <t xml:space="preserve">CTP WEB PRINTERS JOHANNESBURG      </t>
  </si>
  <si>
    <t>Isaac</t>
  </si>
  <si>
    <t>CARLE</t>
  </si>
  <si>
    <t>CARLETONVILLE</t>
  </si>
  <si>
    <t xml:space="preserve">TECHNICRETE                        </t>
  </si>
  <si>
    <t>CHRIS MARIE ROOS</t>
  </si>
  <si>
    <t>MAIZ</t>
  </si>
  <si>
    <t>theresa</t>
  </si>
  <si>
    <t xml:space="preserve">WEST WEIGH SYSTEMS                 </t>
  </si>
  <si>
    <t>DILLON QUAN</t>
  </si>
  <si>
    <t>Cedrick</t>
  </si>
  <si>
    <t>DELPO</t>
  </si>
  <si>
    <t>DELPOORTSHOOP</t>
  </si>
  <si>
    <t xml:space="preserve">AFRISAM SOUHT AFRICA PTY LTD       </t>
  </si>
  <si>
    <t>POD received from cell 0837472026 M</t>
  </si>
  <si>
    <t xml:space="preserve">TECHMATIC ENGINEERING PTY          </t>
  </si>
  <si>
    <t>TIMOTHY SMOUSE</t>
  </si>
  <si>
    <t xml:space="preserve">MEHLULI                       </t>
  </si>
  <si>
    <t>richard</t>
  </si>
  <si>
    <t xml:space="preserve">KOOGAN PLASTICS                    </t>
  </si>
  <si>
    <t>Muhammed Ismail</t>
  </si>
  <si>
    <t>NOMBULELO</t>
  </si>
  <si>
    <t xml:space="preserve">NESTLE SOUTH AFRICA PTY LTD        </t>
  </si>
  <si>
    <t>l t naiker</t>
  </si>
  <si>
    <t>Box</t>
  </si>
  <si>
    <t>kamesan</t>
  </si>
  <si>
    <t xml:space="preserve">TECHNOVAA PACKAGING                </t>
  </si>
  <si>
    <t>Eddie</t>
  </si>
  <si>
    <t>THEO</t>
  </si>
  <si>
    <t>Dudu</t>
  </si>
  <si>
    <t>POD received from cell 0726258782 M</t>
  </si>
  <si>
    <t xml:space="preserve">ivan                          </t>
  </si>
  <si>
    <t>S lovw</t>
  </si>
  <si>
    <t xml:space="preserve">UNIVERSAL CLIPS                    </t>
  </si>
  <si>
    <t>BRIAN HUNKIN</t>
  </si>
  <si>
    <t>LINDIWE</t>
  </si>
  <si>
    <t xml:space="preserve">VAN NIEKERK PACKAGING SUPPORT      </t>
  </si>
  <si>
    <t>lindzey</t>
  </si>
  <si>
    <t>jardhard</t>
  </si>
  <si>
    <t>Nathanael</t>
  </si>
  <si>
    <t xml:space="preserve">bolo                          </t>
  </si>
  <si>
    <t>HARRI</t>
  </si>
  <si>
    <t>HARRISMITH</t>
  </si>
  <si>
    <t>JACO VAN NIEKERK</t>
  </si>
  <si>
    <t xml:space="preserve">MICHAEL MOTOUNG               </t>
  </si>
  <si>
    <t xml:space="preserve">POD received from cell 0787952305 M     </t>
  </si>
  <si>
    <t xml:space="preserve">BASF SA PTY LTD                    </t>
  </si>
  <si>
    <t>RICH2</t>
  </si>
  <si>
    <t>RICHMOND (NATAL)</t>
  </si>
  <si>
    <t xml:space="preserve">NORMANDIEN FARMS                   </t>
  </si>
  <si>
    <t>Tayia</t>
  </si>
  <si>
    <t>Ashwin</t>
  </si>
  <si>
    <t xml:space="preserve">UNILEVER SOUTH AFRICA PTY LTD      </t>
  </si>
  <si>
    <t>pravin</t>
  </si>
  <si>
    <t xml:space="preserve">G.U.D. HOLDINGS (PTY) LTD          </t>
  </si>
  <si>
    <t>conrad</t>
  </si>
  <si>
    <t>hans</t>
  </si>
  <si>
    <t>POD received from cell 0716207410 M</t>
  </si>
  <si>
    <t>R GEDULD</t>
  </si>
  <si>
    <t xml:space="preserve">SIGNAL INSTRUMENTATION CC          </t>
  </si>
  <si>
    <t>FAAN</t>
  </si>
  <si>
    <t>jaco</t>
  </si>
  <si>
    <t xml:space="preserve">GRANROTH                           </t>
  </si>
  <si>
    <t>Lelakhe</t>
  </si>
  <si>
    <t xml:space="preserve">CHARL                         </t>
  </si>
  <si>
    <t xml:space="preserve">SILVER CONTROL SYSTEMS CC          </t>
  </si>
  <si>
    <t>thomas</t>
  </si>
  <si>
    <t xml:space="preserve">ILLEG                         </t>
  </si>
  <si>
    <t xml:space="preserve">NEWSHELF 1167 PTY LTD              </t>
  </si>
  <si>
    <t>RFES1162593186</t>
  </si>
  <si>
    <t>Returned to sender on waybill number RFE</t>
  </si>
  <si>
    <t>LADYS</t>
  </si>
  <si>
    <t>LADYSMITH (NTL)</t>
  </si>
  <si>
    <t xml:space="preserve">LADYSMITH TRADING CO.              </t>
  </si>
  <si>
    <t>RIA</t>
  </si>
  <si>
    <t xml:space="preserve">FAIRFIELD DAIRY PTY LTD            </t>
  </si>
  <si>
    <t>nonthandazo</t>
  </si>
  <si>
    <t>POD received from cell 0843680350 M</t>
  </si>
  <si>
    <t xml:space="preserve">TI GROUP AUTOMOTIVE SYSTEMS (P     </t>
  </si>
  <si>
    <t>Tanyth</t>
  </si>
  <si>
    <t>gary</t>
  </si>
  <si>
    <t xml:space="preserve">KR INDUSRIAL   AUTOMOTIVE SUPP     </t>
  </si>
  <si>
    <t>A Singh</t>
  </si>
  <si>
    <t>THERESA</t>
  </si>
  <si>
    <t>zakhele</t>
  </si>
  <si>
    <t xml:space="preserve">MACSTEEL TUBE   PIPE PTY LTD       </t>
  </si>
  <si>
    <t>ISAAC HENANE</t>
  </si>
  <si>
    <t xml:space="preserve">Andile                        </t>
  </si>
  <si>
    <t xml:space="preserve">POD received from cell 0837842726 M     </t>
  </si>
  <si>
    <t>pooven</t>
  </si>
  <si>
    <t>vhuyi</t>
  </si>
  <si>
    <t>HEILB</t>
  </si>
  <si>
    <t>HEILBRON</t>
  </si>
  <si>
    <t xml:space="preserve">CLOVER S.A                         </t>
  </si>
  <si>
    <t>john</t>
  </si>
  <si>
    <t>POD received from cell 0745099105 M</t>
  </si>
  <si>
    <t>BAKKER</t>
  </si>
  <si>
    <t xml:space="preserve">IMANA FOODS SA (PTY) LTD           </t>
  </si>
  <si>
    <t xml:space="preserve">PLANTATION SHUTTERS PTY LTD        </t>
  </si>
  <si>
    <t>violet</t>
  </si>
  <si>
    <t xml:space="preserve">ERGO MINING                        </t>
  </si>
  <si>
    <t>PPE</t>
  </si>
  <si>
    <t>JOHN SCHOEMAN</t>
  </si>
  <si>
    <t>ERGO MINING</t>
  </si>
  <si>
    <t>POD received from cell 0826644094 M</t>
  </si>
  <si>
    <t>capet</t>
  </si>
  <si>
    <t xml:space="preserve">UTI JET PARK                       </t>
  </si>
  <si>
    <t>PM-M</t>
  </si>
  <si>
    <t>POD received from cell 0795593784 M</t>
  </si>
  <si>
    <t>NEO</t>
  </si>
  <si>
    <t xml:space="preserve">ILLOVO SUGAR LTDB EDENVEL          </t>
  </si>
  <si>
    <t>Nelson</t>
  </si>
  <si>
    <t xml:space="preserve">SCHULLPAK (PTY)LTD                 </t>
  </si>
  <si>
    <t>DAN</t>
  </si>
  <si>
    <t xml:space="preserve">CLOVER SA                          </t>
  </si>
  <si>
    <t>VISAGIE</t>
  </si>
  <si>
    <t>Luthando</t>
  </si>
  <si>
    <t>larry</t>
  </si>
  <si>
    <t>CONRUND</t>
  </si>
  <si>
    <t xml:space="preserve">BEIER ENVIROTEC                    </t>
  </si>
  <si>
    <t>GOODMAN</t>
  </si>
  <si>
    <t xml:space="preserve">BUILD IT HARRISMITH                </t>
  </si>
  <si>
    <t>THOMAS</t>
  </si>
  <si>
    <t>POD received from cell 0787952305 M</t>
  </si>
  <si>
    <t xml:space="preserve">HYGIENIC TISSUE MILL               </t>
  </si>
  <si>
    <t>IMTIAZ HOOSEN</t>
  </si>
  <si>
    <t>zakia</t>
  </si>
  <si>
    <t xml:space="preserve">Gary                          </t>
  </si>
  <si>
    <t xml:space="preserve">POD received from cell 0729460926 M     </t>
  </si>
  <si>
    <t xml:space="preserve">MASSAMATIC PTY LTD                 </t>
  </si>
  <si>
    <t>arnold</t>
  </si>
  <si>
    <t xml:space="preserve">SPEC TOOL   DIE   GENERAL ENGI     </t>
  </si>
  <si>
    <t>Ricky</t>
  </si>
  <si>
    <t xml:space="preserve">TEREX MHPS (PTY) LTD               </t>
  </si>
  <si>
    <t>mkhize</t>
  </si>
  <si>
    <t>KINGW</t>
  </si>
  <si>
    <t>KINGWILLIAMSTOWN</t>
  </si>
  <si>
    <t xml:space="preserve">EPOL ADIV OF RAINBOW FARM (PTY     </t>
  </si>
  <si>
    <t>rea</t>
  </si>
  <si>
    <t xml:space="preserve">Werner                        </t>
  </si>
  <si>
    <t>r booysen</t>
  </si>
  <si>
    <t>DE BEERS GROUP SERVICES</t>
  </si>
  <si>
    <t xml:space="preserve">FAMOUS BRANDS-TRUFRUIT             </t>
  </si>
  <si>
    <t>LIANA MROUGHTON</t>
  </si>
  <si>
    <t>brouguten</t>
  </si>
  <si>
    <t xml:space="preserve">ARCH WATER PRODUCTS SA             </t>
  </si>
  <si>
    <t>sizwe</t>
  </si>
  <si>
    <t xml:space="preserve">P .A CUTHBERT   CO PTY LTD         </t>
  </si>
  <si>
    <t>7051756 P A CUTHBERT   CO   PT</t>
  </si>
  <si>
    <t xml:space="preserve">CADSOURCE                          </t>
  </si>
  <si>
    <t>ULI</t>
  </si>
  <si>
    <t xml:space="preserve">TRU GAGE MACHINES                  </t>
  </si>
  <si>
    <t>tebogo</t>
  </si>
  <si>
    <t xml:space="preserve">BANTEX SA                          </t>
  </si>
  <si>
    <t>TOM MANSFIELD</t>
  </si>
  <si>
    <t>STARMON</t>
  </si>
  <si>
    <t>GERHARD</t>
  </si>
  <si>
    <t>B T  ENTERPRISES</t>
  </si>
  <si>
    <t xml:space="preserve">EASTERN TRADING CO.                </t>
  </si>
  <si>
    <t>ZAHEED</t>
  </si>
  <si>
    <t>let</t>
  </si>
  <si>
    <t xml:space="preserve">RESOLUTION CIRCLE (PTY) LTD        </t>
  </si>
  <si>
    <t xml:space="preserve">HYFLO SA                           </t>
  </si>
  <si>
    <t>Sandile</t>
  </si>
  <si>
    <t>JEFFREY</t>
  </si>
  <si>
    <t>ANDRIES WILTZ</t>
  </si>
  <si>
    <t>a kritzinger</t>
  </si>
  <si>
    <t>SAMSON M</t>
  </si>
  <si>
    <t xml:space="preserve">LION MATCH PRODUCTS                </t>
  </si>
  <si>
    <t>KARABO</t>
  </si>
  <si>
    <t xml:space="preserve">CORNING PRODUCTS                   </t>
  </si>
  <si>
    <t>t xelu</t>
  </si>
  <si>
    <t xml:space="preserve">REGRADE MASTERS                    </t>
  </si>
  <si>
    <t>daniella</t>
  </si>
  <si>
    <t xml:space="preserve">SME EXPORTS                        </t>
  </si>
  <si>
    <t>Obrey</t>
  </si>
  <si>
    <t>POD received from cell 0726813383 M</t>
  </si>
  <si>
    <t>daneilla</t>
  </si>
  <si>
    <t xml:space="preserve">KELLOGGS CO OF SA                  </t>
  </si>
  <si>
    <t>EDWINA CLOETE</t>
  </si>
  <si>
    <t>ISAAC</t>
  </si>
  <si>
    <t xml:space="preserve">FRESENIUS KABI MANUFACTURING       </t>
  </si>
  <si>
    <t>c agnen</t>
  </si>
  <si>
    <t xml:space="preserve">WOODTECH                           </t>
  </si>
  <si>
    <t>Tracy   Heather</t>
  </si>
  <si>
    <t>Michelle</t>
  </si>
  <si>
    <t xml:space="preserve">GPWG ENGINEERING PTY LTD           </t>
  </si>
  <si>
    <t>RONALD</t>
  </si>
  <si>
    <t>sentsho</t>
  </si>
  <si>
    <t xml:space="preserve">4 BYTES AUTOMATION CC              </t>
  </si>
  <si>
    <t>itumeleng</t>
  </si>
  <si>
    <t>POD received from cell 0833807574 M</t>
  </si>
  <si>
    <t>M FOURIE</t>
  </si>
  <si>
    <t xml:space="preserve">CSM ENGINEERING CC                 </t>
  </si>
  <si>
    <t>chantelle</t>
  </si>
  <si>
    <t>JOHANNES</t>
  </si>
  <si>
    <t>Marenique</t>
  </si>
  <si>
    <t>POD received from cell 0780245853 M</t>
  </si>
  <si>
    <t xml:space="preserve">IN 2 FOOD GROUP                    </t>
  </si>
  <si>
    <t>ANNEMARIE</t>
  </si>
  <si>
    <t>ALPHEUS</t>
  </si>
  <si>
    <t>MIKATEKO</t>
  </si>
  <si>
    <t xml:space="preserve">DIYA VALVES INTERNATIONALS CC      </t>
  </si>
  <si>
    <t>niren</t>
  </si>
  <si>
    <t>POD received from cell 0782274968 M</t>
  </si>
  <si>
    <t xml:space="preserve">SUPREME SPRING                     </t>
  </si>
  <si>
    <t>MUHAMMED MOOLLA</t>
  </si>
  <si>
    <t>justis</t>
  </si>
  <si>
    <t xml:space="preserve">POLYOAK PACKAGING (PTY) LTD        </t>
  </si>
  <si>
    <t>MICHELLE   WESLEY</t>
  </si>
  <si>
    <t>justine</t>
  </si>
  <si>
    <t xml:space="preserve">TI GROUP AUTOMOTIVE SYSTEM         </t>
  </si>
  <si>
    <t>ROSCOE</t>
  </si>
  <si>
    <t>JOYCE</t>
  </si>
  <si>
    <t>STHEL</t>
  </si>
  <si>
    <t>ST HELENABAAI</t>
  </si>
  <si>
    <t xml:space="preserve">WEST PIONT PROCESSORS              </t>
  </si>
  <si>
    <t>RAYMOND</t>
  </si>
  <si>
    <t>POD received from cell 0783505655 M</t>
  </si>
  <si>
    <t>jean jean</t>
  </si>
  <si>
    <t>AMANDA</t>
  </si>
  <si>
    <t>amanda</t>
  </si>
  <si>
    <t>jarrod</t>
  </si>
  <si>
    <t>William</t>
  </si>
  <si>
    <t xml:space="preserve">EXCEL TOOLING                      </t>
  </si>
  <si>
    <t>Gwen</t>
  </si>
  <si>
    <t xml:space="preserve">GRW ENGINERING                     </t>
  </si>
  <si>
    <t>tarryn</t>
  </si>
  <si>
    <t xml:space="preserve">OPEN DOOR TRADERS CC               </t>
  </si>
  <si>
    <t>m botha</t>
  </si>
  <si>
    <t xml:space="preserve">FLEXICON AFRICA PTY LTD            </t>
  </si>
  <si>
    <t>Conroy</t>
  </si>
  <si>
    <t xml:space="preserve">PRAGA TECHNICAL PTY LTD            </t>
  </si>
  <si>
    <t>LOOTIE VERMELULEN</t>
  </si>
  <si>
    <t>lifa</t>
  </si>
  <si>
    <t>GONUB</t>
  </si>
  <si>
    <t>GONUBIE</t>
  </si>
  <si>
    <t xml:space="preserve">TITUS CONSULTING CC                </t>
  </si>
  <si>
    <t>MICHELLE</t>
  </si>
  <si>
    <t>POD received from cell 0845733114 M</t>
  </si>
  <si>
    <t xml:space="preserve">Randal                        </t>
  </si>
  <si>
    <t xml:space="preserve">POD received from cell 0738058187 M     </t>
  </si>
  <si>
    <t>Parcels</t>
  </si>
  <si>
    <t xml:space="preserve">eugene                        </t>
  </si>
  <si>
    <t xml:space="preserve">DURASET                            </t>
  </si>
  <si>
    <t>DARLINGTON</t>
  </si>
  <si>
    <t>POD received from cell 0836178022 M</t>
  </si>
  <si>
    <t>Keegan</t>
  </si>
  <si>
    <t xml:space="preserve">REPMA ENGINEERING PTY LTD          </t>
  </si>
  <si>
    <t xml:space="preserve">KIMBERLEY-CLARK S.A                </t>
  </si>
  <si>
    <t xml:space="preserve">ilse                          </t>
  </si>
  <si>
    <t xml:space="preserve">ZENTIVA SA PTY LTD                 </t>
  </si>
  <si>
    <t>mxedisi</t>
  </si>
  <si>
    <t xml:space="preserve">BME PACKAGING CC                   </t>
  </si>
  <si>
    <t xml:space="preserve">Audrey                        </t>
  </si>
  <si>
    <t xml:space="preserve">POD received from cell 0625063292 M     </t>
  </si>
  <si>
    <t xml:space="preserve">PFK ELECTRONICS PTY LTD            </t>
  </si>
  <si>
    <t>ashley</t>
  </si>
  <si>
    <t xml:space="preserve">GUTH NDE SA                        </t>
  </si>
  <si>
    <t>PIET</t>
  </si>
  <si>
    <t>POD received from cell 0826614802 M</t>
  </si>
  <si>
    <t xml:space="preserve">BEVCAN A DIV OF NAMPAK PRODUCT     </t>
  </si>
  <si>
    <t>KOKI</t>
  </si>
  <si>
    <t>EVA</t>
  </si>
  <si>
    <t xml:space="preserve">INTERFRUIT                         </t>
  </si>
  <si>
    <t>ANA DA CONCEICAO</t>
  </si>
  <si>
    <t>ANA</t>
  </si>
  <si>
    <t>LINDA BREETZKE</t>
  </si>
  <si>
    <t xml:space="preserve">randal                        </t>
  </si>
  <si>
    <t xml:space="preserve">AUTO X PTY LTD                     </t>
  </si>
  <si>
    <t>Ian</t>
  </si>
  <si>
    <t xml:space="preserve">ILLOVO SUGAR LTD                   </t>
  </si>
  <si>
    <t>UMBOG</t>
  </si>
  <si>
    <t>UMBOGINTWINI</t>
  </si>
  <si>
    <t xml:space="preserve">RYMCO PTY LTD ACHOR YEAST          </t>
  </si>
  <si>
    <t>Avi</t>
  </si>
  <si>
    <t xml:space="preserve">ANDREW MENTIS PTY                  </t>
  </si>
  <si>
    <t>Sarah</t>
  </si>
  <si>
    <t xml:space="preserve">euegen                        </t>
  </si>
  <si>
    <t xml:space="preserve">BOWLER PLASTICS (PTY) LTD          </t>
  </si>
  <si>
    <t>l lekay</t>
  </si>
  <si>
    <t>POD received from cell 0839443464 M</t>
  </si>
  <si>
    <t>cindi</t>
  </si>
  <si>
    <t xml:space="preserve">HYDRAQUIP                          </t>
  </si>
  <si>
    <t xml:space="preserve">Leoni                         </t>
  </si>
  <si>
    <t>d walters</t>
  </si>
  <si>
    <t xml:space="preserve">Wilber                        </t>
  </si>
  <si>
    <t xml:space="preserve">POD received from cell 0838564279 M     </t>
  </si>
  <si>
    <t xml:space="preserve">ELEMENT SIX PRODUCTION             </t>
  </si>
  <si>
    <t>H HARRIS</t>
  </si>
  <si>
    <t xml:space="preserve">THE ANDERSON LID CO.               </t>
  </si>
  <si>
    <t>GERARD</t>
  </si>
  <si>
    <t>Stephen</t>
  </si>
  <si>
    <t xml:space="preserve">AVION EAST RAND PTY LTD            </t>
  </si>
  <si>
    <t>george</t>
  </si>
  <si>
    <t xml:space="preserve">BISCOPLUS P[TY LTD                 </t>
  </si>
  <si>
    <t>fernando</t>
  </si>
  <si>
    <t xml:space="preserve">WESLEY                        </t>
  </si>
  <si>
    <t>BALF2</t>
  </si>
  <si>
    <t>BALFOUR (TVL)</t>
  </si>
  <si>
    <t xml:space="preserve">KARAN BEEF (PTY) LTD               </t>
  </si>
  <si>
    <t>Dillas</t>
  </si>
  <si>
    <t>POD received from cell 0657991746 M</t>
  </si>
  <si>
    <t>A Doodnath</t>
  </si>
  <si>
    <t>lenny</t>
  </si>
  <si>
    <t xml:space="preserve">ROVAC ENGINEERING                  </t>
  </si>
  <si>
    <t>aldane</t>
  </si>
  <si>
    <t xml:space="preserve">SIGNKOR                            </t>
  </si>
  <si>
    <t>NAKITA</t>
  </si>
  <si>
    <t>POD received from cell 0768934183 M</t>
  </si>
  <si>
    <t xml:space="preserve">TOSAS PTY LTD                      </t>
  </si>
  <si>
    <t>Patricia</t>
  </si>
  <si>
    <t>POD received from cell 0791927731 M</t>
  </si>
  <si>
    <t xml:space="preserve">HOLING PROJECTS CC                 </t>
  </si>
  <si>
    <t>gergio</t>
  </si>
  <si>
    <t>Zakhele</t>
  </si>
  <si>
    <t xml:space="preserve">QUADRO PLASTICS (PTY) LTD          </t>
  </si>
  <si>
    <t>carman</t>
  </si>
  <si>
    <t>POD received from cell 0769347056 M</t>
  </si>
  <si>
    <t xml:space="preserve">INDECON CC                         </t>
  </si>
  <si>
    <t>a nel</t>
  </si>
  <si>
    <t xml:space="preserve">ACT LOGISTICS                      </t>
  </si>
  <si>
    <t>venica</t>
  </si>
  <si>
    <t>ZELDENE</t>
  </si>
  <si>
    <t xml:space="preserve">RAINBOW FARMS PTY LTD P2           </t>
  </si>
  <si>
    <t>ENGINEERING STORES</t>
  </si>
  <si>
    <t>Enetha</t>
  </si>
  <si>
    <t xml:space="preserve">RAINBOW FARMS PTY LTD P1           </t>
  </si>
  <si>
    <t>RAYMOND KISTAN</t>
  </si>
  <si>
    <t>Vukani</t>
  </si>
  <si>
    <t>Neil</t>
  </si>
  <si>
    <t xml:space="preserve">TIGER BRANDS(CHOCOLATE UNIT)       </t>
  </si>
  <si>
    <t>Bryson</t>
  </si>
  <si>
    <t>POD received from cell 0847650130 M</t>
  </si>
  <si>
    <t>SECURITY</t>
  </si>
  <si>
    <t>Stewart</t>
  </si>
  <si>
    <t>SANDRA MOODLEY</t>
  </si>
  <si>
    <t xml:space="preserve">BALLENA TRADING 31 PTY LTD         </t>
  </si>
  <si>
    <t>RISHAL RAMKISSORE</t>
  </si>
  <si>
    <t>DAvid</t>
  </si>
  <si>
    <t xml:space="preserve">FOODCORP PTY LTD MILLING           </t>
  </si>
  <si>
    <t>OWEN</t>
  </si>
  <si>
    <t>cibdi</t>
  </si>
  <si>
    <t>TEBOGO</t>
  </si>
  <si>
    <t xml:space="preserve">KHP HYDRAULICS   PNEUMATICS (P     </t>
  </si>
  <si>
    <t>P PRINSLOO</t>
  </si>
  <si>
    <t>POD received from cell 0603956149 M</t>
  </si>
  <si>
    <t xml:space="preserve">KANTEY   TEMPLER PTY LTD           </t>
  </si>
  <si>
    <t xml:space="preserve">Christtle                     </t>
  </si>
  <si>
    <t xml:space="preserve">POD received from cell 0837429668 M     </t>
  </si>
  <si>
    <t>GIVEN</t>
  </si>
  <si>
    <t xml:space="preserve">MSG SYSTEMS                        </t>
  </si>
  <si>
    <t>SYLVIA</t>
  </si>
  <si>
    <t>Appointment required</t>
  </si>
  <si>
    <t>caj</t>
  </si>
  <si>
    <t>POD received from cell 0794644140 M</t>
  </si>
  <si>
    <t>Syliva</t>
  </si>
  <si>
    <t>ANNETTE GROENEWALD</t>
  </si>
  <si>
    <t>Annete</t>
  </si>
  <si>
    <t>POD received from cell 0648706734 M</t>
  </si>
  <si>
    <t>PACEL</t>
  </si>
  <si>
    <t xml:space="preserve">AUTOCON SYSTEMS CC                 </t>
  </si>
  <si>
    <t>BIANCA</t>
  </si>
  <si>
    <t xml:space="preserve">L NEL                         </t>
  </si>
  <si>
    <t xml:space="preserve">FOXOLUTION SYSTEMS ENG CC          </t>
  </si>
  <si>
    <t>roshni</t>
  </si>
  <si>
    <t>LETTAUW</t>
  </si>
  <si>
    <t>barry-john</t>
  </si>
  <si>
    <t>danice</t>
  </si>
  <si>
    <t>bertus</t>
  </si>
  <si>
    <t>aj venter</t>
  </si>
  <si>
    <t>POD received from cell 0832048163 M</t>
  </si>
  <si>
    <t xml:space="preserve">CLAMPING TECHNOLOGY CC             </t>
  </si>
  <si>
    <t>REPLACEMENT OF 1162592519</t>
  </si>
  <si>
    <t>Stephan</t>
  </si>
  <si>
    <t xml:space="preserve">PIONEER FOODS (PTY) LTD            </t>
  </si>
  <si>
    <t>ashwin</t>
  </si>
  <si>
    <t xml:space="preserve">TMD FRICTION SA PTY LTD            </t>
  </si>
  <si>
    <t>MEREDITH VORWERK</t>
  </si>
  <si>
    <t>tess</t>
  </si>
  <si>
    <t xml:space="preserve">DYNAMIC SYSTEMS                    </t>
  </si>
  <si>
    <t>LUINDIWE</t>
  </si>
  <si>
    <t xml:space="preserve">DUNLOP INDUSTRIAL PRODUCTS PTY     </t>
  </si>
  <si>
    <t>WARREN   Julian Chetty</t>
  </si>
  <si>
    <t>kithesh</t>
  </si>
  <si>
    <t xml:space="preserve">ALBANY BAKERY A DIVISION OF TI     </t>
  </si>
  <si>
    <t>terona</t>
  </si>
  <si>
    <t xml:space="preserve">REPROPLAST                         </t>
  </si>
  <si>
    <t>Brittany</t>
  </si>
  <si>
    <t>POD received from cell 0732237417 M</t>
  </si>
  <si>
    <t xml:space="preserve">J eatt                        </t>
  </si>
  <si>
    <t xml:space="preserve">RECKITT BENCKISER SA               </t>
  </si>
  <si>
    <t>KAVEER KISSON</t>
  </si>
  <si>
    <t xml:space="preserve">CAELA                         </t>
  </si>
  <si>
    <t xml:space="preserve">THERMAL FUSION CC                  </t>
  </si>
  <si>
    <t>abulani</t>
  </si>
  <si>
    <t>patricia</t>
  </si>
  <si>
    <t>muzi</t>
  </si>
  <si>
    <t xml:space="preserve">Clive                         </t>
  </si>
  <si>
    <t xml:space="preserve">POD received from cell 0792881349 M     </t>
  </si>
  <si>
    <t xml:space="preserve">FULMATIC                           </t>
  </si>
  <si>
    <t xml:space="preserve">JENDAMARK AUTOMATION               </t>
  </si>
  <si>
    <t>GARY</t>
  </si>
  <si>
    <t>SIGNATURE ILLEG</t>
  </si>
  <si>
    <t>BINGO</t>
  </si>
  <si>
    <t xml:space="preserve">GENERAL MOTORS SA PTY LTD          </t>
  </si>
  <si>
    <t>MAIN RECEIVING STORE</t>
  </si>
  <si>
    <t xml:space="preserve">DISTELL LIMITED                    </t>
  </si>
  <si>
    <t>M pamla</t>
  </si>
  <si>
    <t>POD received from cell 0747633484 M</t>
  </si>
  <si>
    <t>ssn</t>
  </si>
  <si>
    <t>POD received from cell 0728696623 M</t>
  </si>
  <si>
    <t xml:space="preserve">DETPAK SA (PTY)LTD                 </t>
  </si>
  <si>
    <t>EDELE</t>
  </si>
  <si>
    <t xml:space="preserve">AUTOPAC MACHINERY CORPORATION      </t>
  </si>
  <si>
    <t>MARENIQUE</t>
  </si>
  <si>
    <t xml:space="preserve">YOLANDA                       </t>
  </si>
  <si>
    <t xml:space="preserve">POD received from cell 0739524922 M     </t>
  </si>
  <si>
    <t>CINDY</t>
  </si>
  <si>
    <t xml:space="preserve">DE HEUS (PTY)LTD                   </t>
  </si>
  <si>
    <t>Jackie</t>
  </si>
  <si>
    <t>caela</t>
  </si>
  <si>
    <t xml:space="preserve">IDWALA CARBONATES                  </t>
  </si>
  <si>
    <t>Kensha</t>
  </si>
  <si>
    <t xml:space="preserve">ADVANCE ARMOUR GLASS               </t>
  </si>
  <si>
    <t>THATO LEKU</t>
  </si>
  <si>
    <t>Thato</t>
  </si>
  <si>
    <t xml:space="preserve">COLGATE PALMOLIVE LTD              </t>
  </si>
  <si>
    <t>MANDLA NKOSI</t>
  </si>
  <si>
    <t>andre</t>
  </si>
  <si>
    <t xml:space="preserve">FRANCINAH                     </t>
  </si>
  <si>
    <t xml:space="preserve">POD received from cell 0766412100 M     </t>
  </si>
  <si>
    <t>L LE RICHE</t>
  </si>
  <si>
    <t>JMM</t>
  </si>
  <si>
    <t>golith</t>
  </si>
  <si>
    <t>DEWALD</t>
  </si>
  <si>
    <t xml:space="preserve">IMP AUTOMATED LABORATORY SERVI     </t>
  </si>
  <si>
    <t>goodman</t>
  </si>
  <si>
    <t xml:space="preserve">FUCHS ELECTRONICS                  </t>
  </si>
  <si>
    <t xml:space="preserve">COLEUS PACKAGING (PTY)LTD          </t>
  </si>
  <si>
    <t xml:space="preserve">GEO STOTT   CO.                    </t>
  </si>
  <si>
    <t>SILVA</t>
  </si>
  <si>
    <t>BLISS CHEMICALS PTY LTD</t>
  </si>
  <si>
    <t xml:space="preserve">EFAMATIC MACHINE TOOLS             </t>
  </si>
  <si>
    <t>WALTER</t>
  </si>
  <si>
    <t xml:space="preserve">Thushni                       </t>
  </si>
  <si>
    <t xml:space="preserve">POD received from cell 0720159564 M     </t>
  </si>
  <si>
    <t xml:space="preserve">PAMODZI UNIQUE ENGINEERING         </t>
  </si>
  <si>
    <t>lordwick</t>
  </si>
  <si>
    <t>Patrick</t>
  </si>
  <si>
    <t xml:space="preserve">Zakhele                       </t>
  </si>
  <si>
    <t xml:space="preserve">POD received from cell 0837323487 M     </t>
  </si>
  <si>
    <t xml:space="preserve">ILLOVO SUGAR                       </t>
  </si>
  <si>
    <t>sipho</t>
  </si>
  <si>
    <t xml:space="preserve">MACSTEEL COIL PROCESSING           </t>
  </si>
  <si>
    <t>sign</t>
  </si>
  <si>
    <t>KERUSHA</t>
  </si>
  <si>
    <t xml:space="preserve">GERHARD UNGER DAIRY EQUIPMENT      </t>
  </si>
  <si>
    <t xml:space="preserve">ayena                         </t>
  </si>
  <si>
    <t>TERENCE</t>
  </si>
  <si>
    <t xml:space="preserve">CLOVER S.A PTY LTD                 </t>
  </si>
  <si>
    <t>SIDNEY</t>
  </si>
  <si>
    <t>s aiden</t>
  </si>
  <si>
    <t xml:space="preserve">TOYOTA SA MOTORS                   </t>
  </si>
  <si>
    <t>STAMP</t>
  </si>
  <si>
    <t>MCEDISI</t>
  </si>
  <si>
    <t xml:space="preserve">NEVAN                         </t>
  </si>
  <si>
    <t xml:space="preserve">GAYATRI PAPER MILLS PTY LTD        </t>
  </si>
  <si>
    <t>RUBI</t>
  </si>
  <si>
    <t>HENRY</t>
  </si>
  <si>
    <t>RFES1162594120</t>
  </si>
  <si>
    <t xml:space="preserve">CERES FRUIT PROCESSORS LTD         </t>
  </si>
  <si>
    <t>CALLIE JACOBS</t>
  </si>
  <si>
    <t>MARIETTE</t>
  </si>
  <si>
    <t>Bongekile</t>
  </si>
  <si>
    <t>VISH</t>
  </si>
  <si>
    <t>J watt</t>
  </si>
  <si>
    <t xml:space="preserve">BRIDGESTONE FIRESTONE              </t>
  </si>
  <si>
    <t>GENERAL STORES</t>
  </si>
  <si>
    <t>Bernice</t>
  </si>
  <si>
    <t>Mdu</t>
  </si>
  <si>
    <t>SUPER</t>
  </si>
  <si>
    <t>brandon</t>
  </si>
  <si>
    <t>alister</t>
  </si>
  <si>
    <t xml:space="preserve">RICH PRODUCTS CORP OF SA           </t>
  </si>
  <si>
    <t>LET</t>
  </si>
  <si>
    <t xml:space="preserve">PARMALAT SA (PTY) LTD              </t>
  </si>
  <si>
    <t>JOHN</t>
  </si>
  <si>
    <t>armstrong</t>
  </si>
  <si>
    <t>SURAYA</t>
  </si>
  <si>
    <t>jolene</t>
  </si>
  <si>
    <t>Nickolas Tinkler</t>
  </si>
  <si>
    <t>skye</t>
  </si>
  <si>
    <t>DARREN</t>
  </si>
  <si>
    <t>LOUIS</t>
  </si>
  <si>
    <t>CLIFTON</t>
  </si>
  <si>
    <t xml:space="preserve">TROPICAL PLASTICS   PACKAGING      </t>
  </si>
  <si>
    <t xml:space="preserve">NGK CERAMICS SOUTH AFRICA (PTY     </t>
  </si>
  <si>
    <t>firdouz</t>
  </si>
  <si>
    <t>Gavin</t>
  </si>
  <si>
    <t xml:space="preserve">LITTLE GREEN BEVERAGES             </t>
  </si>
  <si>
    <t>Caelyn</t>
  </si>
  <si>
    <t>SANDISILE</t>
  </si>
  <si>
    <t>CINDI</t>
  </si>
  <si>
    <t xml:space="preserve">neli                          </t>
  </si>
  <si>
    <t>JUDELIZE ENSLIN</t>
  </si>
  <si>
    <t>terrace</t>
  </si>
  <si>
    <t>KATHU</t>
  </si>
  <si>
    <t xml:space="preserve">ERNEST LOWE                        </t>
  </si>
  <si>
    <t>ANTIONETTE EILERS</t>
  </si>
  <si>
    <t>RTS-009936794705</t>
  </si>
  <si>
    <t>Tracey</t>
  </si>
  <si>
    <t xml:space="preserve">REUTECH COMMUNICATIOS A DIVISI     </t>
  </si>
  <si>
    <t xml:space="preserve">Eugene                        </t>
  </si>
  <si>
    <t xml:space="preserve">CB PNEUMATICS PTY LTD              </t>
  </si>
  <si>
    <t>ELMARIE</t>
  </si>
  <si>
    <t>henry</t>
  </si>
  <si>
    <t xml:space="preserve">CENTURY   ELEGANCE JOINT VENTU     </t>
  </si>
  <si>
    <t>CONRED</t>
  </si>
  <si>
    <t xml:space="preserve">PIRTEK PTY LTD                     </t>
  </si>
  <si>
    <t>Johan</t>
  </si>
  <si>
    <t xml:space="preserve">ESKORT LTD                         </t>
  </si>
  <si>
    <t>thobeka</t>
  </si>
  <si>
    <t>PORT4</t>
  </si>
  <si>
    <t>PORT SHEPSTONE</t>
  </si>
  <si>
    <t xml:space="preserve">HYDROMATIC ENTERPRISES PTY LTD     </t>
  </si>
  <si>
    <t>Sharishna</t>
  </si>
  <si>
    <t>amona</t>
  </si>
  <si>
    <t>POD received from cell 0745473242 M</t>
  </si>
  <si>
    <t xml:space="preserve">ENTERPRISE FOOD AN DIV OF TIGE     </t>
  </si>
  <si>
    <t xml:space="preserve">thabi                         </t>
  </si>
  <si>
    <t xml:space="preserve">POD received from cell 0631962221 M     </t>
  </si>
  <si>
    <t>SIGN</t>
  </si>
  <si>
    <t>Ssmson</t>
  </si>
  <si>
    <t xml:space="preserve">SIBANYE GOLD ACADEMY (PTY)LTD      </t>
  </si>
  <si>
    <t xml:space="preserve">MAXION WHEELS SA                   </t>
  </si>
  <si>
    <t>RTS RFES1162594323</t>
  </si>
  <si>
    <t>Client refused delivery</t>
  </si>
  <si>
    <t xml:space="preserve">MAHLE BEHR SOUTH AFRICA (PTY)      </t>
  </si>
  <si>
    <t>y klaas</t>
  </si>
  <si>
    <t xml:space="preserve">WILLOWTON OIL   CAKE MILLS         </t>
  </si>
  <si>
    <t>shahid</t>
  </si>
  <si>
    <t>cotzee</t>
  </si>
  <si>
    <t>MIDD2</t>
  </si>
  <si>
    <t>MIDDELBURG (Mpumalanga)</t>
  </si>
  <si>
    <t xml:space="preserve">GIJIAM                             </t>
  </si>
  <si>
    <t>DUPPIE DU PLESSIS</t>
  </si>
  <si>
    <t>J J  Du plessis</t>
  </si>
  <si>
    <t>POD received from cell 0722601650 M</t>
  </si>
  <si>
    <t xml:space="preserve">HASLOP   MASON ENGINEERING CC      </t>
  </si>
  <si>
    <t>wellington</t>
  </si>
  <si>
    <t xml:space="preserve">VAAL SANITARYWARE (PTY) LTD        </t>
  </si>
  <si>
    <t>BARBARA</t>
  </si>
  <si>
    <t xml:space="preserve">FOXTEC-IKHWEZI PTY LTD             </t>
  </si>
  <si>
    <t>VUYO MALI</t>
  </si>
  <si>
    <t>Tanya</t>
  </si>
  <si>
    <t xml:space="preserve">MISTER SWEET PTY LTD               </t>
  </si>
  <si>
    <t>thabo</t>
  </si>
  <si>
    <t xml:space="preserve">INDUSTRIAL CONTROL AUTOMATION      </t>
  </si>
  <si>
    <t xml:space="preserve">aphiwe                        </t>
  </si>
  <si>
    <t>A V NIEKERK</t>
  </si>
  <si>
    <t>POD received from cell 0787809523 M</t>
  </si>
  <si>
    <t xml:space="preserve">MONDELEZ PE FACTORY INC            </t>
  </si>
  <si>
    <t>keano</t>
  </si>
  <si>
    <t xml:space="preserve">DIGN ENGINEERING                   </t>
  </si>
  <si>
    <t>Nickey</t>
  </si>
  <si>
    <t xml:space="preserve">PRIMA INDUSTRIAL HOLDINGS          </t>
  </si>
  <si>
    <t>webster</t>
  </si>
  <si>
    <t>VRED3</t>
  </si>
  <si>
    <t>VREDENBURG</t>
  </si>
  <si>
    <t xml:space="preserve">BEARINGS DISTRIBUTORS WESKUS       </t>
  </si>
  <si>
    <t>HEINRICH</t>
  </si>
  <si>
    <t xml:space="preserve">ELECTRONIC   POWER                 </t>
  </si>
  <si>
    <t>MARIETTA POTGIETER</t>
  </si>
  <si>
    <t>Manetta</t>
  </si>
  <si>
    <t xml:space="preserve">VOLTEX (PTY) LTD                   </t>
  </si>
  <si>
    <t>brendon</t>
  </si>
  <si>
    <t xml:space="preserve">MILLNERS DENTAL SUPPLIERS          </t>
  </si>
  <si>
    <t>yolandda</t>
  </si>
  <si>
    <t xml:space="preserve">PRODUCTIVE SYSTEMS CC              </t>
  </si>
  <si>
    <t>MICHELLA</t>
  </si>
  <si>
    <t xml:space="preserve">BANDINI CHEESE PTY LTD             </t>
  </si>
  <si>
    <t>PAULINA</t>
  </si>
  <si>
    <t>HAGLEN</t>
  </si>
  <si>
    <t>POD received from cell 0762244711 M</t>
  </si>
  <si>
    <t xml:space="preserve">clive                         </t>
  </si>
  <si>
    <t>liander</t>
  </si>
  <si>
    <t xml:space="preserve">VOLKSWAGEN OF SA                   </t>
  </si>
  <si>
    <t>z meyi</t>
  </si>
  <si>
    <t>MARIUS</t>
  </si>
  <si>
    <t>VUSI</t>
  </si>
  <si>
    <t>JEPHRY</t>
  </si>
  <si>
    <t xml:space="preserve">PIONEER FOODS GROCERIES (PTY)      </t>
  </si>
  <si>
    <t>ntombi</t>
  </si>
  <si>
    <t xml:space="preserve">NAMPAK LIQUID PACKAGING            </t>
  </si>
  <si>
    <t>Keagan</t>
  </si>
  <si>
    <t xml:space="preserve">CHANLOU TRADING CC                 </t>
  </si>
  <si>
    <t>STORES</t>
  </si>
  <si>
    <t>GUSTAN</t>
  </si>
  <si>
    <t>Afrika</t>
  </si>
  <si>
    <t xml:space="preserve">TENNECO EMISSION CONTROL           </t>
  </si>
  <si>
    <t>MARK BURRELL</t>
  </si>
  <si>
    <t>signature illeg</t>
  </si>
  <si>
    <t xml:space="preserve">CONTROL IT                         </t>
  </si>
  <si>
    <t>P HOUGH</t>
  </si>
  <si>
    <t xml:space="preserve">thobile                       </t>
  </si>
  <si>
    <t xml:space="preserve">DURR SOUTH AFRICA                  </t>
  </si>
  <si>
    <t>Lisa</t>
  </si>
  <si>
    <t xml:space="preserve">Nathanael                     </t>
  </si>
  <si>
    <t>johannes</t>
  </si>
  <si>
    <t>JULIA</t>
  </si>
  <si>
    <t xml:space="preserve">VOLKSWAGEN SA                      </t>
  </si>
  <si>
    <t>RICK ALLSOP</t>
  </si>
  <si>
    <t>r van staden</t>
  </si>
  <si>
    <t xml:space="preserve">MAGNET ELECTRICAL                  </t>
  </si>
  <si>
    <t>navin</t>
  </si>
  <si>
    <t xml:space="preserve">NESTLE SOUTH AFRICA (PTY) L.T.     </t>
  </si>
  <si>
    <t>Ronard</t>
  </si>
  <si>
    <t>Denise</t>
  </si>
  <si>
    <t>WATER</t>
  </si>
  <si>
    <t>kurn</t>
  </si>
  <si>
    <t>ALPHEAUS</t>
  </si>
  <si>
    <t>Wilber</t>
  </si>
  <si>
    <t>christaan</t>
  </si>
  <si>
    <t>collin</t>
  </si>
  <si>
    <t xml:space="preserve">VALIANT TMS SOUTH AFRICA (PTY)     </t>
  </si>
  <si>
    <t>Christo</t>
  </si>
  <si>
    <t>gugu</t>
  </si>
  <si>
    <t xml:space="preserve">ETVAAL MEUBELVERVAARDIGERS         </t>
  </si>
  <si>
    <t>WIMPIE</t>
  </si>
  <si>
    <t xml:space="preserve">PACIFIC FLUID COMPONENTS CC        </t>
  </si>
  <si>
    <t>T NAIDOO</t>
  </si>
  <si>
    <t xml:space="preserve">LEONARD DIGLER (PTY)LTD            </t>
  </si>
  <si>
    <t>RTS RFES1162593282</t>
  </si>
  <si>
    <t xml:space="preserve">SMITHS MANUFACTURING PTY LTD       </t>
  </si>
  <si>
    <t>RAJEN</t>
  </si>
  <si>
    <t>BNI</t>
  </si>
  <si>
    <t>RTS RFES116259329</t>
  </si>
  <si>
    <t xml:space="preserve">TOYOTA SA MOTORS PTY LTD           </t>
  </si>
  <si>
    <t>CHARLET</t>
  </si>
  <si>
    <t>bni</t>
  </si>
  <si>
    <t>Returned to sender on waybill</t>
  </si>
  <si>
    <t xml:space="preserve">BMG PTY LTD                        </t>
  </si>
  <si>
    <t>nazia</t>
  </si>
  <si>
    <t>STANG</t>
  </si>
  <si>
    <t>STANGER</t>
  </si>
  <si>
    <t xml:space="preserve">SAPPI SA                           </t>
  </si>
  <si>
    <t xml:space="preserve">SUNBAKE BENONI                     </t>
  </si>
  <si>
    <t>MARI</t>
  </si>
  <si>
    <t xml:space="preserve">Bethie                        </t>
  </si>
  <si>
    <t xml:space="preserve">POD received from cell 0625670357 M     </t>
  </si>
  <si>
    <t>Enoch</t>
  </si>
  <si>
    <t>ENOCH</t>
  </si>
  <si>
    <t>NOMZANO</t>
  </si>
  <si>
    <t>H Ramrath</t>
  </si>
  <si>
    <t xml:space="preserve">UMOYA AUTOMATION CC                </t>
  </si>
  <si>
    <t>SASH</t>
  </si>
  <si>
    <t>victor</t>
  </si>
  <si>
    <t>ROSE</t>
  </si>
  <si>
    <t xml:space="preserve">QUALIPAK (PTY) LTD                 </t>
  </si>
  <si>
    <t>J LE ROUX</t>
  </si>
  <si>
    <t xml:space="preserve">UNIVERSITY OF STELLENBOSCH CRE     </t>
  </si>
  <si>
    <t>MAURISHA</t>
  </si>
  <si>
    <t>GOLDING</t>
  </si>
  <si>
    <t>TARRYN</t>
  </si>
  <si>
    <t xml:space="preserve">CSIR CENTRAL PROCUREMENT OFFIC     </t>
  </si>
  <si>
    <t>OSCAR</t>
  </si>
  <si>
    <t xml:space="preserve">PINKY                         </t>
  </si>
  <si>
    <t xml:space="preserve">POD received from cell 0628919084 M     </t>
  </si>
  <si>
    <t>Justin</t>
  </si>
  <si>
    <t>swe00294299</t>
  </si>
  <si>
    <t>ALFRED</t>
  </si>
  <si>
    <t xml:space="preserve">SMMF SOFTWARE TECHNOLOGIES         </t>
  </si>
  <si>
    <t>L goeda</t>
  </si>
  <si>
    <t>cangley</t>
  </si>
  <si>
    <t>eileen</t>
  </si>
  <si>
    <t xml:space="preserve">SUMATRA TRADING (PTY) LTD          </t>
  </si>
  <si>
    <t>E VOSLOO</t>
  </si>
  <si>
    <t>FRAGILE - OILS INSIDE THE BOX</t>
  </si>
  <si>
    <t>YLYNN</t>
  </si>
  <si>
    <t xml:space="preserve">JOHNSON MATTHEY PTY LTD            </t>
  </si>
  <si>
    <t>Mercia Roets</t>
  </si>
  <si>
    <t>Osler</t>
  </si>
  <si>
    <t xml:space="preserve">CONSUMER A DIV OF TIGER BRANDS     </t>
  </si>
  <si>
    <t>NASTASIA</t>
  </si>
  <si>
    <t>Ida security</t>
  </si>
  <si>
    <t>Elizabeth</t>
  </si>
  <si>
    <t xml:space="preserve">ZI-TECH VAVESTOCK (PTY)LTD         </t>
  </si>
  <si>
    <t>dec</t>
  </si>
  <si>
    <t>Mohau</t>
  </si>
  <si>
    <t xml:space="preserve">LAFARGE INDUSTRIES SA              </t>
  </si>
  <si>
    <t>KATZKE</t>
  </si>
  <si>
    <t>COMMUTER TRANSPORT ENGINEERING</t>
  </si>
  <si>
    <t>FARIN</t>
  </si>
  <si>
    <t xml:space="preserve">COUNTY FAIR FOOD  ADV OF ASTRA     </t>
  </si>
  <si>
    <t>riaya</t>
  </si>
  <si>
    <t>POD received from cell 0793258666 M</t>
  </si>
  <si>
    <t xml:space="preserve">HYDRABERG HYDRAULICS CC            </t>
  </si>
  <si>
    <t>RECIVER</t>
  </si>
  <si>
    <t>JD COETZEE</t>
  </si>
  <si>
    <t xml:space="preserve">SOMTA TOOLS PTY LTD                </t>
  </si>
  <si>
    <t>Mewis</t>
  </si>
  <si>
    <t>POD received from cell 0824855674 M</t>
  </si>
  <si>
    <t xml:space="preserve">STEPHEN SNICHA                     </t>
  </si>
  <si>
    <t xml:space="preserve">FESTO PTY LTD                      </t>
  </si>
  <si>
    <t>011 971 5500</t>
  </si>
  <si>
    <t>Bakker</t>
  </si>
  <si>
    <t xml:space="preserve">Slk Bolt And Nuts                  </t>
  </si>
  <si>
    <t>T K</t>
  </si>
  <si>
    <t>DIDATIC SHIPMENT</t>
  </si>
  <si>
    <t>MOSES</t>
  </si>
  <si>
    <t>m  fourie</t>
  </si>
  <si>
    <t>POD received from cell 0715524926 M</t>
  </si>
  <si>
    <t>vusi</t>
  </si>
  <si>
    <t xml:space="preserve">NEVEN                         </t>
  </si>
  <si>
    <t xml:space="preserve">TSHEPO                        </t>
  </si>
  <si>
    <t xml:space="preserve">HULLET HYDRO EXTRUSIONS (PTY)L     </t>
  </si>
  <si>
    <t>GABRIEL</t>
  </si>
  <si>
    <t>DANIELLA</t>
  </si>
  <si>
    <t xml:space="preserve">DALE SPIRAL SYSTEMS   BAKERY A     </t>
  </si>
  <si>
    <t>Receicing</t>
  </si>
  <si>
    <t>ALLAIN</t>
  </si>
  <si>
    <t xml:space="preserve">J MEYER ENGINEERING CC             </t>
  </si>
  <si>
    <t>a meyer</t>
  </si>
  <si>
    <t>olebo</t>
  </si>
  <si>
    <t>POD received from cell 0727949491 M</t>
  </si>
  <si>
    <t>christiaan</t>
  </si>
  <si>
    <t xml:space="preserve">cs tooling                         </t>
  </si>
  <si>
    <t xml:space="preserve">induys                             </t>
  </si>
  <si>
    <t>chalkie</t>
  </si>
  <si>
    <t xml:space="preserve">FEDERAL   MOGUL                    </t>
  </si>
  <si>
    <t>SHARLA</t>
  </si>
  <si>
    <t>Liqui Box</t>
  </si>
  <si>
    <t>POD received from cell 0736914014 M</t>
  </si>
  <si>
    <t>BOX PARCEL</t>
  </si>
  <si>
    <t>A RETIEF</t>
  </si>
  <si>
    <t>PARCELS PARCELS</t>
  </si>
  <si>
    <t>IDEA</t>
  </si>
  <si>
    <t>clifford</t>
  </si>
  <si>
    <t xml:space="preserve">TOTAL SOURCE TRADING               </t>
  </si>
  <si>
    <t>Receivinf</t>
  </si>
  <si>
    <t>box</t>
  </si>
  <si>
    <t xml:space="preserve">FESTO ISANDO                       </t>
  </si>
  <si>
    <t>ROBBY ABRAM</t>
  </si>
  <si>
    <t>YOLANDA</t>
  </si>
  <si>
    <t xml:space="preserve">GSK CONSUMER HEALTHCARE SA PTY     </t>
  </si>
  <si>
    <t xml:space="preserve">NATIONAL BRANDS BIS   SNK DIV      </t>
  </si>
  <si>
    <t>Stanley</t>
  </si>
  <si>
    <t xml:space="preserve">MARCOM PLASTICS CC                 </t>
  </si>
  <si>
    <t>pieternella</t>
  </si>
  <si>
    <t>BOX PARCEL BOX PARCEL</t>
  </si>
  <si>
    <t>SELBY</t>
  </si>
  <si>
    <t xml:space="preserve">SHATTERPRUFE TRADING AS A          </t>
  </si>
  <si>
    <t>CASE NO KZK 89 12 2017</t>
  </si>
  <si>
    <t>FUE / INS</t>
  </si>
  <si>
    <t xml:space="preserve">FORD OF SOUTHERN AFRICA AX9WA      </t>
  </si>
  <si>
    <t>Returned to sender on waybill number RRF</t>
  </si>
  <si>
    <t>F</t>
  </si>
  <si>
    <t>janine</t>
  </si>
  <si>
    <t>SANTOS   MALI</t>
  </si>
  <si>
    <t>Masi</t>
  </si>
  <si>
    <t xml:space="preserve">ELDERWOOD TRADING CC               </t>
  </si>
  <si>
    <t>clara</t>
  </si>
  <si>
    <t xml:space="preserve">THE HYDRAULIC CONNECTION           </t>
  </si>
  <si>
    <t>SABELO</t>
  </si>
  <si>
    <t xml:space="preserve">S.A. LITHO PRINTINGS   PACK. (     </t>
  </si>
  <si>
    <t>a walters</t>
  </si>
  <si>
    <t xml:space="preserve">WIKA INSTRUMENTS (PTY)LTD          </t>
  </si>
  <si>
    <t>Debbie</t>
  </si>
  <si>
    <t>SENTSHO</t>
  </si>
  <si>
    <t>Shadrack</t>
  </si>
  <si>
    <t>Nathan</t>
  </si>
  <si>
    <t xml:space="preserve">M.CURRIN ENTERPRISES CC            </t>
  </si>
  <si>
    <t xml:space="preserve">CONSOL GLASS (PTY) LTD             </t>
  </si>
  <si>
    <t>lindi</t>
  </si>
  <si>
    <t xml:space="preserve">MACHMAN PTY LTD                    </t>
  </si>
  <si>
    <t>rudi</t>
  </si>
  <si>
    <t xml:space="preserve">FAIR PLASTICS PACKAGING            </t>
  </si>
  <si>
    <t>edwina</t>
  </si>
  <si>
    <t>leonie</t>
  </si>
  <si>
    <t>RE SEND TO CLIENT</t>
  </si>
  <si>
    <t>A meyer</t>
  </si>
  <si>
    <t xml:space="preserve">UMICORE CATALYST SA PTY LTD        </t>
  </si>
  <si>
    <t>karl</t>
  </si>
  <si>
    <t>CREATED ONLY</t>
  </si>
  <si>
    <t>FAREN</t>
  </si>
  <si>
    <t xml:space="preserve">CROWN CHICKENS                     </t>
  </si>
  <si>
    <t xml:space="preserve">ACTISOL CC T A EX-ES GENERAL       </t>
  </si>
  <si>
    <t>Jocelyn</t>
  </si>
  <si>
    <t xml:space="preserve">LN AUTOMATION                      </t>
  </si>
  <si>
    <t>Sharif</t>
  </si>
  <si>
    <t>POD received from cell 0784385207 M</t>
  </si>
  <si>
    <t xml:space="preserve">FAURECIA EXHAUST SYSTEMS (PTY)     </t>
  </si>
  <si>
    <t>Elustine</t>
  </si>
  <si>
    <t>sandisiwe</t>
  </si>
  <si>
    <t>Lyntasha</t>
  </si>
  <si>
    <t>LETICIA   BRYAN</t>
  </si>
  <si>
    <t>Nazneem</t>
  </si>
  <si>
    <t>SOME1</t>
  </si>
  <si>
    <t>SOMERSET EAST</t>
  </si>
  <si>
    <t xml:space="preserve">P.J.ENGINEERING                    </t>
  </si>
  <si>
    <t>a witbooi</t>
  </si>
  <si>
    <t xml:space="preserve">CBI ELECTRIC AFRICAN CABLES        </t>
  </si>
  <si>
    <t>CLIFFORD</t>
  </si>
  <si>
    <t>Nelly</t>
  </si>
  <si>
    <t xml:space="preserve">ADCOCK INGRSM CRITICAL CARE PT     </t>
  </si>
  <si>
    <t>PHINDILE</t>
  </si>
  <si>
    <t>janet</t>
  </si>
  <si>
    <t xml:space="preserve">ANGLO AMERICAN CORP                </t>
  </si>
  <si>
    <t>WESTO</t>
  </si>
  <si>
    <t>WESTONARIA</t>
  </si>
  <si>
    <t xml:space="preserve">WEST END CLAY BRICKS (PTY) LTD     </t>
  </si>
  <si>
    <t>RITA</t>
  </si>
  <si>
    <t>LERATO MAKHOBOTOANE</t>
  </si>
  <si>
    <t>MANIE KILIAN</t>
  </si>
  <si>
    <t>johan</t>
  </si>
  <si>
    <t>KOBUS</t>
  </si>
  <si>
    <t>MATHUDU</t>
  </si>
  <si>
    <t>ISABELLA ROUX</t>
  </si>
  <si>
    <t>johan v</t>
  </si>
  <si>
    <t>mib</t>
  </si>
  <si>
    <t xml:space="preserve">ELIAS                         </t>
  </si>
  <si>
    <t xml:space="preserve">HYDRAULIC COMPONENTS CC            </t>
  </si>
  <si>
    <t>BHARESH POONEE</t>
  </si>
  <si>
    <t>WEBSTER KOTELO</t>
  </si>
  <si>
    <t>Romano</t>
  </si>
  <si>
    <t>ANGELO</t>
  </si>
  <si>
    <t xml:space="preserve">JOHN BEAN TECHNOLOGIES PTY LTD     </t>
  </si>
  <si>
    <t>Wendell</t>
  </si>
  <si>
    <t>PIET RETIEF</t>
  </si>
  <si>
    <t xml:space="preserve">PUMPS   TRANSMISSION               </t>
  </si>
  <si>
    <t>JACO</t>
  </si>
  <si>
    <t>POD received from cell 0792732449 M</t>
  </si>
  <si>
    <t>ESTHER</t>
  </si>
  <si>
    <t>POD received from cell 0617634984 M</t>
  </si>
  <si>
    <t xml:space="preserve">DUTTON PLASTICS ENGINEERING        </t>
  </si>
  <si>
    <t>MILLY</t>
  </si>
  <si>
    <t>irene</t>
  </si>
  <si>
    <t>BRANDON   ANDY</t>
  </si>
  <si>
    <t>bruinings</t>
  </si>
  <si>
    <t>Ahwin</t>
  </si>
  <si>
    <t xml:space="preserve">BMG PORT ELIZABETH 0142            </t>
  </si>
  <si>
    <t>Hennie</t>
  </si>
  <si>
    <t xml:space="preserve">THE BIOVAC INSTITUTE               </t>
  </si>
  <si>
    <t>Boyikos</t>
  </si>
  <si>
    <t>C Jacobs</t>
  </si>
  <si>
    <t>queen</t>
  </si>
  <si>
    <t>fradda</t>
  </si>
  <si>
    <t>Heather</t>
  </si>
  <si>
    <t>ferieda</t>
  </si>
  <si>
    <t>Jason Zulu</t>
  </si>
  <si>
    <t xml:space="preserve">CEMPACK                            </t>
  </si>
  <si>
    <t>GABRIELLO</t>
  </si>
  <si>
    <t>Morenique</t>
  </si>
  <si>
    <t xml:space="preserve">SPERO SENSORS   INSTRUMENTS PT     </t>
  </si>
  <si>
    <t>MUSA</t>
  </si>
  <si>
    <t xml:space="preserve">HICONNEX                           </t>
  </si>
  <si>
    <t>PUSELETSO</t>
  </si>
  <si>
    <t>Johannes</t>
  </si>
  <si>
    <t xml:space="preserve">HIGH FORCE HYDRAULIC PNEUMATIC     </t>
  </si>
  <si>
    <t>JULIE</t>
  </si>
  <si>
    <t>fraser</t>
  </si>
  <si>
    <t xml:space="preserve">DRESSER INTERNATIONAL INC          </t>
  </si>
  <si>
    <t>TUMI</t>
  </si>
  <si>
    <t xml:space="preserve">ALBANY BAKERY RANDFONTEIN          </t>
  </si>
  <si>
    <t>LEBOGANG</t>
  </si>
  <si>
    <t xml:space="preserve">BCPE DIAMOND SOUTH AFRICA          </t>
  </si>
  <si>
    <t>PRINCESS</t>
  </si>
  <si>
    <t>Wilbur</t>
  </si>
  <si>
    <t>POD received from cell 0607548207 M</t>
  </si>
  <si>
    <t>Stores</t>
  </si>
  <si>
    <t>Lindin</t>
  </si>
  <si>
    <t>mruinings</t>
  </si>
  <si>
    <t xml:space="preserve">HALEWOOD INTERNATIONAL             </t>
  </si>
  <si>
    <t>Rita</t>
  </si>
  <si>
    <t>HEID2</t>
  </si>
  <si>
    <t>HEIDELBERG (TVL)</t>
  </si>
  <si>
    <t xml:space="preserve">ESKORT MEAT                        </t>
  </si>
  <si>
    <t>anelia</t>
  </si>
  <si>
    <t>bulelwea</t>
  </si>
  <si>
    <t>Merlin</t>
  </si>
  <si>
    <t xml:space="preserve">DNH MANUFACTURING (PTY) LTD        </t>
  </si>
  <si>
    <t>ROBERT</t>
  </si>
  <si>
    <t>morn</t>
  </si>
  <si>
    <t xml:space="preserve">EBF OLIFANTSFONTEIN                </t>
  </si>
  <si>
    <t>MORAY</t>
  </si>
  <si>
    <t>ERNEST MOREMEDI</t>
  </si>
  <si>
    <t>WELLIGNTON</t>
  </si>
  <si>
    <t xml:space="preserve">PAKWORKS (PTY) LTD                 </t>
  </si>
  <si>
    <t>Theuns Botha</t>
  </si>
  <si>
    <t xml:space="preserve">HYDROMATIC AIRLINE T               </t>
  </si>
  <si>
    <t>VERY URGENT  FLIGHT CLOSING 09:30</t>
  </si>
  <si>
    <t xml:space="preserve">MICGILE                       </t>
  </si>
  <si>
    <t>DSD / FUE / INS</t>
  </si>
  <si>
    <t xml:space="preserve">VERTEX AUTOMATION PTY LTD          </t>
  </si>
  <si>
    <t>Buyisile</t>
  </si>
  <si>
    <t xml:space="preserve">LEAR SEWING PTY LTD                </t>
  </si>
  <si>
    <t>Mervyn</t>
  </si>
  <si>
    <t>lofie</t>
  </si>
  <si>
    <t xml:space="preserve">GRUPO ANTOLIN (PTY) LTD            </t>
  </si>
  <si>
    <t>D Barends</t>
  </si>
  <si>
    <t>Clive</t>
  </si>
  <si>
    <t xml:space="preserve">UNIVERSAL AUTOMATION SYSTEM (P     </t>
  </si>
  <si>
    <t>UNIVERSAL AUTOMATION SYSTEM  P</t>
  </si>
  <si>
    <t>HENNE</t>
  </si>
  <si>
    <t>HENNENMAN</t>
  </si>
  <si>
    <t xml:space="preserve">TIGER CONSUMER BRANDS LTD          </t>
  </si>
  <si>
    <t>POD received from cell 0737539985 M</t>
  </si>
  <si>
    <t>Wauter</t>
  </si>
  <si>
    <t xml:space="preserve">NUKOR (PTY) LTD                    </t>
  </si>
  <si>
    <t>Marcel</t>
  </si>
  <si>
    <t>POD received from cell 0827595505 M</t>
  </si>
  <si>
    <t xml:space="preserve">R . LISHMAN                        </t>
  </si>
  <si>
    <t>NANNA</t>
  </si>
  <si>
    <t xml:space="preserve">PAIL PAC                           </t>
  </si>
  <si>
    <t>shane</t>
  </si>
  <si>
    <t>NIORO PLASTICS</t>
  </si>
  <si>
    <t xml:space="preserve">ABRAM                         </t>
  </si>
  <si>
    <t xml:space="preserve">LAFARGE                            </t>
  </si>
  <si>
    <t>MANAGER</t>
  </si>
  <si>
    <t>FLR</t>
  </si>
  <si>
    <t xml:space="preserve">CADSOURANCE                        </t>
  </si>
  <si>
    <t>rdl</t>
  </si>
  <si>
    <t xml:space="preserve">CLURE PROJECTS                     </t>
  </si>
  <si>
    <t>NATHAN</t>
  </si>
  <si>
    <t xml:space="preserve">Akhona                        </t>
  </si>
  <si>
    <t>FLYER</t>
  </si>
  <si>
    <t xml:space="preserve">ERNEST                             </t>
  </si>
  <si>
    <t>ERNEST</t>
  </si>
  <si>
    <t>Yolanda</t>
  </si>
  <si>
    <t>j cloete</t>
  </si>
  <si>
    <t>joye</t>
  </si>
  <si>
    <t>PASULINE</t>
  </si>
  <si>
    <t>NAZEER</t>
  </si>
  <si>
    <t>PAULINE</t>
  </si>
  <si>
    <t>NAZEEN</t>
  </si>
  <si>
    <t xml:space="preserve">CTP NEWSPAPERS CPT                 </t>
  </si>
  <si>
    <t>laurence</t>
  </si>
  <si>
    <t>fes</t>
  </si>
  <si>
    <t xml:space="preserve">COUNTY FAIR FOODS                  </t>
  </si>
  <si>
    <t>Pastor</t>
  </si>
  <si>
    <t>s louw</t>
  </si>
  <si>
    <t xml:space="preserve">jaco                          </t>
  </si>
  <si>
    <t xml:space="preserve">POD received from cell 0746644640 M     </t>
  </si>
  <si>
    <t xml:space="preserve">CULINARY  A DIVISION OF            </t>
  </si>
  <si>
    <t>Adam</t>
  </si>
  <si>
    <t xml:space="preserve">FUEL INDUSTRY SERVICES PTY LTD     </t>
  </si>
  <si>
    <t>germer</t>
  </si>
  <si>
    <t xml:space="preserve">CTP NEWSPAPER CPT                  </t>
  </si>
  <si>
    <t>f</t>
  </si>
  <si>
    <t xml:space="preserve">Craig                         </t>
  </si>
  <si>
    <t xml:space="preserve">TORRE AUTOMOTIVE (PTY) LTD         </t>
  </si>
  <si>
    <t>KABALAZA</t>
  </si>
  <si>
    <t>stacey</t>
  </si>
  <si>
    <t xml:space="preserve">LITHOTECH CAPE PTY LTD             </t>
  </si>
  <si>
    <t>junaid</t>
  </si>
  <si>
    <t xml:space="preserve">SEECOR BLOW MOULDERS               </t>
  </si>
  <si>
    <t>C Botha</t>
  </si>
  <si>
    <t>aubert</t>
  </si>
  <si>
    <t xml:space="preserve">ALL ENGINEERING SERVICES CC        </t>
  </si>
  <si>
    <t>THANDI</t>
  </si>
  <si>
    <t xml:space="preserve">Debbie                        </t>
  </si>
  <si>
    <t xml:space="preserve">Buyisile                      </t>
  </si>
  <si>
    <t>H GASKIN</t>
  </si>
  <si>
    <t>ZUKI</t>
  </si>
  <si>
    <t>HENNIE</t>
  </si>
  <si>
    <t>POD received from cell 0792849435 M</t>
  </si>
  <si>
    <t>RALPH</t>
  </si>
  <si>
    <t xml:space="preserve">DCD PROTECTED MOBILITY             </t>
  </si>
  <si>
    <t>dephney</t>
  </si>
  <si>
    <t>gert</t>
  </si>
  <si>
    <t xml:space="preserve">P24 INTERCONNECT                   </t>
  </si>
  <si>
    <t xml:space="preserve">LETTY ELI                     </t>
  </si>
  <si>
    <t xml:space="preserve">OMNIA FERTILIZER                   </t>
  </si>
  <si>
    <t>ISMAIL MOLOI</t>
  </si>
  <si>
    <t>JERRY</t>
  </si>
  <si>
    <t xml:space="preserve">NEDBANK (NEDFLEET)                 </t>
  </si>
  <si>
    <t>CYRIL NAIDOO</t>
  </si>
  <si>
    <t>zanele</t>
  </si>
  <si>
    <t>ssh</t>
  </si>
  <si>
    <t>POD received from cell 0746098569 M</t>
  </si>
  <si>
    <t>RE SEND PARCEL(DAMAGED)</t>
  </si>
  <si>
    <t xml:space="preserve">RCL FOODS SUGAR   MILLING PTY      </t>
  </si>
  <si>
    <t>XHIVELA</t>
  </si>
  <si>
    <t xml:space="preserve">TECHNICRETE CLAYVILLE              </t>
  </si>
  <si>
    <t>GERT</t>
  </si>
  <si>
    <t xml:space="preserve">PROJECTS 24 DEVELOPMENT CC         </t>
  </si>
  <si>
    <t xml:space="preserve">LETTY                         </t>
  </si>
  <si>
    <t>JOHNNY</t>
  </si>
  <si>
    <t xml:space="preserve">PROCESS DYNAMICS PTY LTD           </t>
  </si>
  <si>
    <t>lwazi</t>
  </si>
  <si>
    <t xml:space="preserve">COBRA WATERTECH (PTY)LTD           </t>
  </si>
  <si>
    <t>Edwina</t>
  </si>
  <si>
    <t>kemi</t>
  </si>
  <si>
    <t xml:space="preserve">LINDE + WIEMANN (PTY) LTD          </t>
  </si>
  <si>
    <t xml:space="preserve">Riaan                         </t>
  </si>
  <si>
    <t>VERUL</t>
  </si>
  <si>
    <t>VERULAM</t>
  </si>
  <si>
    <t xml:space="preserve">SMARTSTONE KZN DIV OF              </t>
  </si>
  <si>
    <t>Rcohn</t>
  </si>
  <si>
    <t xml:space="preserve">NEOPAK                             </t>
  </si>
  <si>
    <t>weziwe</t>
  </si>
  <si>
    <t xml:space="preserve">STRAIT ACCESS TECHNOLOGIES HOL     </t>
  </si>
  <si>
    <t>TEDDY MUDGE</t>
  </si>
  <si>
    <t xml:space="preserve">Abida                         </t>
  </si>
  <si>
    <t xml:space="preserve">POD received from cell 0788218368 M     </t>
  </si>
  <si>
    <t>SWELL</t>
  </si>
  <si>
    <t>SWELLENDAM</t>
  </si>
  <si>
    <t xml:space="preserve">SOUTHERN OIL LTD T A SOILL         </t>
  </si>
  <si>
    <t>ANNELINE PORTER</t>
  </si>
  <si>
    <t>POD received from cell 0732462079 M</t>
  </si>
  <si>
    <t>lee riche</t>
  </si>
  <si>
    <t>le riche</t>
  </si>
  <si>
    <t>cidney</t>
  </si>
  <si>
    <t xml:space="preserve">PIONEER FOOD PTY LTD               </t>
  </si>
  <si>
    <t>CHENTA</t>
  </si>
  <si>
    <t xml:space="preserve">Steven                        </t>
  </si>
  <si>
    <t xml:space="preserve">POD received from cell 0763492871 M     </t>
  </si>
  <si>
    <t xml:space="preserve">TONGAAT HULETTS GROUP LIMITED      </t>
  </si>
  <si>
    <t>thabile</t>
  </si>
  <si>
    <t xml:space="preserve">FELTEX AUTOMOTIVE DIVISION         </t>
  </si>
  <si>
    <t xml:space="preserve">pramesh                       </t>
  </si>
  <si>
    <t xml:space="preserve">COCA COLA CANNERS OF SA            </t>
  </si>
  <si>
    <t>DEIRDRE PLINT</t>
  </si>
  <si>
    <t>puledi</t>
  </si>
  <si>
    <t xml:space="preserve">RAINBOW FARMS                      </t>
  </si>
  <si>
    <t>THABO</t>
  </si>
  <si>
    <t>P HOLZ</t>
  </si>
  <si>
    <t>katlego</t>
  </si>
  <si>
    <t>khumo</t>
  </si>
  <si>
    <t>LEBOHANG</t>
  </si>
  <si>
    <t>MDU</t>
  </si>
  <si>
    <t xml:space="preserve">BRIDGETTE                     </t>
  </si>
  <si>
    <t xml:space="preserve">ZF LEMFOERDER SA                   </t>
  </si>
  <si>
    <t xml:space="preserve">PPC CEMENT SA                      </t>
  </si>
  <si>
    <t xml:space="preserve">PNEUMATIC TANKER EQUIPMENT CC      </t>
  </si>
  <si>
    <t>NICO VAN DER WALT</t>
  </si>
  <si>
    <t>tan tan</t>
  </si>
  <si>
    <t>cheryl</t>
  </si>
  <si>
    <t>PHILLIP</t>
  </si>
  <si>
    <t>RENE</t>
  </si>
  <si>
    <t>H D VISAGIE</t>
  </si>
  <si>
    <t>esther</t>
  </si>
  <si>
    <t>L MINNAAR</t>
  </si>
  <si>
    <t xml:space="preserve">SAMSON                        </t>
  </si>
  <si>
    <t xml:space="preserve">EBERSPACHER ROSSLYN                </t>
  </si>
  <si>
    <t xml:space="preserve">JOHANNAH                      </t>
  </si>
  <si>
    <t>elize</t>
  </si>
  <si>
    <t>ESRA</t>
  </si>
  <si>
    <t>SINSISWA</t>
  </si>
  <si>
    <t xml:space="preserve">BLAIZEPOINT TRADING 274 CC         </t>
  </si>
  <si>
    <t>JAYDN</t>
  </si>
  <si>
    <t>Glynis</t>
  </si>
  <si>
    <t>brouer</t>
  </si>
  <si>
    <t>Ursula</t>
  </si>
  <si>
    <t xml:space="preserve">william                       </t>
  </si>
  <si>
    <t xml:space="preserve">POD received from cell 0792849435 M     </t>
  </si>
  <si>
    <t>clive</t>
  </si>
  <si>
    <t>cindney</t>
  </si>
  <si>
    <t>iklleg</t>
  </si>
  <si>
    <t>SARAH</t>
  </si>
  <si>
    <t>CHEVON</t>
  </si>
  <si>
    <t xml:space="preserve">BLUE RIBBON BAKERY CPT             </t>
  </si>
  <si>
    <t>J Barnes</t>
  </si>
  <si>
    <t xml:space="preserve">FLUID SYSTEMS                      </t>
  </si>
  <si>
    <t>DANIELLE</t>
  </si>
  <si>
    <t>megan</t>
  </si>
  <si>
    <t xml:space="preserve">BREEDEVALLEY HAYDRAULICS CC T      </t>
  </si>
  <si>
    <t>s klambretch</t>
  </si>
  <si>
    <t>NIKI</t>
  </si>
  <si>
    <t>janice</t>
  </si>
  <si>
    <t>fes1162595066</t>
  </si>
  <si>
    <t>LANDE</t>
  </si>
  <si>
    <t xml:space="preserve">FERRERO SOUTH AFRICA (PTY) LTD     </t>
  </si>
  <si>
    <t>DEON</t>
  </si>
  <si>
    <t xml:space="preserve">SA POWER                           </t>
  </si>
  <si>
    <t>c viljoen</t>
  </si>
  <si>
    <t xml:space="preserve">MECHANTRONICS                      </t>
  </si>
  <si>
    <t>FASHEEGH</t>
  </si>
  <si>
    <t>RUBBY ABRAM</t>
  </si>
  <si>
    <t>YOLANDE</t>
  </si>
  <si>
    <t>Z Meyi</t>
  </si>
  <si>
    <t>POD received from cell 0829064649 M</t>
  </si>
  <si>
    <t>siphosand</t>
  </si>
  <si>
    <t xml:space="preserve">LUMOTECH (PTY) LTD                 </t>
  </si>
  <si>
    <t>MALIBONGWE</t>
  </si>
  <si>
    <t>ALIWA</t>
  </si>
  <si>
    <t>ALIWAL NORTH</t>
  </si>
  <si>
    <t xml:space="preserve">PIONEER FOOD (PTY) LTD             </t>
  </si>
  <si>
    <t>ivan</t>
  </si>
  <si>
    <t xml:space="preserve">DEFY APPLIANCES (PTY) LTD          </t>
  </si>
  <si>
    <t xml:space="preserve">Rajesh                        </t>
  </si>
  <si>
    <t xml:space="preserve">kata                          </t>
  </si>
  <si>
    <t xml:space="preserve">POD received from cell 0620923972 M     </t>
  </si>
  <si>
    <t>ellen</t>
  </si>
  <si>
    <t>japie</t>
  </si>
  <si>
    <t>Ruan Welthagen</t>
  </si>
  <si>
    <t xml:space="preserve">COCA-COLA BEVERGES SOUTH AFRIC     </t>
  </si>
  <si>
    <t xml:space="preserve">eve                           </t>
  </si>
  <si>
    <t xml:space="preserve">POD received from cell 0767999848 M     </t>
  </si>
  <si>
    <t>ziyanda</t>
  </si>
  <si>
    <t>POD received from cell 0822915897 M</t>
  </si>
  <si>
    <t>vishnu</t>
  </si>
  <si>
    <t>rossouw</t>
  </si>
  <si>
    <t>CLINTON AKOM</t>
  </si>
  <si>
    <t xml:space="preserve">SETON SA PTY LTD                   </t>
  </si>
  <si>
    <t>HELEEN VERMAAK</t>
  </si>
  <si>
    <t>KENNY</t>
  </si>
  <si>
    <t xml:space="preserve">LEBOGANG                      </t>
  </si>
  <si>
    <t xml:space="preserve">NAMPAK CLOSURES                    </t>
  </si>
  <si>
    <t>lt dlama</t>
  </si>
  <si>
    <t xml:space="preserve">DANONE SA PTY LTD                  </t>
  </si>
  <si>
    <t>SAMUKELISIWE KOENAITE</t>
  </si>
  <si>
    <t xml:space="preserve">kats                          </t>
  </si>
  <si>
    <t>justin</t>
  </si>
  <si>
    <t xml:space="preserve">G.U.D HOLDINGS                     </t>
  </si>
  <si>
    <t>amitha</t>
  </si>
  <si>
    <t>SANDY (WAREHOUSE) NEVILLE</t>
  </si>
  <si>
    <t>Candy</t>
  </si>
  <si>
    <t xml:space="preserve">sanjiv                        </t>
  </si>
  <si>
    <t xml:space="preserve">basil                         </t>
  </si>
  <si>
    <t xml:space="preserve">POLYOAK PACKAGING PTY LTD          </t>
  </si>
  <si>
    <t>MONIQUE</t>
  </si>
  <si>
    <t xml:space="preserve">JONI                          </t>
  </si>
  <si>
    <t>Dan Malatji</t>
  </si>
  <si>
    <t xml:space="preserve">EBERSPACHER SOUTH AFRICA (PTY)     </t>
  </si>
  <si>
    <t>suraja</t>
  </si>
  <si>
    <t>G Fourie</t>
  </si>
  <si>
    <t xml:space="preserve">HOT PLATINUM                       </t>
  </si>
  <si>
    <t>amina</t>
  </si>
  <si>
    <t>nichloas</t>
  </si>
  <si>
    <t>ANNELINE PIETER</t>
  </si>
  <si>
    <t xml:space="preserve">MEGA - PAK                         </t>
  </si>
  <si>
    <t xml:space="preserve">Richard                       </t>
  </si>
  <si>
    <t xml:space="preserve">POD received from cell 0730059234 M     </t>
  </si>
  <si>
    <t xml:space="preserve">INENZO WATER PTY LTD               </t>
  </si>
  <si>
    <t xml:space="preserve">andy                          </t>
  </si>
  <si>
    <t>devan</t>
  </si>
  <si>
    <t xml:space="preserve">FOODSERV SOLUTIONS                 </t>
  </si>
  <si>
    <t>TIAAN</t>
  </si>
  <si>
    <t>mama</t>
  </si>
  <si>
    <t xml:space="preserve">CARISSA                       </t>
  </si>
  <si>
    <t xml:space="preserve">RHEINMETALL LAINGSDALE (PTY) L     </t>
  </si>
  <si>
    <t>Alfonso</t>
  </si>
  <si>
    <t xml:space="preserve">SAPREF                             </t>
  </si>
  <si>
    <t>siziwe</t>
  </si>
  <si>
    <t>THAB1</t>
  </si>
  <si>
    <t>THABAZIMBI</t>
  </si>
  <si>
    <t xml:space="preserve">PPC CEMENT SA (PTY) LTD            </t>
  </si>
  <si>
    <t>Japhat</t>
  </si>
  <si>
    <t>POD received from cell 0607751035 M</t>
  </si>
  <si>
    <t xml:space="preserve">chanel                        </t>
  </si>
  <si>
    <t xml:space="preserve">Jarrett                       </t>
  </si>
  <si>
    <t>kiven</t>
  </si>
  <si>
    <t xml:space="preserve">PAK 2000 (PTY) LTD                 </t>
  </si>
  <si>
    <t>SHAUN   ANDREW</t>
  </si>
  <si>
    <t>Precious</t>
  </si>
  <si>
    <t xml:space="preserve">FRIMAX FOODS (PTY) LTD             </t>
  </si>
  <si>
    <t>Roshna</t>
  </si>
  <si>
    <t>MIDRA</t>
  </si>
  <si>
    <t>MIDRAND</t>
  </si>
  <si>
    <t xml:space="preserve">PARMALAT SA                        </t>
  </si>
  <si>
    <t>ISHAN GOPIE</t>
  </si>
  <si>
    <t>FRIDA</t>
  </si>
  <si>
    <t>alex</t>
  </si>
  <si>
    <t xml:space="preserve">SASOL COBALT CATALYST MNFR PTY     </t>
  </si>
  <si>
    <t>cinrad</t>
  </si>
  <si>
    <t xml:space="preserve">STRANDFOAM GROUP (PTY) LTD         </t>
  </si>
  <si>
    <t xml:space="preserve">KIRSTEN                       </t>
  </si>
  <si>
    <t xml:space="preserve">POD received from cell 0763756553 M     </t>
  </si>
  <si>
    <t>YVONNE</t>
  </si>
  <si>
    <t xml:space="preserve">SPRAY TECH SA (PTY) LTD            </t>
  </si>
  <si>
    <t>kitty</t>
  </si>
  <si>
    <t>buhle</t>
  </si>
  <si>
    <t>Gerry</t>
  </si>
  <si>
    <t>POD received from cell 0718141551 M</t>
  </si>
  <si>
    <t>mally</t>
  </si>
  <si>
    <t>POD received from cell 0746323872 M</t>
  </si>
  <si>
    <t xml:space="preserve">DONN PRODUCTS (PTY) LTD            </t>
  </si>
  <si>
    <t>BOX BOX BOX</t>
  </si>
  <si>
    <t xml:space="preserve">GERT                          </t>
  </si>
  <si>
    <t xml:space="preserve">SSTEINHOBEL INSTRUMENTATION        </t>
  </si>
  <si>
    <t>M STEINHOBEL</t>
  </si>
  <si>
    <t>POD received from cell 0781476883 M</t>
  </si>
  <si>
    <t>agnes</t>
  </si>
  <si>
    <t xml:space="preserve">OPTO AFRICA (PTY) LTD              </t>
  </si>
  <si>
    <t>monika</t>
  </si>
  <si>
    <t>POD received from cell 07679990529 M</t>
  </si>
  <si>
    <t>SOPHIE</t>
  </si>
  <si>
    <t>POD received from cell 0783924816 M</t>
  </si>
  <si>
    <t xml:space="preserve">NEW STYLE PRK                      </t>
  </si>
  <si>
    <t>STEVEN KAIRUZ</t>
  </si>
  <si>
    <t>ETTIENE</t>
  </si>
  <si>
    <t>ANANDI</t>
  </si>
  <si>
    <t xml:space="preserve">ROBERT BOSCH PTY LTD               </t>
  </si>
  <si>
    <t>LOURENS</t>
  </si>
  <si>
    <t>DAPHNEY</t>
  </si>
  <si>
    <t>Zama</t>
  </si>
  <si>
    <t xml:space="preserve">EVOWOOD (PTY)LTD                   </t>
  </si>
  <si>
    <t xml:space="preserve">Sandile                       </t>
  </si>
  <si>
    <t xml:space="preserve">POD received from cell 0657991746 M     </t>
  </si>
  <si>
    <t xml:space="preserve">ISLAND VIEW STORAGE                </t>
  </si>
  <si>
    <t>mandla</t>
  </si>
  <si>
    <t>raj</t>
  </si>
  <si>
    <t xml:space="preserve">THE SIMBA GROUP                    </t>
  </si>
  <si>
    <t>randi</t>
  </si>
  <si>
    <t>kevin</t>
  </si>
  <si>
    <t>medrina</t>
  </si>
  <si>
    <t>Rajesh</t>
  </si>
  <si>
    <t>Naomi</t>
  </si>
  <si>
    <t>ranesh</t>
  </si>
  <si>
    <t>Gabriel</t>
  </si>
  <si>
    <t xml:space="preserve">NATIONAL BRAND                     </t>
  </si>
  <si>
    <t>Pooblal</t>
  </si>
  <si>
    <t xml:space="preserve">BLENDCOR (PTY) LTD                 </t>
  </si>
  <si>
    <t>Michael</t>
  </si>
  <si>
    <t xml:space="preserve">GLEDHOW SUGAR CO. PTY LTD          </t>
  </si>
  <si>
    <t>thulani</t>
  </si>
  <si>
    <t>dynason</t>
  </si>
  <si>
    <t>POD received from cell 0792438310 M</t>
  </si>
  <si>
    <t>ADDRESS CHANGED AS PER SANDRA</t>
  </si>
  <si>
    <t xml:space="preserve">RCL FOODS CONSUMER (PTY) LTD       </t>
  </si>
  <si>
    <t>Johnathan</t>
  </si>
  <si>
    <t>kreolen</t>
  </si>
  <si>
    <t xml:space="preserve">PREMIER FMCG (PTY)LTD              </t>
  </si>
  <si>
    <t>Patients</t>
  </si>
  <si>
    <t>POD received from cell 0730059234 M</t>
  </si>
  <si>
    <t xml:space="preserve">COROBRICK (PTY) LTD                </t>
  </si>
  <si>
    <t>Dacllas</t>
  </si>
  <si>
    <t>Tayla</t>
  </si>
  <si>
    <t>bongani</t>
  </si>
  <si>
    <t>Tracy</t>
  </si>
  <si>
    <t xml:space="preserve">ALBANY BAKERIES A DIVISION OF      </t>
  </si>
  <si>
    <t>Vijay</t>
  </si>
  <si>
    <t>khaya</t>
  </si>
  <si>
    <t xml:space="preserve">senna                         </t>
  </si>
  <si>
    <t xml:space="preserve">POD received from cell 0732237417 M     </t>
  </si>
  <si>
    <t xml:space="preserve">AFRISAM SA                         </t>
  </si>
  <si>
    <t>k nagiah</t>
  </si>
  <si>
    <t xml:space="preserve">NATIONAL BIOPRODUCTS INST          </t>
  </si>
  <si>
    <t>khumbz</t>
  </si>
  <si>
    <t xml:space="preserve">RAMSAY ENGINEERING PTY LTD         </t>
  </si>
  <si>
    <t>candy</t>
  </si>
  <si>
    <t>AMONA</t>
  </si>
  <si>
    <t>jason</t>
  </si>
  <si>
    <t xml:space="preserve">diresh                        </t>
  </si>
  <si>
    <t xml:space="preserve">POD received from cell 0849917765 M     </t>
  </si>
  <si>
    <t xml:space="preserve">BMG SPRINGFIELD PARK 0182          </t>
  </si>
  <si>
    <t xml:space="preserve">DIGN ENGINEERING (PTY) LTD         </t>
  </si>
  <si>
    <t>k van staden</t>
  </si>
  <si>
    <t>PONGO</t>
  </si>
  <si>
    <t>PONGOLA</t>
  </si>
  <si>
    <t xml:space="preserve">RCL FOOD                           </t>
  </si>
  <si>
    <t>DBC</t>
  </si>
  <si>
    <t>ROBBY</t>
  </si>
  <si>
    <t xml:space="preserve">TRELLEBORGVIBRACOUSTIC-IKHWEZI     </t>
  </si>
  <si>
    <t xml:space="preserve">Faith                         </t>
  </si>
  <si>
    <t>Margaret</t>
  </si>
  <si>
    <t>LIZAAN</t>
  </si>
  <si>
    <t>andreas</t>
  </si>
  <si>
    <t xml:space="preserve">FAMOUS BRANDS MANAGEMENT           </t>
  </si>
  <si>
    <t>LISA</t>
  </si>
  <si>
    <t>POD received from cell 0607554553 M</t>
  </si>
  <si>
    <t>Hannes</t>
  </si>
  <si>
    <t>Dan Malatjie</t>
  </si>
  <si>
    <t>LINDI</t>
  </si>
  <si>
    <t xml:space="preserve">TONGAAT HULLET STARCH (PTY) LT     </t>
  </si>
  <si>
    <t>vincent</t>
  </si>
  <si>
    <t>bhekimusa</t>
  </si>
  <si>
    <t xml:space="preserve">ATL BLOW MOULDERS                  </t>
  </si>
  <si>
    <t>aneesah</t>
  </si>
  <si>
    <t>POD received from cell 0789429558 M</t>
  </si>
  <si>
    <t xml:space="preserve">SENIOR FLEXONICS (SA) (PTY) LT     </t>
  </si>
  <si>
    <t>S LOUW</t>
  </si>
  <si>
    <t>WERNER</t>
  </si>
  <si>
    <t>marisha</t>
  </si>
  <si>
    <t>LEANIE</t>
  </si>
  <si>
    <t>RICHARD</t>
  </si>
  <si>
    <t xml:space="preserve">CTP PRINTERS CPT                   </t>
  </si>
  <si>
    <t>l duncan</t>
  </si>
  <si>
    <t>rajen</t>
  </si>
  <si>
    <t>latasha</t>
  </si>
  <si>
    <t>REFER TO FES1162595620</t>
  </si>
  <si>
    <t xml:space="preserve">PAIL PAC PTY LTD                   </t>
  </si>
  <si>
    <t>kats</t>
  </si>
  <si>
    <t>RE SEND (PARCEL DELETED 12 12 2017)</t>
  </si>
  <si>
    <t>GERT VAN NIEKERK</t>
  </si>
  <si>
    <t>mngaleka</t>
  </si>
  <si>
    <t>ALLAIAN</t>
  </si>
  <si>
    <t>LE RICHE</t>
  </si>
  <si>
    <t xml:space="preserve">MARTIN   MARTIN (PTY) LTD          </t>
  </si>
  <si>
    <t>M JANTJIES</t>
  </si>
  <si>
    <t xml:space="preserve">AVENG MANUFACTURING INFRASET       </t>
  </si>
  <si>
    <t xml:space="preserve">RFES1162595726                </t>
  </si>
  <si>
    <t>kriger</t>
  </si>
  <si>
    <t>Zain</t>
  </si>
  <si>
    <t xml:space="preserve">s Aiden                       </t>
  </si>
  <si>
    <t xml:space="preserve">HYKUE SUPPLY CO PTY LTD            </t>
  </si>
  <si>
    <t>NIKITA</t>
  </si>
  <si>
    <t xml:space="preserve">JIMMY                         </t>
  </si>
  <si>
    <t xml:space="preserve">KERRY INGREDIENTS SOUTH AFRICA     </t>
  </si>
  <si>
    <t>Cyril</t>
  </si>
  <si>
    <t>chanel</t>
  </si>
  <si>
    <t>ilze</t>
  </si>
  <si>
    <t xml:space="preserve">AMARO FOODS                        </t>
  </si>
  <si>
    <t>JONATHAN</t>
  </si>
  <si>
    <t>loyd</t>
  </si>
  <si>
    <t>cedric</t>
  </si>
  <si>
    <t>jarhard</t>
  </si>
  <si>
    <t>enoch</t>
  </si>
  <si>
    <t>Deon</t>
  </si>
  <si>
    <t>POD received from cell 0813506176 M</t>
  </si>
  <si>
    <t>k a moloto</t>
  </si>
  <si>
    <t xml:space="preserve">ADJ ENGINEERING WORKS              </t>
  </si>
  <si>
    <t>kooos</t>
  </si>
  <si>
    <t xml:space="preserve">RESCUE TECHNOLOGY CC               </t>
  </si>
  <si>
    <t>STEWART</t>
  </si>
  <si>
    <t>C DU PLOOY</t>
  </si>
  <si>
    <t xml:space="preserve">BOXEMORE PLASTICS SA               </t>
  </si>
  <si>
    <t>Maria</t>
  </si>
  <si>
    <t>OBIE</t>
  </si>
  <si>
    <t xml:space="preserve">Zukhane                       </t>
  </si>
  <si>
    <t xml:space="preserve">THUTHUKA PACKAGING                 </t>
  </si>
  <si>
    <t>BRENT JARVIS</t>
  </si>
  <si>
    <t>Bongi</t>
  </si>
  <si>
    <t>puseletso</t>
  </si>
  <si>
    <t>freddy</t>
  </si>
  <si>
    <t>LINDSAY</t>
  </si>
  <si>
    <t xml:space="preserve">PJ ENGINEERING                     </t>
  </si>
  <si>
    <t>A WITBOOI</t>
  </si>
  <si>
    <t xml:space="preserve">mamc                          </t>
  </si>
  <si>
    <t xml:space="preserve">POD received from cell 0815112382 M     </t>
  </si>
  <si>
    <t xml:space="preserve">AC PNEUMATICS                      </t>
  </si>
  <si>
    <t>DENVER</t>
  </si>
  <si>
    <t>UMKOM</t>
  </si>
  <si>
    <t>UMKOMAAS</t>
  </si>
  <si>
    <t xml:space="preserve">SAPPI SA LTD                       </t>
  </si>
  <si>
    <t>Moosa Mfomi</t>
  </si>
  <si>
    <t>Sizwe</t>
  </si>
  <si>
    <t>POD received from cell 0612743370 M</t>
  </si>
  <si>
    <t>thandile</t>
  </si>
  <si>
    <t>m Fatuse</t>
  </si>
  <si>
    <t xml:space="preserve">J S ENGINEERING CC                 </t>
  </si>
  <si>
    <t>chantel</t>
  </si>
  <si>
    <t xml:space="preserve">Nicholas                      </t>
  </si>
  <si>
    <t xml:space="preserve">CHRIS                         </t>
  </si>
  <si>
    <t xml:space="preserve">CONSOLIDATED WIRE INDUSTRIES (     </t>
  </si>
  <si>
    <t>Jimmy</t>
  </si>
  <si>
    <t>quintin</t>
  </si>
  <si>
    <t>CYRIL</t>
  </si>
  <si>
    <t>XOLI</t>
  </si>
  <si>
    <t xml:space="preserve">MIB ELECTRICAL SERVICES            </t>
  </si>
  <si>
    <t>Chad</t>
  </si>
  <si>
    <t xml:space="preserve">MZU                           </t>
  </si>
  <si>
    <t>Walter</t>
  </si>
  <si>
    <t>MARTIN RAPHUNGA</t>
  </si>
  <si>
    <t xml:space="preserve">PATERSON HUGHES ENGINEERING        </t>
  </si>
  <si>
    <t>NKOSI</t>
  </si>
  <si>
    <t xml:space="preserve">ISEGEN S. A                        </t>
  </si>
  <si>
    <t>priness</t>
  </si>
  <si>
    <t xml:space="preserve">BSN MEDICAL (PTY) LTD              </t>
  </si>
  <si>
    <t>SAGREN CHETTY</t>
  </si>
  <si>
    <t>Sagren</t>
  </si>
  <si>
    <t>D PILLAY</t>
  </si>
  <si>
    <t>Lee</t>
  </si>
  <si>
    <t>lewellyn</t>
  </si>
  <si>
    <t>sisanda</t>
  </si>
  <si>
    <t>UAT</t>
  </si>
  <si>
    <t>ntsako</t>
  </si>
  <si>
    <t>nathan</t>
  </si>
  <si>
    <t xml:space="preserve">CSM BEARING AND PNEUMATIC SUPP     </t>
  </si>
  <si>
    <t>bianca</t>
  </si>
  <si>
    <t>BILA</t>
  </si>
  <si>
    <t>Janine</t>
  </si>
  <si>
    <t>POD received from cell 07300323589 M</t>
  </si>
  <si>
    <t>PHALA</t>
  </si>
  <si>
    <t>PHALABORWA</t>
  </si>
  <si>
    <t xml:space="preserve">ALCO MINING AND INDUSTRIAL SUP     </t>
  </si>
  <si>
    <t>ANNELIZE</t>
  </si>
  <si>
    <t>POD received from cell 0785331999 M</t>
  </si>
  <si>
    <t>CONSTANCE</t>
  </si>
  <si>
    <t>mbally</t>
  </si>
  <si>
    <t>RESCUE TECHNOLOGY CC</t>
  </si>
  <si>
    <t>BANDILE</t>
  </si>
  <si>
    <t>zizipho mandla</t>
  </si>
  <si>
    <t xml:space="preserve">INDIGO BRANDS (PTY)LTD             </t>
  </si>
  <si>
    <t>kayise</t>
  </si>
  <si>
    <t>G pretoruis</t>
  </si>
  <si>
    <t>TIG0003545</t>
  </si>
  <si>
    <t xml:space="preserve">T.R.W OCCUPANT RESTRIANT SYST      </t>
  </si>
  <si>
    <t>leon</t>
  </si>
  <si>
    <t xml:space="preserve">LEDA ENGINEERING SERVICES CC       </t>
  </si>
  <si>
    <t>Rashaad</t>
  </si>
  <si>
    <t xml:space="preserve">isaac                         </t>
  </si>
  <si>
    <t xml:space="preserve">Randall                       </t>
  </si>
  <si>
    <t>DANRE</t>
  </si>
  <si>
    <t>M JONES</t>
  </si>
  <si>
    <t>kim</t>
  </si>
  <si>
    <t xml:space="preserve">uewellyn                      </t>
  </si>
  <si>
    <t>tony</t>
  </si>
  <si>
    <t xml:space="preserve">GUALA CLOSURES S.A                 </t>
  </si>
  <si>
    <t xml:space="preserve">Victoria                      </t>
  </si>
  <si>
    <t>nikesh</t>
  </si>
  <si>
    <t>Steven</t>
  </si>
  <si>
    <t>Bianca</t>
  </si>
  <si>
    <t xml:space="preserve">RHEEM SA PTY LTD                   </t>
  </si>
  <si>
    <t>LEENA BUNWARIE</t>
  </si>
  <si>
    <t>MPUME</t>
  </si>
  <si>
    <t xml:space="preserve">PAUL BESTBIBIER PTY LTD            </t>
  </si>
  <si>
    <t>maria</t>
  </si>
  <si>
    <t>ANDRIES</t>
  </si>
  <si>
    <t>KELLOGGS CO OF SA</t>
  </si>
  <si>
    <t xml:space="preserve">COREL INSTRUMENTATION   CONTRO     </t>
  </si>
  <si>
    <t>J WALKER</t>
  </si>
  <si>
    <t>S MILSON</t>
  </si>
  <si>
    <t>LERATO</t>
  </si>
  <si>
    <t xml:space="preserve">COCA COLA PENINSULA BEVERAGES      </t>
  </si>
  <si>
    <t>bernie</t>
  </si>
  <si>
    <t>DOLLY</t>
  </si>
  <si>
    <t>ZANDILE</t>
  </si>
  <si>
    <t>SINDISWA</t>
  </si>
  <si>
    <t>plaatjies</t>
  </si>
  <si>
    <t xml:space="preserve">PREFORMED LINE PRODUCTS SA         </t>
  </si>
  <si>
    <t>thegan</t>
  </si>
  <si>
    <t>Sam</t>
  </si>
  <si>
    <t xml:space="preserve">VACUQUIP SOLUTIONS                 </t>
  </si>
  <si>
    <t xml:space="preserve">GRW COMMERCIALS (PTY)LTD           </t>
  </si>
  <si>
    <t>lelanie</t>
  </si>
  <si>
    <t xml:space="preserve">TAMYTA                        </t>
  </si>
  <si>
    <t xml:space="preserve">IKHWEZI AUTOMOTIVE PTY LTD         </t>
  </si>
  <si>
    <t>taliev</t>
  </si>
  <si>
    <t>nowaal</t>
  </si>
  <si>
    <t>p plaatjies</t>
  </si>
  <si>
    <t>Donald</t>
  </si>
  <si>
    <t xml:space="preserve">ADCOCK INGRAM HEALTHCARE (PTY)     </t>
  </si>
  <si>
    <t>THAKGATSO</t>
  </si>
  <si>
    <t>L Goeda</t>
  </si>
  <si>
    <t>Cody</t>
  </si>
  <si>
    <t>margaret</t>
  </si>
  <si>
    <t>vinessan</t>
  </si>
  <si>
    <t>IVAN</t>
  </si>
  <si>
    <t xml:space="preserve">CHILL BEVERAGES INTERNATIONAL      </t>
  </si>
  <si>
    <t>FRAULINE</t>
  </si>
  <si>
    <t xml:space="preserve">TRANSNET ENGINEERING               </t>
  </si>
  <si>
    <t>eugene</t>
  </si>
  <si>
    <t>donald</t>
  </si>
  <si>
    <t>paula</t>
  </si>
  <si>
    <t>DENNIS</t>
  </si>
  <si>
    <t>bernard</t>
  </si>
  <si>
    <t>moo</t>
  </si>
  <si>
    <t xml:space="preserve">BRUINTJIES                    </t>
  </si>
  <si>
    <t xml:space="preserve">POD received from cell 0833656676 M     </t>
  </si>
  <si>
    <t>REFER TO RFES1162595937</t>
  </si>
  <si>
    <t>Company Closed</t>
  </si>
  <si>
    <t xml:space="preserve">T   V HYDRAU- PNEUMATIC SOLUTI     </t>
  </si>
  <si>
    <t>rani</t>
  </si>
  <si>
    <t>RONEL</t>
  </si>
  <si>
    <t xml:space="preserve">WAYDE                         </t>
  </si>
  <si>
    <t>REFER TO RFES1162596007</t>
  </si>
  <si>
    <t>REFER TO R1162596010</t>
  </si>
  <si>
    <t>s williams</t>
  </si>
  <si>
    <t>m fatuse</t>
  </si>
  <si>
    <t xml:space="preserve">JUANITA                       </t>
  </si>
  <si>
    <t>Idah</t>
  </si>
  <si>
    <t>e p</t>
  </si>
  <si>
    <t>SDX TONY</t>
  </si>
  <si>
    <t>WOUTER</t>
  </si>
  <si>
    <t>LAWRANCE</t>
  </si>
  <si>
    <t>Ivan</t>
  </si>
  <si>
    <t xml:space="preserve">VOESTALPINE STAMPTEC SA            </t>
  </si>
  <si>
    <t>s morison</t>
  </si>
  <si>
    <t>jeg</t>
  </si>
  <si>
    <t xml:space="preserve">BUYILE                        </t>
  </si>
  <si>
    <t xml:space="preserve">HARVAR PROJECTS                    </t>
  </si>
  <si>
    <t>nathi</t>
  </si>
  <si>
    <t>ROSSOUW</t>
  </si>
  <si>
    <t xml:space="preserve">KW BREAD PACKAGING SYSTEMS CC      </t>
  </si>
  <si>
    <t>wendy</t>
  </si>
  <si>
    <t>walter</t>
  </si>
  <si>
    <t xml:space="preserve">TOYOTA                             </t>
  </si>
  <si>
    <t>z cele</t>
  </si>
  <si>
    <t>JENELL</t>
  </si>
  <si>
    <t>ntando</t>
  </si>
  <si>
    <t>Anne</t>
  </si>
  <si>
    <t xml:space="preserve">Rand Refinery                      </t>
  </si>
  <si>
    <t xml:space="preserve">MARKING   ENGINEERING SYSTEM       </t>
  </si>
  <si>
    <t>annetjie</t>
  </si>
  <si>
    <t xml:space="preserve">MALESELA TAIHAN ELECTRIC CABLE     </t>
  </si>
  <si>
    <t>KAMENI</t>
  </si>
  <si>
    <t xml:space="preserve">EAST BALT SA                       </t>
  </si>
  <si>
    <t xml:space="preserve">SOUTHERN PULP MACHINERY            </t>
  </si>
  <si>
    <t>TERSIA</t>
  </si>
  <si>
    <t>j erasmus</t>
  </si>
  <si>
    <t>angela</t>
  </si>
  <si>
    <t>BRENDAN</t>
  </si>
  <si>
    <t>amelia</t>
  </si>
  <si>
    <t>I Wentzel</t>
  </si>
  <si>
    <t xml:space="preserve">N   R ELECTRONIC AND MECHANICA     </t>
  </si>
  <si>
    <t>MARAISA</t>
  </si>
  <si>
    <t xml:space="preserve">lewellyn                      </t>
  </si>
  <si>
    <t xml:space="preserve">MAXAM DANTEX SA PTY LTD            </t>
  </si>
  <si>
    <t>PAUL</t>
  </si>
  <si>
    <t>Monique</t>
  </si>
  <si>
    <t>POD received from cell 0743332598 M</t>
  </si>
  <si>
    <t xml:space="preserve">FLS TECHNICAL SERVICE              </t>
  </si>
  <si>
    <t>r camp</t>
  </si>
  <si>
    <t xml:space="preserve">mandla                        </t>
  </si>
  <si>
    <t xml:space="preserve">DUPLEIX LIQUID METERS PTY LTD      </t>
  </si>
  <si>
    <t>R BRAND</t>
  </si>
  <si>
    <t>HOLD FOR COLLECTION OIL</t>
  </si>
  <si>
    <t xml:space="preserve">AMS - AUTOMATED MANUFACTURING      </t>
  </si>
  <si>
    <t>pm-m</t>
  </si>
  <si>
    <t>POD received from cell 0849161585 M</t>
  </si>
  <si>
    <t xml:space="preserve">ka moloto                     </t>
  </si>
  <si>
    <t>G MOKGOHLO</t>
  </si>
  <si>
    <t xml:space="preserve">AFGRI POULTRY                      </t>
  </si>
  <si>
    <t>ELIAS PITJADI</t>
  </si>
  <si>
    <t xml:space="preserve">JADEC STEEL PROJECT CC             </t>
  </si>
  <si>
    <t>FRANS</t>
  </si>
  <si>
    <t>PARCEL PARCEL PARCEL PARCEL</t>
  </si>
  <si>
    <t xml:space="preserve">SIGNAL INSTRUMENTATION             </t>
  </si>
  <si>
    <t>POD received from cell 0780450717 M</t>
  </si>
  <si>
    <t xml:space="preserve">DADO MANUFACTURING                 </t>
  </si>
  <si>
    <t>j pienaar</t>
  </si>
  <si>
    <t xml:space="preserve">BMG PRETORIA 0169                  </t>
  </si>
  <si>
    <t>rudolf</t>
  </si>
  <si>
    <t>LANDI</t>
  </si>
  <si>
    <t>BHEKUMUZI</t>
  </si>
  <si>
    <t>gerald</t>
  </si>
  <si>
    <t>QUINTON BAILEY</t>
  </si>
  <si>
    <t>afton</t>
  </si>
  <si>
    <t>SSN</t>
  </si>
  <si>
    <t>C ROSSOUW</t>
  </si>
  <si>
    <t>DANEZ</t>
  </si>
  <si>
    <t>leanie</t>
  </si>
  <si>
    <t>BETHUEL</t>
  </si>
  <si>
    <t>r geduld</t>
  </si>
  <si>
    <t xml:space="preserve">SOUTH DEEP GOLD MINE               </t>
  </si>
  <si>
    <t>TONY BRIGHTON</t>
  </si>
  <si>
    <t xml:space="preserve">KATHU ERNEST LOWE                  </t>
  </si>
  <si>
    <t xml:space="preserve">IMPALA PLATINIUM REFINERIES LT     </t>
  </si>
  <si>
    <t>WILLIE</t>
  </si>
  <si>
    <t>tile frica dc</t>
  </si>
  <si>
    <t>kurt</t>
  </si>
  <si>
    <t>MANDI</t>
  </si>
  <si>
    <t>MANDINI</t>
  </si>
  <si>
    <t xml:space="preserve">FREEDOM STATIONERY (PTY)L.T.D      </t>
  </si>
  <si>
    <t>PAM</t>
  </si>
  <si>
    <t>andries</t>
  </si>
  <si>
    <t xml:space="preserve">PE HYDRAULIC   PNEUMATICS          </t>
  </si>
  <si>
    <t>Rakesh</t>
  </si>
  <si>
    <t>munu</t>
  </si>
  <si>
    <t>SARAH KGANYAGO</t>
  </si>
  <si>
    <t xml:space="preserve">BME PACKAGING CC              </t>
  </si>
  <si>
    <t>REFER TO R1162596393</t>
  </si>
  <si>
    <t xml:space="preserve">TUMI                          </t>
  </si>
  <si>
    <t xml:space="preserve">POD received from cell 0731292266 M     </t>
  </si>
  <si>
    <t>Annette</t>
  </si>
  <si>
    <t>JOH</t>
  </si>
  <si>
    <t xml:space="preserve">AMALGAMOTION                       </t>
  </si>
  <si>
    <t>ELTON NORMAN</t>
  </si>
  <si>
    <t xml:space="preserve">DEMATECH                           </t>
  </si>
  <si>
    <t xml:space="preserve">bainca                        </t>
  </si>
  <si>
    <t xml:space="preserve">POD received from cell 0763378994 M     </t>
  </si>
  <si>
    <t>HERMAN</t>
  </si>
  <si>
    <t>harison</t>
  </si>
  <si>
    <t xml:space="preserve">TIGER BRANDS                       </t>
  </si>
  <si>
    <t>MAGLEN NAICKER</t>
  </si>
  <si>
    <t>sugesh</t>
  </si>
  <si>
    <t>PERMISSION</t>
  </si>
  <si>
    <t xml:space="preserve">mnguni                        </t>
  </si>
  <si>
    <t xml:space="preserve">SILVERTON ENGINEERING              </t>
  </si>
  <si>
    <t>albert</t>
  </si>
  <si>
    <t xml:space="preserve">zaria                         </t>
  </si>
  <si>
    <t xml:space="preserve">BMG GEORGE 0122                    </t>
  </si>
  <si>
    <t>Hein</t>
  </si>
  <si>
    <t>JANICE</t>
  </si>
  <si>
    <t xml:space="preserve">adams                         </t>
  </si>
  <si>
    <t xml:space="preserve">HI CALIBRE ENGINEERING (PTY) L     </t>
  </si>
  <si>
    <t>delia</t>
  </si>
  <si>
    <t>NEIL</t>
  </si>
  <si>
    <t xml:space="preserve">Harry                         </t>
  </si>
  <si>
    <t xml:space="preserve">POD received from cell 0729919507 M     </t>
  </si>
  <si>
    <t>George</t>
  </si>
  <si>
    <t>POD received from cell 0833616148 M</t>
  </si>
  <si>
    <t xml:space="preserve">QUANT SERVICE SOUTH AFRICA PTY     </t>
  </si>
  <si>
    <t xml:space="preserve">LANSDOWNE BOTTLING COMPANY PTY     </t>
  </si>
  <si>
    <t>r damn</t>
  </si>
  <si>
    <t>clement</t>
  </si>
  <si>
    <t>Y BOTHA</t>
  </si>
  <si>
    <t xml:space="preserve">GRIPPER   CO (PTY) LTD             </t>
  </si>
  <si>
    <t>karima</t>
  </si>
  <si>
    <t>ayena</t>
  </si>
  <si>
    <t>msizi</t>
  </si>
  <si>
    <t>NIKI DEELEY-BARNARD</t>
  </si>
  <si>
    <t>NIKESH</t>
  </si>
  <si>
    <t>elisha</t>
  </si>
  <si>
    <t>Craig</t>
  </si>
  <si>
    <t>Dillion</t>
  </si>
  <si>
    <t xml:space="preserve">UTILITY SYSTEM                     </t>
  </si>
  <si>
    <t>Phindile</t>
  </si>
  <si>
    <t>Krieger</t>
  </si>
  <si>
    <t>vishaal</t>
  </si>
  <si>
    <t>SISANDA</t>
  </si>
  <si>
    <t>Mackenzie</t>
  </si>
  <si>
    <t>REFER TO RFES1162596342</t>
  </si>
  <si>
    <t xml:space="preserve">EUSA WOOD MACHINERY SPECIALIST     </t>
  </si>
  <si>
    <t>B MPOHIEKANA</t>
  </si>
  <si>
    <t xml:space="preserve">BAGSHAW GIBAUD (FOOTWEAR) PTY      </t>
  </si>
  <si>
    <t>GAIL</t>
  </si>
  <si>
    <t>thurston</t>
  </si>
  <si>
    <t>RD3</t>
  </si>
  <si>
    <t xml:space="preserve">Returned to sender on waybill </t>
  </si>
  <si>
    <t>lee</t>
  </si>
  <si>
    <t>POD received from cell 0815575324 M</t>
  </si>
  <si>
    <t xml:space="preserve">IRS (INTERNATIONAL RUNNERSS SE     </t>
  </si>
  <si>
    <t>BURG1</t>
  </si>
  <si>
    <t>BURGERSFORT</t>
  </si>
  <si>
    <t xml:space="preserve">GLENCORE OPERATION SA(PTY)LTD      </t>
  </si>
  <si>
    <t>RTS REF TO RFES1162596300</t>
  </si>
  <si>
    <t>PALLET</t>
  </si>
  <si>
    <t>RDY</t>
  </si>
  <si>
    <t>GERNA</t>
  </si>
  <si>
    <t>PCL</t>
  </si>
  <si>
    <t>NOMA</t>
  </si>
  <si>
    <t xml:space="preserve">FLOWROX PTY LTD                    </t>
  </si>
  <si>
    <t xml:space="preserve">DAWNE SA                           </t>
  </si>
  <si>
    <t>ETHEN</t>
  </si>
  <si>
    <t xml:space="preserve">INTERNATIONAL TUBE TECHNOLOGY      </t>
  </si>
  <si>
    <t>YUSUF</t>
  </si>
  <si>
    <t>SIPHIWE</t>
  </si>
  <si>
    <t xml:space="preserve">SOLID WEDGE SERVICES CC            </t>
  </si>
  <si>
    <t>LINDIWE DAKI</t>
  </si>
  <si>
    <t xml:space="preserve">LATHAM FILTARTION TECHNOLOGY P     </t>
  </si>
  <si>
    <t>wentzel</t>
  </si>
  <si>
    <t>POD received from cell 0780226622 M</t>
  </si>
  <si>
    <t>SINA</t>
  </si>
  <si>
    <t>JUTILO</t>
  </si>
  <si>
    <t>Luyanda</t>
  </si>
  <si>
    <t>THABANE</t>
  </si>
  <si>
    <t xml:space="preserve">PHARMACHEM LABORATORIES (PTY0L     </t>
  </si>
  <si>
    <t>surfuru j</t>
  </si>
  <si>
    <t>michael</t>
  </si>
  <si>
    <t>FUNDI</t>
  </si>
  <si>
    <t xml:space="preserve">RISUNA                        </t>
  </si>
  <si>
    <t>PARCEL PARCEL PARCEL PARCEL PARCEL PARCEL</t>
  </si>
  <si>
    <t>RDX</t>
  </si>
  <si>
    <t>vhuyani</t>
  </si>
  <si>
    <t>POD received from cell 0747681797 M</t>
  </si>
  <si>
    <t>BOX BOX BOX BOX BOX BOX</t>
  </si>
  <si>
    <t>theressa</t>
  </si>
  <si>
    <t>Archie</t>
  </si>
  <si>
    <t>PARCEL PARCEL PARCEL</t>
  </si>
  <si>
    <t>CLEMENT</t>
  </si>
  <si>
    <t>RHYNO</t>
  </si>
  <si>
    <t>BOX BOX BOX BOX</t>
  </si>
  <si>
    <t>Piertenella</t>
  </si>
  <si>
    <t xml:space="preserve">DICKON HALL FOODS                  </t>
  </si>
  <si>
    <t>BRONWYNE</t>
  </si>
  <si>
    <t>ADMIRE</t>
  </si>
  <si>
    <t>January</t>
  </si>
  <si>
    <t>MEMORY OOSTHUIZEN</t>
  </si>
  <si>
    <t>Joseph</t>
  </si>
  <si>
    <t>CHRISTIAN</t>
  </si>
  <si>
    <t>AGNES</t>
  </si>
  <si>
    <t>Brian</t>
  </si>
  <si>
    <t xml:space="preserve">STAR HYDRAULICS   PNEUMATICS       </t>
  </si>
  <si>
    <t>Sydney</t>
  </si>
  <si>
    <t>POD received from cell 0639293578 M</t>
  </si>
  <si>
    <t>rd2</t>
  </si>
  <si>
    <t xml:space="preserve">ABB SOUTH AFRICA PTY TLD           </t>
  </si>
  <si>
    <t xml:space="preserve">VALIANT TMS SOUTH AFRICA PTY L     </t>
  </si>
  <si>
    <t>RECEIVING STORES</t>
  </si>
  <si>
    <t>I M GROBLER</t>
  </si>
  <si>
    <t>Z MESI</t>
  </si>
  <si>
    <t>POD received from cell 0721556366 M</t>
  </si>
  <si>
    <t xml:space="preserve">SIGNED                        </t>
  </si>
  <si>
    <t>T SEKWAILA</t>
  </si>
  <si>
    <t>NOMATHEMBA</t>
  </si>
  <si>
    <t>ALVIZO</t>
  </si>
  <si>
    <t>charl</t>
  </si>
  <si>
    <t xml:space="preserve">VENK PAC                           </t>
  </si>
  <si>
    <t>CANDICE</t>
  </si>
  <si>
    <t>JAMEER</t>
  </si>
  <si>
    <t xml:space="preserve">dnh manaufactory                   </t>
  </si>
  <si>
    <t xml:space="preserve">festo                              </t>
  </si>
  <si>
    <t xml:space="preserve">bingo                         </t>
  </si>
  <si>
    <t xml:space="preserve">POD received from cell 0780450717 M     </t>
  </si>
  <si>
    <t>flyer</t>
  </si>
  <si>
    <t>W LEPPON</t>
  </si>
  <si>
    <t>Puseletso</t>
  </si>
  <si>
    <t xml:space="preserve">ETERNIT BUILDING SYSTEM (PTY)L     </t>
  </si>
  <si>
    <t>nthabiseng</t>
  </si>
  <si>
    <t xml:space="preserve">DUNLOP BELTING PRODUCTS PTY LT     </t>
  </si>
  <si>
    <t xml:space="preserve">thulisile                     </t>
  </si>
  <si>
    <t>Ashley</t>
  </si>
  <si>
    <t>REFER TO RFES1162596587</t>
  </si>
  <si>
    <t>ryno</t>
  </si>
  <si>
    <t xml:space="preserve">Raymon                        </t>
  </si>
  <si>
    <t xml:space="preserve">POD received from cell 0795396044 M     </t>
  </si>
  <si>
    <t>ernest</t>
  </si>
  <si>
    <t>ilse</t>
  </si>
  <si>
    <t>j walters</t>
  </si>
  <si>
    <t>ROUX</t>
  </si>
  <si>
    <t>kabaraza</t>
  </si>
  <si>
    <t>m hills</t>
  </si>
  <si>
    <t>Erika Frienda</t>
  </si>
  <si>
    <t>Erika Friend</t>
  </si>
  <si>
    <t xml:space="preserve">SOUTH AFRICAN BRAKEFLUID   COO     </t>
  </si>
  <si>
    <t>SOUTH AFRICAN BRAKEFLUID   COO</t>
  </si>
  <si>
    <t>m heyns</t>
  </si>
  <si>
    <t>S Morrison</t>
  </si>
  <si>
    <t xml:space="preserve">RAPID AIRTOOL REPAIRS CC           </t>
  </si>
  <si>
    <t xml:space="preserve">RFES1162596499                </t>
  </si>
  <si>
    <t>Rubin</t>
  </si>
  <si>
    <t xml:space="preserve">E                                       </t>
  </si>
  <si>
    <t>CLARA</t>
  </si>
  <si>
    <t>LINCOLIN</t>
  </si>
  <si>
    <t xml:space="preserve">MASHUDU                       </t>
  </si>
  <si>
    <t>REFER TO RFES1162596591</t>
  </si>
  <si>
    <t xml:space="preserve">Lindo                         </t>
  </si>
  <si>
    <t xml:space="preserve">peter                         </t>
  </si>
  <si>
    <t>JOUBERT</t>
  </si>
  <si>
    <t xml:space="preserve">THULISILE                     </t>
  </si>
  <si>
    <t xml:space="preserve">TAURUS PAPER PRODUCTS (PTY)LTD     </t>
  </si>
  <si>
    <t>ROY</t>
  </si>
  <si>
    <t xml:space="preserve">s patlonmann                  </t>
  </si>
  <si>
    <t>buyisele</t>
  </si>
  <si>
    <t xml:space="preserve">AUTOLIV SA                         </t>
  </si>
  <si>
    <t>HANLIE</t>
  </si>
  <si>
    <t>Maryke</t>
  </si>
  <si>
    <t>Cylvano</t>
  </si>
  <si>
    <t xml:space="preserve">BRASTECH CC                        </t>
  </si>
  <si>
    <t>FRED COELHO</t>
  </si>
  <si>
    <t>JASON</t>
  </si>
  <si>
    <t>kenneth</t>
  </si>
  <si>
    <t>lameez</t>
  </si>
  <si>
    <t xml:space="preserve">ELECTRICAL MAINTENANCE LUSAKA      </t>
  </si>
  <si>
    <t>basil</t>
  </si>
  <si>
    <t>L TRUTER</t>
  </si>
  <si>
    <t>Suzette</t>
  </si>
  <si>
    <t>FRIDDAH</t>
  </si>
  <si>
    <t>ELVIS</t>
  </si>
  <si>
    <t xml:space="preserve">ALBANY BAKERY                      </t>
  </si>
  <si>
    <t>WILLIAM MOIMA</t>
  </si>
  <si>
    <t>tyran</t>
  </si>
  <si>
    <t>MARLON PILLAY</t>
  </si>
  <si>
    <t>premla</t>
  </si>
  <si>
    <t xml:space="preserve">L OREAL MANUFACTURING PTY LTD      </t>
  </si>
  <si>
    <t>SAM MATSHATSHA</t>
  </si>
  <si>
    <t xml:space="preserve">VEOLIA WATER SOLUTIONS             </t>
  </si>
  <si>
    <t>RENIER</t>
  </si>
  <si>
    <t>REFER TO RFES1162596672</t>
  </si>
  <si>
    <t>j Killian</t>
  </si>
  <si>
    <t xml:space="preserve">SABRIX PTY LTD                     </t>
  </si>
  <si>
    <t>Rudi</t>
  </si>
  <si>
    <t>n colborne</t>
  </si>
  <si>
    <t>c   proome</t>
  </si>
  <si>
    <t>POD received from cell 0813130718 M</t>
  </si>
  <si>
    <t xml:space="preserve">FESTIVE EARLY BIRD                 </t>
  </si>
  <si>
    <t xml:space="preserve">ELCAWIZE                           </t>
  </si>
  <si>
    <t>NA</t>
  </si>
  <si>
    <t>TAHBANE</t>
  </si>
  <si>
    <t xml:space="preserve">MESHACK                       </t>
  </si>
  <si>
    <t xml:space="preserve">RESONANT ENVIROMENTAL TECHNOLO     </t>
  </si>
  <si>
    <t>zuzeka</t>
  </si>
  <si>
    <t>POD received from cell 063 M</t>
  </si>
  <si>
    <t>Matthew</t>
  </si>
  <si>
    <t xml:space="preserve">VJL TECHNOLOGIES (PTY) LTD         </t>
  </si>
  <si>
    <t xml:space="preserve">Flyer                                             </t>
  </si>
  <si>
    <t xml:space="preserve">National Adhesive Distributors     </t>
  </si>
  <si>
    <t>Gerrie</t>
  </si>
  <si>
    <t>Lindo</t>
  </si>
  <si>
    <t>sean</t>
  </si>
  <si>
    <t>THABILE</t>
  </si>
  <si>
    <t>joseph</t>
  </si>
  <si>
    <t>CODY</t>
  </si>
  <si>
    <t>H G</t>
  </si>
  <si>
    <t>MARTIN</t>
  </si>
  <si>
    <t>pieter</t>
  </si>
  <si>
    <t>PATRICIA</t>
  </si>
  <si>
    <t>GRABO</t>
  </si>
  <si>
    <t>GRABOUW</t>
  </si>
  <si>
    <t xml:space="preserve">APPLETISER sa (PTY) LTD            </t>
  </si>
  <si>
    <t>MARLON</t>
  </si>
  <si>
    <t>e le roux</t>
  </si>
  <si>
    <t>E ROSSOUW</t>
  </si>
  <si>
    <t>adams</t>
  </si>
  <si>
    <t>THOBILE</t>
  </si>
  <si>
    <t>WAYNE</t>
  </si>
  <si>
    <t>p smith</t>
  </si>
  <si>
    <t>silindile</t>
  </si>
  <si>
    <t>nagapan</t>
  </si>
  <si>
    <t>jumat</t>
  </si>
  <si>
    <t xml:space="preserve">MECHANICAL CONCEPTS CC             </t>
  </si>
  <si>
    <t>TREVOR VAN DER WALT</t>
  </si>
  <si>
    <t>phillipa</t>
  </si>
  <si>
    <t>r brand</t>
  </si>
  <si>
    <t>Kenny</t>
  </si>
  <si>
    <t>Ryan</t>
  </si>
  <si>
    <t xml:space="preserve">SPICER AXLE (PTY) LTD              </t>
  </si>
  <si>
    <t>Xoliani Antoni</t>
  </si>
  <si>
    <t>REFER TO RFES1162596865</t>
  </si>
  <si>
    <t>sandisile</t>
  </si>
  <si>
    <t>G Friend</t>
  </si>
  <si>
    <t>RFES1162596899</t>
  </si>
  <si>
    <t xml:space="preserve">HONEYDEW DAIRIES PTY LTD           </t>
  </si>
  <si>
    <t>sarisha</t>
  </si>
  <si>
    <t>Fransina</t>
  </si>
  <si>
    <t>SIBUSISO</t>
  </si>
  <si>
    <t>faan</t>
  </si>
  <si>
    <t>tracey</t>
  </si>
  <si>
    <t xml:space="preserve">JASON                         </t>
  </si>
  <si>
    <t xml:space="preserve">POD received from cell 0836743353 M     </t>
  </si>
  <si>
    <t xml:space="preserve">HARRIS                        </t>
  </si>
  <si>
    <t>lefa</t>
  </si>
  <si>
    <t>zarina</t>
  </si>
  <si>
    <t>TREVOR MOODLEY</t>
  </si>
  <si>
    <t>morgan</t>
  </si>
  <si>
    <t xml:space="preserve">ORION ENGINEERED CARDONS PTY L     </t>
  </si>
  <si>
    <t>G HOLLAND</t>
  </si>
  <si>
    <t>Mark</t>
  </si>
  <si>
    <t xml:space="preserve">APPLE CONTROLS CC T  A APPLECO     </t>
  </si>
  <si>
    <t>ben</t>
  </si>
  <si>
    <t xml:space="preserve">GOLD REEF CITY THEME PARK          </t>
  </si>
  <si>
    <t>MANDLA DUBE</t>
  </si>
  <si>
    <t>GODFREY</t>
  </si>
  <si>
    <t xml:space="preserve">YOLISA                        </t>
  </si>
  <si>
    <t xml:space="preserve">KANSAI PLASCON (PTY) LTD           </t>
  </si>
  <si>
    <t>Stanton</t>
  </si>
  <si>
    <t xml:space="preserve">HYBAR CC                           </t>
  </si>
  <si>
    <t>Andrew</t>
  </si>
  <si>
    <t>POD received from cell 0733056816 M</t>
  </si>
  <si>
    <t>christian</t>
  </si>
  <si>
    <t>PRISHLIN ARCHARY</t>
  </si>
  <si>
    <t>Lungelo</t>
  </si>
  <si>
    <t>DANIEL</t>
  </si>
  <si>
    <t>emmanuel</t>
  </si>
  <si>
    <t>NICO</t>
  </si>
  <si>
    <t>fransina</t>
  </si>
  <si>
    <t>THEMBISILE</t>
  </si>
  <si>
    <t>phimeas</t>
  </si>
  <si>
    <t xml:space="preserve">SIME DARBY HUDSON   KINGHT         </t>
  </si>
  <si>
    <t xml:space="preserve">DRYTECH INTERNATIONAL PTY LTD      </t>
  </si>
  <si>
    <t>TREVIN KUPPUSAMI</t>
  </si>
  <si>
    <t>chrissie</t>
  </si>
  <si>
    <t>Bethie</t>
  </si>
  <si>
    <t xml:space="preserve">AMINA                         </t>
  </si>
  <si>
    <t>KEITH</t>
  </si>
  <si>
    <t xml:space="preserve">TIGER BRANDS SNACKS   TREANTS      </t>
  </si>
  <si>
    <t>zenani</t>
  </si>
  <si>
    <t>M Pamla</t>
  </si>
  <si>
    <t>REFER TO RFES1162596856</t>
  </si>
  <si>
    <t>REFER TO RFES1162596839</t>
  </si>
  <si>
    <t>TSITS</t>
  </si>
  <si>
    <t>TSITSIKAMMA</t>
  </si>
  <si>
    <t xml:space="preserve">TSITSIKAMMA CRYSTAL WATER          </t>
  </si>
  <si>
    <t>M TSHILI</t>
  </si>
  <si>
    <t>j walk</t>
  </si>
  <si>
    <t xml:space="preserve">CROWN CHICKENS (PTY) LTD           </t>
  </si>
  <si>
    <t>STEVE</t>
  </si>
  <si>
    <t>eilleen</t>
  </si>
  <si>
    <t xml:space="preserve">AMOS                          </t>
  </si>
  <si>
    <t xml:space="preserve">PREMIER BAKERY                     </t>
  </si>
  <si>
    <t>ALISTAIR</t>
  </si>
  <si>
    <t xml:space="preserve">MR CARRIERS                        </t>
  </si>
  <si>
    <t>ARMSTRONG SETLOLELA</t>
  </si>
  <si>
    <t>MICHAEL AMANN</t>
  </si>
  <si>
    <t xml:space="preserve">ILLOVO SUGAR LTD-ESTON MILL        </t>
  </si>
  <si>
    <t>PRUNEL REDDY</t>
  </si>
  <si>
    <t>ILSE</t>
  </si>
  <si>
    <t>J Steyn</t>
  </si>
  <si>
    <t xml:space="preserve">TRANSNET                           </t>
  </si>
  <si>
    <t>Barbwle</t>
  </si>
  <si>
    <t>RESEND TO CLIENT</t>
  </si>
  <si>
    <t>Loorens</t>
  </si>
  <si>
    <t>AFRIKA</t>
  </si>
  <si>
    <t xml:space="preserve">PBSA PTY LTD                       </t>
  </si>
  <si>
    <t xml:space="preserve">PARCEL                                            </t>
  </si>
  <si>
    <t>LENNY</t>
  </si>
  <si>
    <t xml:space="preserve">EVEREST FLEXIBLES (PTY) LTD        </t>
  </si>
  <si>
    <t>SUNIL</t>
  </si>
  <si>
    <t>christopher</t>
  </si>
  <si>
    <t xml:space="preserve">BOX                                               </t>
  </si>
  <si>
    <t>Roger</t>
  </si>
  <si>
    <t>n bell</t>
  </si>
  <si>
    <t>P Sabotha</t>
  </si>
  <si>
    <t>Ronnie</t>
  </si>
  <si>
    <t>VIJAY</t>
  </si>
  <si>
    <t>graeme</t>
  </si>
  <si>
    <t>Nolizwe</t>
  </si>
  <si>
    <t xml:space="preserve">BOX Flyer                                         </t>
  </si>
  <si>
    <t xml:space="preserve">BOX BOX                                           </t>
  </si>
  <si>
    <t xml:space="preserve">nichloas                      </t>
  </si>
  <si>
    <t xml:space="preserve">POD received from cell 0823898478 M     </t>
  </si>
  <si>
    <t>loen</t>
  </si>
  <si>
    <t xml:space="preserve">BOX PARCEL                                        </t>
  </si>
  <si>
    <t>ALAN</t>
  </si>
  <si>
    <t>WILMA</t>
  </si>
  <si>
    <t>F ADAMS</t>
  </si>
  <si>
    <t>NATIONAL BRANDS LTD BECKETTS</t>
  </si>
  <si>
    <t>PERCY MASHISHI</t>
  </si>
  <si>
    <t xml:space="preserve">TWIZZA CC                          </t>
  </si>
  <si>
    <t xml:space="preserve">NISSAN SUID-AFRIKA (EDMS)BPK       </t>
  </si>
  <si>
    <t>UMOYA AUTOMATION CC</t>
  </si>
  <si>
    <t>RCL FOODCORP  PTY  LTD</t>
  </si>
  <si>
    <t>POD received from cell 0722023616 M</t>
  </si>
  <si>
    <t>dee</t>
  </si>
  <si>
    <t>memela</t>
  </si>
  <si>
    <t>RICHARD GRIBBLE</t>
  </si>
  <si>
    <t>P VENTER</t>
  </si>
  <si>
    <t>NOLIZWI</t>
  </si>
  <si>
    <t>JAPHTA</t>
  </si>
  <si>
    <t>POD received from cell 0636592482 M</t>
  </si>
  <si>
    <t>S PIENAAR</t>
  </si>
  <si>
    <t>WALLY</t>
  </si>
  <si>
    <t>LUTHANDO</t>
  </si>
  <si>
    <t xml:space="preserve">Box                                               </t>
  </si>
  <si>
    <t>marlon</t>
  </si>
  <si>
    <t xml:space="preserve">CLOVER SA (PTY) LTD                </t>
  </si>
  <si>
    <t>P NAIDOO</t>
  </si>
  <si>
    <t>TE MABE</t>
  </si>
  <si>
    <t>J Killian</t>
  </si>
  <si>
    <t>LINCOLN</t>
  </si>
  <si>
    <t>J STEYN</t>
  </si>
  <si>
    <t>aakifah marais</t>
  </si>
  <si>
    <t>wilington</t>
  </si>
  <si>
    <t xml:space="preserve">ZIKHONA                       </t>
  </si>
  <si>
    <t xml:space="preserve">LEONARD DINGLER PTY LTD            </t>
  </si>
  <si>
    <t>BHEKIMUSA</t>
  </si>
  <si>
    <t>MISH</t>
  </si>
  <si>
    <t>CONDRUND</t>
  </si>
  <si>
    <t>VINCENT</t>
  </si>
  <si>
    <t>ESAK</t>
  </si>
  <si>
    <t>ADR</t>
  </si>
  <si>
    <t>CONDRUD</t>
  </si>
  <si>
    <t xml:space="preserve">kurn                          </t>
  </si>
  <si>
    <t>Niren</t>
  </si>
  <si>
    <t>ANTHONY</t>
  </si>
  <si>
    <t>Craus</t>
  </si>
  <si>
    <t xml:space="preserve">CPT NEWSPAPER CAPE                 </t>
  </si>
  <si>
    <t>alfread</t>
  </si>
  <si>
    <t>zandile</t>
  </si>
  <si>
    <t>PETER</t>
  </si>
  <si>
    <t xml:space="preserve">PROCESS VALVE CORPORATION CC       </t>
  </si>
  <si>
    <t>Annie</t>
  </si>
  <si>
    <t>daniel</t>
  </si>
  <si>
    <t>J WAHI</t>
  </si>
  <si>
    <t xml:space="preserve">SURAY                         </t>
  </si>
  <si>
    <t>Nolizwi</t>
  </si>
  <si>
    <t>RAY</t>
  </si>
  <si>
    <t>rum</t>
  </si>
  <si>
    <t xml:space="preserve">UCL COMPANY                        </t>
  </si>
  <si>
    <t>Kay Pillay</t>
  </si>
  <si>
    <t>Lucy</t>
  </si>
  <si>
    <t>POD received from cell 0735337322 M</t>
  </si>
  <si>
    <t xml:space="preserve">RHERM SA                           </t>
  </si>
  <si>
    <t>H O</t>
  </si>
  <si>
    <t>SHANAAZ</t>
  </si>
  <si>
    <t>thelma</t>
  </si>
  <si>
    <t xml:space="preserve">CAPE OLIVE PRODUCTS (PTY)LTD       </t>
  </si>
  <si>
    <t>MOORR</t>
  </si>
  <si>
    <t>MOORREESBURG</t>
  </si>
  <si>
    <t xml:space="preserve">SWARTLAND INVESTMENTS PTY LTD      </t>
  </si>
  <si>
    <t>CHARL CLAASEN</t>
  </si>
  <si>
    <t xml:space="preserve">BEARINGS ON CC                     </t>
  </si>
  <si>
    <t>JAY</t>
  </si>
  <si>
    <t>FAZEL</t>
  </si>
  <si>
    <t>PARCXEL</t>
  </si>
  <si>
    <t xml:space="preserve">HULAMIN OPERATIONS PTY LTD         </t>
  </si>
  <si>
    <t>C WELLINGHTON</t>
  </si>
  <si>
    <t>KARK</t>
  </si>
  <si>
    <t xml:space="preserve">PPC CEMENT SA (PTY)LTD             </t>
  </si>
  <si>
    <t xml:space="preserve">EARLY BIRD FARM                    </t>
  </si>
  <si>
    <t>nonthando</t>
  </si>
  <si>
    <t>qwen</t>
  </si>
  <si>
    <t>RYNO</t>
  </si>
  <si>
    <t xml:space="preserve">chiccaao                      </t>
  </si>
  <si>
    <t>C B ZUKE</t>
  </si>
  <si>
    <t>PETROS MAKHANYA</t>
  </si>
  <si>
    <t>Dan stores</t>
  </si>
  <si>
    <t>MTHA</t>
  </si>
  <si>
    <t>SHANA</t>
  </si>
  <si>
    <t xml:space="preserve">PILOT FURNITURE MANUFACTURERS      </t>
  </si>
  <si>
    <t>PETER HOLZER</t>
  </si>
  <si>
    <t>aaron</t>
  </si>
  <si>
    <t>ABY</t>
  </si>
  <si>
    <t>Alta</t>
  </si>
  <si>
    <t>SHAUN</t>
  </si>
  <si>
    <t xml:space="preserve">HUHTAMAKI DIV FLEXIBLE             </t>
  </si>
  <si>
    <t>PETER NKOSI</t>
  </si>
  <si>
    <t>DEAN</t>
  </si>
  <si>
    <t>MARUIS</t>
  </si>
  <si>
    <t>IMRAN LEUKES</t>
  </si>
  <si>
    <t>angelique</t>
  </si>
  <si>
    <t>ALEXANDER</t>
  </si>
  <si>
    <t xml:space="preserve">ROBOTIC HANDLING                   </t>
  </si>
  <si>
    <t xml:space="preserve">AMS BEARING                        </t>
  </si>
  <si>
    <t xml:space="preserve">SKYNET SOUTH AFRICA                </t>
  </si>
  <si>
    <t>EXPORTS</t>
  </si>
  <si>
    <t>Anna</t>
  </si>
  <si>
    <t xml:space="preserve">ALBRECHT MACHINERY PTY LTD         </t>
  </si>
  <si>
    <t xml:space="preserve">Ricardo                       </t>
  </si>
  <si>
    <t xml:space="preserve">SHONES AUTOMATION                  </t>
  </si>
  <si>
    <t>T Odkley</t>
  </si>
  <si>
    <t xml:space="preserve">HITECH ELECTRICAL PROJECT          </t>
  </si>
  <si>
    <t>SIGANTURE</t>
  </si>
  <si>
    <t>nicolas</t>
  </si>
  <si>
    <t>ANDREA</t>
  </si>
  <si>
    <t>mikateko</t>
  </si>
  <si>
    <t>RD5</t>
  </si>
  <si>
    <t>CLINT</t>
  </si>
  <si>
    <t xml:space="preserve">PARCEL PARCEL                                     </t>
  </si>
  <si>
    <t>PLEASE DELIVER TO MAINTANACE DEPATMENT</t>
  </si>
  <si>
    <t>rohan</t>
  </si>
  <si>
    <t>LAZARUS</t>
  </si>
  <si>
    <t>winnie</t>
  </si>
  <si>
    <t xml:space="preserve">CEREBOS LTD                        </t>
  </si>
  <si>
    <t>ILLAGE</t>
  </si>
  <si>
    <t>JEPHREY</t>
  </si>
  <si>
    <t xml:space="preserve">NSP UNSGAARD                       </t>
  </si>
  <si>
    <t>jenny</t>
  </si>
  <si>
    <t>SIMPHIWE</t>
  </si>
  <si>
    <t>lazarus</t>
  </si>
  <si>
    <t>fundi</t>
  </si>
  <si>
    <t xml:space="preserve">GRAVMAX                            </t>
  </si>
  <si>
    <t>C HILL</t>
  </si>
  <si>
    <t>NGOLOVAN CC</t>
  </si>
  <si>
    <t>MAHOMED</t>
  </si>
  <si>
    <t xml:space="preserve">AUTOMATION MANUFACTURE SOLUTIO     </t>
  </si>
  <si>
    <t>Roland</t>
  </si>
  <si>
    <t>neven</t>
  </si>
  <si>
    <t xml:space="preserve">STEFANUTTI STOCKS (PTY)LTD         </t>
  </si>
  <si>
    <t>Charles</t>
  </si>
  <si>
    <t>RUTUS</t>
  </si>
  <si>
    <t xml:space="preserve">ERA STENE   ROSEMA BRICKS PTY      </t>
  </si>
  <si>
    <t>JAN</t>
  </si>
  <si>
    <t>Natalie</t>
  </si>
  <si>
    <t>slabbert</t>
  </si>
  <si>
    <t>afrika</t>
  </si>
  <si>
    <t>NADINE</t>
  </si>
  <si>
    <t>ayanda</t>
  </si>
  <si>
    <t xml:space="preserve">VANESCO PTY LTD                    </t>
  </si>
  <si>
    <t>DAWIE</t>
  </si>
  <si>
    <t xml:space="preserve">MEGAPHASE ELECTRICAL WHOLESAEL     </t>
  </si>
  <si>
    <t>keagan</t>
  </si>
  <si>
    <t>lauren</t>
  </si>
  <si>
    <t>Lauren</t>
  </si>
  <si>
    <t>m pamla</t>
  </si>
  <si>
    <t xml:space="preserve">167 COBRA WATERTECH (PTY)LTD {     </t>
  </si>
  <si>
    <t>PERCY NDABA</t>
  </si>
  <si>
    <t>KOOS COETZE</t>
  </si>
  <si>
    <t xml:space="preserve">SECANT FABRICATION                 </t>
  </si>
  <si>
    <t>koki</t>
  </si>
  <si>
    <t xml:space="preserve">ELECTRO MECH SERVICES Cc           </t>
  </si>
  <si>
    <t>denise</t>
  </si>
  <si>
    <t>ndlleni</t>
  </si>
  <si>
    <t>BONGANI</t>
  </si>
  <si>
    <t xml:space="preserve">Kheswa                        </t>
  </si>
  <si>
    <t xml:space="preserve">POD received from cell 0726258782 M     </t>
  </si>
  <si>
    <t>ririll</t>
  </si>
  <si>
    <t>naeem</t>
  </si>
  <si>
    <t>JUSTIN</t>
  </si>
  <si>
    <t>BETTIE</t>
  </si>
  <si>
    <t>ILAGE</t>
  </si>
  <si>
    <t>amos</t>
  </si>
  <si>
    <t>velile</t>
  </si>
  <si>
    <t>juaan</t>
  </si>
  <si>
    <t xml:space="preserve">FESTO DURBAN                       </t>
  </si>
  <si>
    <t>BRETT BINNEKADE</t>
  </si>
  <si>
    <t>Bingo</t>
  </si>
  <si>
    <t xml:space="preserve">CONTROL SYSTEMS                    </t>
  </si>
  <si>
    <t>MAGDA DU PLESSIS</t>
  </si>
  <si>
    <t>j bester</t>
  </si>
  <si>
    <t xml:space="preserve">THE SIMBA GROUP PTY LTD            </t>
  </si>
  <si>
    <t>ABRAM AT ENGINEERING STORES</t>
  </si>
  <si>
    <t>BEN</t>
  </si>
  <si>
    <t>RICHA</t>
  </si>
  <si>
    <t>RICHARDS BAY</t>
  </si>
  <si>
    <t xml:space="preserve">MACSTEEL FUILD CONTROL             </t>
  </si>
  <si>
    <t>HEILA FOURIE</t>
  </si>
  <si>
    <t>PIET2</t>
  </si>
  <si>
    <t>PIETERSBURG</t>
  </si>
  <si>
    <t>LERATO PHOGOLE</t>
  </si>
  <si>
    <t>pem</t>
  </si>
  <si>
    <t xml:space="preserve">micheal                       </t>
  </si>
  <si>
    <t>j reynders</t>
  </si>
  <si>
    <t xml:space="preserve">A.P.L. CARTONS (PTY) LTD           </t>
  </si>
  <si>
    <t>JOEL</t>
  </si>
  <si>
    <t>azdri</t>
  </si>
  <si>
    <t xml:space="preserve">SEALED AIR AFRICA                  </t>
  </si>
  <si>
    <t>REGARDS MORGAN</t>
  </si>
  <si>
    <t>asanda</t>
  </si>
  <si>
    <t>dwayne</t>
  </si>
  <si>
    <t xml:space="preserve">INTERCEMENT S.A                    </t>
  </si>
  <si>
    <t>nqobile</t>
  </si>
  <si>
    <t>PLEASE HOLD FOR COLLECTION CLIENT WILL COLLECT AT PE BRANCH</t>
  </si>
  <si>
    <t>GRAEME</t>
  </si>
  <si>
    <t>LANGLEY</t>
  </si>
  <si>
    <t>Hold for Collection</t>
  </si>
  <si>
    <t>SAT</t>
  </si>
  <si>
    <t>aldri</t>
  </si>
  <si>
    <t>Ben engineering</t>
  </si>
  <si>
    <t xml:space="preserve">FESTO PMBURG                       </t>
  </si>
  <si>
    <t>M. PERKS</t>
  </si>
  <si>
    <t xml:space="preserve">MAIN STREET 1310(PTY) L.T.D        </t>
  </si>
  <si>
    <t>terence</t>
  </si>
  <si>
    <t>thabang</t>
  </si>
  <si>
    <t xml:space="preserve">FESTO PMB                          </t>
  </si>
  <si>
    <t xml:space="preserve">BMG                                </t>
  </si>
  <si>
    <t xml:space="preserve">FESIO                              </t>
  </si>
  <si>
    <t>BAKER</t>
  </si>
  <si>
    <t>BMG</t>
  </si>
  <si>
    <t>TOTAL SOURCE TRADING</t>
  </si>
  <si>
    <t xml:space="preserve">PNEUMATIC RETAIL OPERATIONS        </t>
  </si>
  <si>
    <t>Erykah</t>
  </si>
  <si>
    <t xml:space="preserve">MILNERS DENTAL SUPP                </t>
  </si>
  <si>
    <t xml:space="preserve">ABRAM MACHAKA                      </t>
  </si>
  <si>
    <t>MICHEAL</t>
  </si>
  <si>
    <t>barbara</t>
  </si>
  <si>
    <t>VHUYI</t>
  </si>
  <si>
    <t xml:space="preserve">Vusi                          </t>
  </si>
  <si>
    <t xml:space="preserve">RCL FOODS CONSUMER                 </t>
  </si>
  <si>
    <t>JOEY</t>
  </si>
  <si>
    <t>tebog</t>
  </si>
  <si>
    <t>casper</t>
  </si>
  <si>
    <t>Account Total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</si>
</sst>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1" xfId="0" applyFill="1" applyBorder="1"/>
    <xf numFmtId="0" fontId="0" fillId="0" borderId="1" xfId="0" applyBorder="1"/>
    <xf numFmtId="14" fontId="0" fillId="0" borderId="1" xfId="0" applyNumberFormat="1" applyBorder="1"/>
    <xf numFmtId="20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M3906"/>
  <sheetViews>
    <sheetView tabSelected="1" topLeftCell="A3356" workbookViewId="0">
      <selection activeCell="J20" sqref="J20"/>
    </sheetView>
  </sheetViews>
  <sheetFormatPr defaultColWidth="9" defaultRowHeight="15"/>
  <cols>
    <col min="1" max="1" width="7.42578125" style="2" bestFit="1" customWidth="1"/>
    <col min="2" max="2" width="36.7109375" style="2" bestFit="1" customWidth="1"/>
    <col min="3" max="3" width="5.28515625" style="2" bestFit="1" customWidth="1"/>
    <col min="4" max="4" width="10.140625" style="2" bestFit="1" customWidth="1"/>
    <col min="5" max="5" width="16.42578125" style="2" bestFit="1" customWidth="1"/>
    <col min="6" max="6" width="10.42578125" style="2" bestFit="1" customWidth="1"/>
    <col min="7" max="7" width="7" style="2" bestFit="1" customWidth="1"/>
    <col min="8" max="8" width="7.85546875" style="2" bestFit="1" customWidth="1"/>
    <col min="9" max="9" width="18.7109375" style="2" bestFit="1" customWidth="1"/>
    <col min="10" max="10" width="37.5703125" style="2" bestFit="1" customWidth="1"/>
    <col min="11" max="11" width="16.140625" style="2" bestFit="1" customWidth="1"/>
    <col min="12" max="12" width="8.28515625" style="2" bestFit="1" customWidth="1"/>
    <col min="13" max="13" width="26.42578125" style="2" bestFit="1" customWidth="1"/>
    <col min="14" max="14" width="38.5703125" style="2" bestFit="1" customWidth="1"/>
    <col min="15" max="15" width="4.85546875" style="2" bestFit="1" customWidth="1"/>
    <col min="16" max="16" width="21.7109375" style="2" bestFit="1" customWidth="1"/>
    <col min="17" max="17" width="4.28515625" style="2" bestFit="1" customWidth="1"/>
    <col min="18" max="18" width="4.5703125" style="2" bestFit="1" customWidth="1"/>
    <col min="19" max="19" width="5.140625" style="2" bestFit="1" customWidth="1"/>
    <col min="20" max="22" width="4.5703125" style="2" bestFit="1" customWidth="1"/>
    <col min="23" max="23" width="4.28515625" style="2" bestFit="1" customWidth="1"/>
    <col min="24" max="24" width="4.5703125" style="2" bestFit="1" customWidth="1"/>
    <col min="25" max="25" width="4.42578125" style="2" bestFit="1" customWidth="1"/>
    <col min="26" max="26" width="4.5703125" style="2" bestFit="1" customWidth="1"/>
    <col min="27" max="27" width="4" style="2" bestFit="1" customWidth="1"/>
    <col min="28" max="28" width="4.5703125" style="2" bestFit="1" customWidth="1"/>
    <col min="29" max="29" width="4.28515625" style="2" bestFit="1" customWidth="1"/>
    <col min="30" max="30" width="4.5703125" style="2" bestFit="1" customWidth="1"/>
    <col min="31" max="31" width="7" style="2" bestFit="1" customWidth="1"/>
    <col min="32" max="32" width="4.5703125" style="2" bestFit="1" customWidth="1"/>
    <col min="33" max="33" width="4.42578125" style="2" bestFit="1" customWidth="1"/>
    <col min="34" max="34" width="4.5703125" style="2" bestFit="1" customWidth="1"/>
    <col min="35" max="35" width="4.85546875" style="2" bestFit="1" customWidth="1"/>
    <col min="36" max="36" width="4.5703125" style="2" bestFit="1" customWidth="1"/>
    <col min="37" max="37" width="4.28515625" style="2" bestFit="1" customWidth="1"/>
    <col min="38" max="38" width="4.5703125" style="2" bestFit="1" customWidth="1"/>
    <col min="39" max="39" width="9" style="2"/>
    <col min="40" max="42" width="4.5703125" style="2" bestFit="1" customWidth="1"/>
    <col min="43" max="43" width="5" style="2" bestFit="1" customWidth="1"/>
    <col min="44" max="44" width="4.5703125" style="2" bestFit="1" customWidth="1"/>
    <col min="45" max="45" width="3.42578125" style="2" bestFit="1" customWidth="1"/>
    <col min="46" max="46" width="4.5703125" style="2" bestFit="1" customWidth="1"/>
    <col min="47" max="47" width="4.28515625" style="2" bestFit="1" customWidth="1"/>
    <col min="48" max="48" width="4.5703125" style="2" bestFit="1" customWidth="1"/>
    <col min="49" max="49" width="4" style="2" bestFit="1" customWidth="1"/>
    <col min="50" max="50" width="4.5703125" style="2" bestFit="1" customWidth="1"/>
    <col min="51" max="51" width="3.85546875" style="2" bestFit="1" customWidth="1"/>
    <col min="52" max="52" width="4.5703125" style="2" bestFit="1" customWidth="1"/>
    <col min="53" max="53" width="4.85546875" style="2" bestFit="1" customWidth="1"/>
    <col min="54" max="54" width="4.5703125" style="2" bestFit="1" customWidth="1"/>
    <col min="55" max="55" width="4.7109375" style="2" bestFit="1" customWidth="1"/>
    <col min="56" max="56" width="4.5703125" style="2" bestFit="1" customWidth="1"/>
    <col min="57" max="57" width="7" style="2" bestFit="1" customWidth="1"/>
    <col min="58" max="58" width="4.5703125" style="2" bestFit="1" customWidth="1"/>
    <col min="59" max="59" width="13.7109375" style="2" bestFit="1" customWidth="1"/>
    <col min="60" max="60" width="6.85546875" style="2" bestFit="1" customWidth="1"/>
    <col min="61" max="61" width="8" style="2" bestFit="1" customWidth="1"/>
    <col min="62" max="62" width="7.28515625" style="2" bestFit="1" customWidth="1"/>
    <col min="63" max="63" width="8" style="2" bestFit="1" customWidth="1"/>
    <col min="64" max="64" width="10" style="2" bestFit="1" customWidth="1"/>
    <col min="65" max="65" width="8" style="2" bestFit="1" customWidth="1"/>
    <col min="66" max="66" width="10" style="2" bestFit="1" customWidth="1"/>
    <col min="67" max="67" width="9.140625" style="2" bestFit="1" customWidth="1"/>
    <col min="68" max="68" width="61.5703125" style="2" bestFit="1" customWidth="1"/>
    <col min="69" max="69" width="30.5703125" style="2" bestFit="1" customWidth="1"/>
    <col min="70" max="70" width="22.28515625" style="2" bestFit="1" customWidth="1"/>
    <col min="71" max="71" width="10.42578125" style="2" bestFit="1" customWidth="1"/>
    <col min="72" max="72" width="9.7109375" style="2" bestFit="1" customWidth="1"/>
    <col min="73" max="73" width="35.85546875" style="2" bestFit="1" customWidth="1"/>
    <col min="74" max="74" width="8.5703125" style="2" bestFit="1" customWidth="1"/>
    <col min="75" max="75" width="24.28515625" style="2" bestFit="1" customWidth="1"/>
    <col min="76" max="76" width="16.140625" style="2" bestFit="1" customWidth="1"/>
    <col min="77" max="77" width="13.85546875" style="2" bestFit="1" customWidth="1"/>
    <col min="78" max="78" width="14.42578125" style="2" bestFit="1" customWidth="1"/>
    <col min="79" max="79" width="39.85546875" style="2" bestFit="1" customWidth="1"/>
    <col min="80" max="80" width="9" style="2"/>
    <col min="81" max="81" width="26.42578125" style="2" bestFit="1" customWidth="1"/>
    <col min="82" max="82" width="16" style="2" bestFit="1" customWidth="1"/>
    <col min="83" max="83" width="43.7109375" style="2" bestFit="1" customWidth="1"/>
    <col min="84" max="84" width="14" style="2" bestFit="1" customWidth="1"/>
    <col min="85" max="85" width="6.42578125" style="2" bestFit="1" customWidth="1"/>
    <col min="86" max="86" width="13.85546875" style="2" bestFit="1" customWidth="1"/>
    <col min="87" max="87" width="11.140625" style="2" bestFit="1" customWidth="1"/>
    <col min="88" max="88" width="12" style="2" bestFit="1" customWidth="1"/>
    <col min="89" max="89" width="5" style="2" bestFit="1" customWidth="1"/>
    <col min="90" max="90" width="13.28515625" style="2" bestFit="1" customWidth="1"/>
    <col min="91" max="91" width="18.28515625" style="2" bestFit="1" customWidth="1"/>
    <col min="92" max="16384" width="9" style="2"/>
  </cols>
  <sheetData>
    <row r="1" spans="1:9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E2" s="2" t="str">
        <f>"FES1162592798"</f>
        <v>FES1162592798</v>
      </c>
      <c r="F2" s="3">
        <v>43069</v>
      </c>
      <c r="G2" s="2">
        <v>201806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"2170605223                    "</f>
        <v xml:space="preserve">2170605223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10.59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8</v>
      </c>
      <c r="BJ2" s="2">
        <v>2.2000000000000002</v>
      </c>
      <c r="BK2" s="2">
        <v>8</v>
      </c>
      <c r="BL2" s="2">
        <v>89.65</v>
      </c>
      <c r="BM2" s="2">
        <v>12.55</v>
      </c>
      <c r="BN2" s="2">
        <v>102.2</v>
      </c>
      <c r="BO2" s="2">
        <v>102.2</v>
      </c>
      <c r="BQ2" s="2" t="s">
        <v>82</v>
      </c>
      <c r="BR2" s="2" t="s">
        <v>83</v>
      </c>
      <c r="BS2" s="3">
        <v>43070</v>
      </c>
      <c r="BT2" s="4">
        <v>0.39305555555555555</v>
      </c>
      <c r="BU2" s="2" t="s">
        <v>84</v>
      </c>
      <c r="BV2" s="2" t="s">
        <v>85</v>
      </c>
      <c r="BY2" s="2">
        <v>11148.29</v>
      </c>
      <c r="CA2" s="2" t="s">
        <v>86</v>
      </c>
      <c r="CC2" s="2" t="s">
        <v>79</v>
      </c>
      <c r="CD2" s="2">
        <v>1947</v>
      </c>
      <c r="CE2" s="2" t="s">
        <v>87</v>
      </c>
      <c r="CF2" s="3">
        <v>43073</v>
      </c>
      <c r="CI2" s="2">
        <v>1</v>
      </c>
      <c r="CJ2" s="2">
        <v>1</v>
      </c>
      <c r="CK2" s="2" t="s">
        <v>88</v>
      </c>
      <c r="CL2" s="2" t="s">
        <v>89</v>
      </c>
    </row>
    <row r="3" spans="1:91">
      <c r="A3" s="2" t="s">
        <v>71</v>
      </c>
      <c r="B3" s="2" t="s">
        <v>72</v>
      </c>
      <c r="C3" s="2" t="s">
        <v>73</v>
      </c>
      <c r="E3" s="2" t="str">
        <f>"FES1162592385"</f>
        <v>FES1162592385</v>
      </c>
      <c r="F3" s="3">
        <v>43068</v>
      </c>
      <c r="G3" s="2">
        <v>201806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90</v>
      </c>
      <c r="M3" s="2" t="s">
        <v>91</v>
      </c>
      <c r="N3" s="2" t="s">
        <v>92</v>
      </c>
      <c r="O3" s="2" t="s">
        <v>81</v>
      </c>
      <c r="P3" s="2" t="str">
        <f>"2170600208                    "</f>
        <v xml:space="preserve">2170600208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9.81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12.8</v>
      </c>
      <c r="BJ3" s="2">
        <v>22.1</v>
      </c>
      <c r="BK3" s="2">
        <v>22</v>
      </c>
      <c r="BL3" s="2">
        <v>83.38</v>
      </c>
      <c r="BM3" s="2">
        <v>11.67</v>
      </c>
      <c r="BN3" s="2">
        <v>95.05</v>
      </c>
      <c r="BO3" s="2">
        <v>95.05</v>
      </c>
      <c r="BQ3" s="2" t="s">
        <v>82</v>
      </c>
      <c r="BR3" s="2" t="s">
        <v>83</v>
      </c>
      <c r="BS3" s="3">
        <v>43069</v>
      </c>
      <c r="BT3" s="4">
        <v>0.41666666666666669</v>
      </c>
      <c r="BU3" s="2" t="s">
        <v>93</v>
      </c>
      <c r="BV3" s="2" t="s">
        <v>85</v>
      </c>
      <c r="BY3" s="2">
        <v>110482.52</v>
      </c>
      <c r="CA3" s="2" t="s">
        <v>94</v>
      </c>
      <c r="CC3" s="2" t="s">
        <v>91</v>
      </c>
      <c r="CD3" s="2">
        <v>1559</v>
      </c>
      <c r="CE3" s="2" t="s">
        <v>95</v>
      </c>
      <c r="CF3" s="3">
        <v>43073</v>
      </c>
      <c r="CI3" s="2">
        <v>1</v>
      </c>
      <c r="CJ3" s="2">
        <v>1</v>
      </c>
      <c r="CK3" s="2" t="s">
        <v>96</v>
      </c>
      <c r="CL3" s="2" t="s">
        <v>89</v>
      </c>
    </row>
    <row r="4" spans="1:91">
      <c r="A4" s="2" t="s">
        <v>71</v>
      </c>
      <c r="B4" s="2" t="s">
        <v>72</v>
      </c>
      <c r="C4" s="2" t="s">
        <v>73</v>
      </c>
      <c r="E4" s="2" t="str">
        <f>"FES1162595653"</f>
        <v>FES1162595653</v>
      </c>
      <c r="F4" s="3">
        <v>43082</v>
      </c>
      <c r="G4" s="2">
        <v>201806</v>
      </c>
      <c r="H4" s="2" t="s">
        <v>74</v>
      </c>
      <c r="I4" s="2" t="s">
        <v>75</v>
      </c>
      <c r="J4" s="2" t="s">
        <v>97</v>
      </c>
      <c r="K4" s="2" t="s">
        <v>77</v>
      </c>
      <c r="L4" s="2" t="s">
        <v>98</v>
      </c>
      <c r="M4" s="2" t="s">
        <v>99</v>
      </c>
      <c r="N4" s="2" t="s">
        <v>100</v>
      </c>
      <c r="O4" s="2" t="s">
        <v>101</v>
      </c>
      <c r="P4" s="2" t="str">
        <f>"2170607474                    "</f>
        <v xml:space="preserve">2170607474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19.3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3.9</v>
      </c>
      <c r="BJ4" s="2">
        <v>5.6</v>
      </c>
      <c r="BK4" s="2">
        <v>6</v>
      </c>
      <c r="BL4" s="2">
        <v>137.76</v>
      </c>
      <c r="BM4" s="2">
        <v>19.29</v>
      </c>
      <c r="BN4" s="2">
        <v>157.05000000000001</v>
      </c>
      <c r="BO4" s="2">
        <v>157.05000000000001</v>
      </c>
      <c r="BQ4" s="2" t="s">
        <v>102</v>
      </c>
      <c r="BR4" s="2" t="s">
        <v>103</v>
      </c>
      <c r="BS4" s="3">
        <v>43083</v>
      </c>
      <c r="BT4" s="4">
        <v>0.39374999999999999</v>
      </c>
      <c r="BU4" s="2" t="s">
        <v>104</v>
      </c>
      <c r="BV4" s="2" t="s">
        <v>85</v>
      </c>
      <c r="BY4" s="2">
        <v>28069.52</v>
      </c>
      <c r="CA4" s="2" t="s">
        <v>105</v>
      </c>
      <c r="CC4" s="2" t="s">
        <v>99</v>
      </c>
      <c r="CD4" s="2">
        <v>3201</v>
      </c>
      <c r="CE4" s="2" t="s">
        <v>87</v>
      </c>
      <c r="CF4" s="3">
        <v>43084</v>
      </c>
      <c r="CI4" s="2">
        <v>1</v>
      </c>
      <c r="CJ4" s="2">
        <v>1</v>
      </c>
      <c r="CK4" s="2">
        <v>21</v>
      </c>
      <c r="CL4" s="2" t="s">
        <v>89</v>
      </c>
    </row>
    <row r="5" spans="1:91">
      <c r="A5" s="2" t="s">
        <v>71</v>
      </c>
      <c r="B5" s="2" t="s">
        <v>72</v>
      </c>
      <c r="C5" s="2" t="s">
        <v>73</v>
      </c>
      <c r="E5" s="2" t="str">
        <f>"FES1162595516"</f>
        <v>FES1162595516</v>
      </c>
      <c r="F5" s="3">
        <v>43082</v>
      </c>
      <c r="G5" s="2">
        <v>201806</v>
      </c>
      <c r="H5" s="2" t="s">
        <v>74</v>
      </c>
      <c r="I5" s="2" t="s">
        <v>75</v>
      </c>
      <c r="J5" s="2" t="s">
        <v>97</v>
      </c>
      <c r="K5" s="2" t="s">
        <v>77</v>
      </c>
      <c r="L5" s="2" t="s">
        <v>106</v>
      </c>
      <c r="M5" s="2" t="s">
        <v>107</v>
      </c>
      <c r="N5" s="2" t="s">
        <v>108</v>
      </c>
      <c r="O5" s="2" t="s">
        <v>101</v>
      </c>
      <c r="P5" s="2" t="str">
        <f>"2170607375                    "</f>
        <v xml:space="preserve">2170607375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5.03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2</v>
      </c>
      <c r="BJ5" s="2">
        <v>0.8</v>
      </c>
      <c r="BK5" s="2">
        <v>2</v>
      </c>
      <c r="BL5" s="2">
        <v>35.89</v>
      </c>
      <c r="BM5" s="2">
        <v>5.0199999999999996</v>
      </c>
      <c r="BN5" s="2">
        <v>40.909999999999997</v>
      </c>
      <c r="BO5" s="2">
        <v>40.909999999999997</v>
      </c>
      <c r="BQ5" s="2" t="s">
        <v>82</v>
      </c>
      <c r="BR5" s="2" t="s">
        <v>103</v>
      </c>
      <c r="BS5" s="3">
        <v>43083</v>
      </c>
      <c r="BT5" s="4">
        <v>0.40277777777777773</v>
      </c>
      <c r="BU5" s="2" t="s">
        <v>109</v>
      </c>
      <c r="BV5" s="2" t="s">
        <v>85</v>
      </c>
      <c r="BY5" s="2">
        <v>3844</v>
      </c>
      <c r="CA5" s="2" t="s">
        <v>110</v>
      </c>
      <c r="CC5" s="2" t="s">
        <v>107</v>
      </c>
      <c r="CD5" s="2">
        <v>2094</v>
      </c>
      <c r="CE5" s="2" t="s">
        <v>87</v>
      </c>
      <c r="CF5" s="3">
        <v>43084</v>
      </c>
      <c r="CI5" s="2">
        <v>1</v>
      </c>
      <c r="CJ5" s="2">
        <v>1</v>
      </c>
      <c r="CK5" s="2">
        <v>22</v>
      </c>
      <c r="CL5" s="2" t="s">
        <v>89</v>
      </c>
    </row>
    <row r="6" spans="1:91">
      <c r="A6" s="2" t="s">
        <v>71</v>
      </c>
      <c r="B6" s="2" t="s">
        <v>72</v>
      </c>
      <c r="C6" s="2" t="s">
        <v>73</v>
      </c>
      <c r="E6" s="2" t="str">
        <f>"FES1162595603"</f>
        <v>FES1162595603</v>
      </c>
      <c r="F6" s="3">
        <v>43082</v>
      </c>
      <c r="G6" s="2">
        <v>201806</v>
      </c>
      <c r="H6" s="2" t="s">
        <v>74</v>
      </c>
      <c r="I6" s="2" t="s">
        <v>75</v>
      </c>
      <c r="J6" s="2" t="s">
        <v>97</v>
      </c>
      <c r="K6" s="2" t="s">
        <v>77</v>
      </c>
      <c r="L6" s="2" t="s">
        <v>111</v>
      </c>
      <c r="M6" s="2" t="s">
        <v>112</v>
      </c>
      <c r="N6" s="2" t="s">
        <v>113</v>
      </c>
      <c r="O6" s="2" t="s">
        <v>101</v>
      </c>
      <c r="P6" s="2" t="str">
        <f>"2170604289                    "</f>
        <v xml:space="preserve">2170604289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28.94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8.8000000000000007</v>
      </c>
      <c r="BJ6" s="2">
        <v>3.5</v>
      </c>
      <c r="BK6" s="2">
        <v>9</v>
      </c>
      <c r="BL6" s="2">
        <v>206.62</v>
      </c>
      <c r="BM6" s="2">
        <v>28.93</v>
      </c>
      <c r="BN6" s="2">
        <v>235.55</v>
      </c>
      <c r="BO6" s="2">
        <v>235.55</v>
      </c>
      <c r="BQ6" s="2" t="s">
        <v>82</v>
      </c>
      <c r="BR6" s="2" t="s">
        <v>103</v>
      </c>
      <c r="BS6" s="3">
        <v>43083</v>
      </c>
      <c r="BT6" s="4">
        <v>0.38194444444444442</v>
      </c>
      <c r="BU6" s="2" t="s">
        <v>114</v>
      </c>
      <c r="BV6" s="2" t="s">
        <v>85</v>
      </c>
      <c r="BY6" s="2">
        <v>17272.509999999998</v>
      </c>
      <c r="CC6" s="2" t="s">
        <v>112</v>
      </c>
      <c r="CD6" s="2">
        <v>6220</v>
      </c>
      <c r="CE6" s="2" t="s">
        <v>95</v>
      </c>
      <c r="CF6" s="3">
        <v>43084</v>
      </c>
      <c r="CI6" s="2">
        <v>1</v>
      </c>
      <c r="CJ6" s="2">
        <v>1</v>
      </c>
      <c r="CK6" s="2">
        <v>21</v>
      </c>
      <c r="CL6" s="2" t="s">
        <v>89</v>
      </c>
    </row>
    <row r="7" spans="1:91">
      <c r="A7" s="2" t="s">
        <v>71</v>
      </c>
      <c r="B7" s="2" t="s">
        <v>72</v>
      </c>
      <c r="C7" s="2" t="s">
        <v>73</v>
      </c>
      <c r="E7" s="2" t="str">
        <f>"FES1162595460"</f>
        <v>FES1162595460</v>
      </c>
      <c r="F7" s="3">
        <v>43082</v>
      </c>
      <c r="G7" s="2">
        <v>201806</v>
      </c>
      <c r="H7" s="2" t="s">
        <v>74</v>
      </c>
      <c r="I7" s="2" t="s">
        <v>75</v>
      </c>
      <c r="J7" s="2" t="s">
        <v>97</v>
      </c>
      <c r="K7" s="2" t="s">
        <v>77</v>
      </c>
      <c r="L7" s="2" t="s">
        <v>115</v>
      </c>
      <c r="M7" s="2" t="s">
        <v>116</v>
      </c>
      <c r="N7" s="2" t="s">
        <v>117</v>
      </c>
      <c r="O7" s="2" t="s">
        <v>101</v>
      </c>
      <c r="P7" s="2" t="str">
        <f>"2170607329                    "</f>
        <v xml:space="preserve">2170607329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5.03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0.2</v>
      </c>
      <c r="BK7" s="2">
        <v>1</v>
      </c>
      <c r="BL7" s="2">
        <v>35.89</v>
      </c>
      <c r="BM7" s="2">
        <v>5.0199999999999996</v>
      </c>
      <c r="BN7" s="2">
        <v>40.909999999999997</v>
      </c>
      <c r="BO7" s="2">
        <v>40.909999999999997</v>
      </c>
      <c r="BQ7" s="2" t="s">
        <v>102</v>
      </c>
      <c r="BR7" s="2" t="s">
        <v>103</v>
      </c>
      <c r="BS7" s="3">
        <v>43083</v>
      </c>
      <c r="BT7" s="4">
        <v>0.3666666666666667</v>
      </c>
      <c r="BU7" s="2" t="s">
        <v>118</v>
      </c>
      <c r="BV7" s="2" t="s">
        <v>85</v>
      </c>
      <c r="BY7" s="2">
        <v>1200</v>
      </c>
      <c r="CA7" s="2" t="s">
        <v>119</v>
      </c>
      <c r="CC7" s="2" t="s">
        <v>116</v>
      </c>
      <c r="CD7" s="2">
        <v>1459</v>
      </c>
      <c r="CE7" s="2" t="s">
        <v>120</v>
      </c>
      <c r="CF7" s="3">
        <v>43084</v>
      </c>
      <c r="CI7" s="2">
        <v>1</v>
      </c>
      <c r="CJ7" s="2">
        <v>1</v>
      </c>
      <c r="CK7" s="2">
        <v>22</v>
      </c>
      <c r="CL7" s="2" t="s">
        <v>89</v>
      </c>
    </row>
    <row r="8" spans="1:91">
      <c r="A8" s="2" t="s">
        <v>71</v>
      </c>
      <c r="B8" s="2" t="s">
        <v>72</v>
      </c>
      <c r="C8" s="2" t="s">
        <v>73</v>
      </c>
      <c r="E8" s="2" t="str">
        <f>"FES1162594859"</f>
        <v>FES1162594859</v>
      </c>
      <c r="F8" s="3">
        <v>43082</v>
      </c>
      <c r="G8" s="2">
        <v>201806</v>
      </c>
      <c r="H8" s="2" t="s">
        <v>74</v>
      </c>
      <c r="I8" s="2" t="s">
        <v>75</v>
      </c>
      <c r="J8" s="2" t="s">
        <v>97</v>
      </c>
      <c r="K8" s="2" t="s">
        <v>77</v>
      </c>
      <c r="L8" s="2" t="s">
        <v>121</v>
      </c>
      <c r="M8" s="2" t="s">
        <v>122</v>
      </c>
      <c r="N8" s="2" t="s">
        <v>123</v>
      </c>
      <c r="O8" s="2" t="s">
        <v>101</v>
      </c>
      <c r="P8" s="2" t="str">
        <f>"2170606751                    "</f>
        <v xml:space="preserve">2170606751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9.0500000000000007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1</v>
      </c>
      <c r="BJ8" s="2">
        <v>0.2</v>
      </c>
      <c r="BK8" s="2">
        <v>1</v>
      </c>
      <c r="BL8" s="2">
        <v>64.599999999999994</v>
      </c>
      <c r="BM8" s="2">
        <v>9.0399999999999991</v>
      </c>
      <c r="BN8" s="2">
        <v>73.64</v>
      </c>
      <c r="BO8" s="2">
        <v>73.64</v>
      </c>
      <c r="BQ8" s="2" t="s">
        <v>102</v>
      </c>
      <c r="BR8" s="2" t="s">
        <v>103</v>
      </c>
      <c r="BS8" s="3">
        <v>43083</v>
      </c>
      <c r="BT8" s="4">
        <v>0.4236111111111111</v>
      </c>
      <c r="BU8" s="2" t="s">
        <v>124</v>
      </c>
      <c r="BV8" s="2" t="s">
        <v>85</v>
      </c>
      <c r="BY8" s="2">
        <v>1200</v>
      </c>
      <c r="CC8" s="2" t="s">
        <v>122</v>
      </c>
      <c r="CD8" s="2">
        <v>2210</v>
      </c>
      <c r="CE8" s="2" t="s">
        <v>120</v>
      </c>
      <c r="CF8" s="3">
        <v>43084</v>
      </c>
      <c r="CI8" s="2">
        <v>1</v>
      </c>
      <c r="CJ8" s="2">
        <v>1</v>
      </c>
      <c r="CK8" s="2">
        <v>24</v>
      </c>
      <c r="CL8" s="2" t="s">
        <v>89</v>
      </c>
    </row>
    <row r="9" spans="1:91">
      <c r="A9" s="2" t="s">
        <v>71</v>
      </c>
      <c r="B9" s="2" t="s">
        <v>72</v>
      </c>
      <c r="C9" s="2" t="s">
        <v>73</v>
      </c>
      <c r="E9" s="2" t="str">
        <f>"FES1162595507"</f>
        <v>FES1162595507</v>
      </c>
      <c r="F9" s="3">
        <v>43082</v>
      </c>
      <c r="G9" s="2">
        <v>201806</v>
      </c>
      <c r="H9" s="2" t="s">
        <v>74</v>
      </c>
      <c r="I9" s="2" t="s">
        <v>75</v>
      </c>
      <c r="J9" s="2" t="s">
        <v>97</v>
      </c>
      <c r="K9" s="2" t="s">
        <v>77</v>
      </c>
      <c r="L9" s="2" t="s">
        <v>125</v>
      </c>
      <c r="M9" s="2" t="s">
        <v>126</v>
      </c>
      <c r="N9" s="2" t="s">
        <v>127</v>
      </c>
      <c r="O9" s="2" t="s">
        <v>101</v>
      </c>
      <c r="P9" s="2" t="str">
        <f>"2170601903                    "</f>
        <v xml:space="preserve">2170601903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9.65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2.9</v>
      </c>
      <c r="BJ9" s="2">
        <v>1.3</v>
      </c>
      <c r="BK9" s="2">
        <v>3</v>
      </c>
      <c r="BL9" s="2">
        <v>68.89</v>
      </c>
      <c r="BM9" s="2">
        <v>9.64</v>
      </c>
      <c r="BN9" s="2">
        <v>78.53</v>
      </c>
      <c r="BO9" s="2">
        <v>78.53</v>
      </c>
      <c r="BQ9" s="2" t="s">
        <v>128</v>
      </c>
      <c r="BR9" s="2" t="s">
        <v>103</v>
      </c>
      <c r="BS9" s="3">
        <v>43083</v>
      </c>
      <c r="BT9" s="4">
        <v>0.41041666666666665</v>
      </c>
      <c r="BU9" s="2" t="s">
        <v>129</v>
      </c>
      <c r="BV9" s="2" t="s">
        <v>85</v>
      </c>
      <c r="BY9" s="2">
        <v>6528.23</v>
      </c>
      <c r="CA9" s="2" t="s">
        <v>130</v>
      </c>
      <c r="CC9" s="2" t="s">
        <v>126</v>
      </c>
      <c r="CD9" s="2">
        <v>4001</v>
      </c>
      <c r="CE9" s="2" t="s">
        <v>87</v>
      </c>
      <c r="CF9" s="3">
        <v>43084</v>
      </c>
      <c r="CI9" s="2">
        <v>1</v>
      </c>
      <c r="CJ9" s="2">
        <v>1</v>
      </c>
      <c r="CK9" s="2">
        <v>21</v>
      </c>
      <c r="CL9" s="2" t="s">
        <v>89</v>
      </c>
    </row>
    <row r="10" spans="1:91">
      <c r="A10" s="2" t="s">
        <v>71</v>
      </c>
      <c r="B10" s="2" t="s">
        <v>72</v>
      </c>
      <c r="C10" s="2" t="s">
        <v>73</v>
      </c>
      <c r="E10" s="2" t="str">
        <f>"FES1162595520"</f>
        <v>FES1162595520</v>
      </c>
      <c r="F10" s="3">
        <v>43082</v>
      </c>
      <c r="G10" s="2">
        <v>201806</v>
      </c>
      <c r="H10" s="2" t="s">
        <v>74</v>
      </c>
      <c r="I10" s="2" t="s">
        <v>75</v>
      </c>
      <c r="J10" s="2" t="s">
        <v>97</v>
      </c>
      <c r="K10" s="2" t="s">
        <v>77</v>
      </c>
      <c r="L10" s="2" t="s">
        <v>131</v>
      </c>
      <c r="M10" s="2" t="s">
        <v>132</v>
      </c>
      <c r="N10" s="2" t="s">
        <v>133</v>
      </c>
      <c r="O10" s="2" t="s">
        <v>101</v>
      </c>
      <c r="P10" s="2" t="str">
        <f>"2170582231                    "</f>
        <v xml:space="preserve">2170582231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45.02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14</v>
      </c>
      <c r="BJ10" s="2">
        <v>9.6</v>
      </c>
      <c r="BK10" s="2">
        <v>14</v>
      </c>
      <c r="BL10" s="2">
        <v>321.39999999999998</v>
      </c>
      <c r="BM10" s="2">
        <v>45</v>
      </c>
      <c r="BN10" s="2">
        <v>366.4</v>
      </c>
      <c r="BO10" s="2">
        <v>366.4</v>
      </c>
      <c r="BQ10" s="2" t="s">
        <v>102</v>
      </c>
      <c r="BR10" s="2" t="s">
        <v>103</v>
      </c>
      <c r="BS10" s="3">
        <v>43083</v>
      </c>
      <c r="BT10" s="4">
        <v>0.43194444444444446</v>
      </c>
      <c r="BU10" s="2" t="s">
        <v>134</v>
      </c>
      <c r="BV10" s="2" t="s">
        <v>85</v>
      </c>
      <c r="BY10" s="2">
        <v>47800.2</v>
      </c>
      <c r="CA10" s="2" t="s">
        <v>135</v>
      </c>
      <c r="CC10" s="2" t="s">
        <v>132</v>
      </c>
      <c r="CD10" s="2">
        <v>4302</v>
      </c>
      <c r="CE10" s="2" t="s">
        <v>87</v>
      </c>
      <c r="CF10" s="3">
        <v>43084</v>
      </c>
      <c r="CI10" s="2">
        <v>1</v>
      </c>
      <c r="CJ10" s="2">
        <v>1</v>
      </c>
      <c r="CK10" s="2">
        <v>21</v>
      </c>
      <c r="CL10" s="2" t="s">
        <v>89</v>
      </c>
    </row>
    <row r="11" spans="1:91">
      <c r="A11" s="2" t="s">
        <v>71</v>
      </c>
      <c r="B11" s="2" t="s">
        <v>72</v>
      </c>
      <c r="C11" s="2" t="s">
        <v>73</v>
      </c>
      <c r="E11" s="2" t="str">
        <f>"FES1162595515"</f>
        <v>FES1162595515</v>
      </c>
      <c r="F11" s="3">
        <v>43082</v>
      </c>
      <c r="G11" s="2">
        <v>201806</v>
      </c>
      <c r="H11" s="2" t="s">
        <v>74</v>
      </c>
      <c r="I11" s="2" t="s">
        <v>75</v>
      </c>
      <c r="J11" s="2" t="s">
        <v>97</v>
      </c>
      <c r="K11" s="2" t="s">
        <v>77</v>
      </c>
      <c r="L11" s="2" t="s">
        <v>125</v>
      </c>
      <c r="M11" s="2" t="s">
        <v>126</v>
      </c>
      <c r="N11" s="2" t="s">
        <v>127</v>
      </c>
      <c r="O11" s="2" t="s">
        <v>101</v>
      </c>
      <c r="P11" s="2" t="str">
        <f>"2170599626                    "</f>
        <v xml:space="preserve">2170599626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9.65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3</v>
      </c>
      <c r="BJ11" s="2">
        <v>2</v>
      </c>
      <c r="BK11" s="2">
        <v>3</v>
      </c>
      <c r="BL11" s="2">
        <v>68.89</v>
      </c>
      <c r="BM11" s="2">
        <v>9.64</v>
      </c>
      <c r="BN11" s="2">
        <v>78.53</v>
      </c>
      <c r="BO11" s="2">
        <v>78.53</v>
      </c>
      <c r="BQ11" s="2" t="s">
        <v>128</v>
      </c>
      <c r="BR11" s="2" t="s">
        <v>103</v>
      </c>
      <c r="BS11" s="3">
        <v>43083</v>
      </c>
      <c r="BT11" s="4">
        <v>0.33333333333333331</v>
      </c>
      <c r="BU11" s="2" t="s">
        <v>129</v>
      </c>
      <c r="BV11" s="2" t="s">
        <v>85</v>
      </c>
      <c r="BY11" s="2">
        <v>9792</v>
      </c>
      <c r="CA11" s="2" t="s">
        <v>130</v>
      </c>
      <c r="CC11" s="2" t="s">
        <v>126</v>
      </c>
      <c r="CD11" s="2">
        <v>4001</v>
      </c>
      <c r="CE11" s="2" t="s">
        <v>87</v>
      </c>
      <c r="CF11" s="3">
        <v>43084</v>
      </c>
      <c r="CI11" s="2">
        <v>1</v>
      </c>
      <c r="CJ11" s="2">
        <v>1</v>
      </c>
      <c r="CK11" s="2">
        <v>21</v>
      </c>
      <c r="CL11" s="2" t="s">
        <v>89</v>
      </c>
    </row>
    <row r="12" spans="1:91">
      <c r="A12" s="2" t="s">
        <v>71</v>
      </c>
      <c r="B12" s="2" t="s">
        <v>72</v>
      </c>
      <c r="C12" s="2" t="s">
        <v>73</v>
      </c>
      <c r="E12" s="2" t="str">
        <f>"FES1162595703"</f>
        <v>FES1162595703</v>
      </c>
      <c r="F12" s="3">
        <v>43082</v>
      </c>
      <c r="G12" s="2">
        <v>201806</v>
      </c>
      <c r="H12" s="2" t="s">
        <v>74</v>
      </c>
      <c r="I12" s="2" t="s">
        <v>75</v>
      </c>
      <c r="J12" s="2" t="s">
        <v>97</v>
      </c>
      <c r="K12" s="2" t="s">
        <v>77</v>
      </c>
      <c r="L12" s="2" t="s">
        <v>136</v>
      </c>
      <c r="M12" s="2" t="s">
        <v>137</v>
      </c>
      <c r="N12" s="2" t="s">
        <v>138</v>
      </c>
      <c r="O12" s="2" t="s">
        <v>101</v>
      </c>
      <c r="P12" s="2" t="str">
        <f>"2170607568                    "</f>
        <v xml:space="preserve">2170607568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6.43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0.8</v>
      </c>
      <c r="BJ12" s="2">
        <v>1.3</v>
      </c>
      <c r="BK12" s="2">
        <v>1.5</v>
      </c>
      <c r="BL12" s="2">
        <v>45.93</v>
      </c>
      <c r="BM12" s="2">
        <v>6.43</v>
      </c>
      <c r="BN12" s="2">
        <v>52.36</v>
      </c>
      <c r="BO12" s="2">
        <v>52.36</v>
      </c>
      <c r="BQ12" s="2" t="s">
        <v>82</v>
      </c>
      <c r="BR12" s="2" t="s">
        <v>103</v>
      </c>
      <c r="BS12" s="3">
        <v>43083</v>
      </c>
      <c r="BT12" s="4">
        <v>0.41666666666666669</v>
      </c>
      <c r="BU12" s="2" t="s">
        <v>139</v>
      </c>
      <c r="BV12" s="2" t="s">
        <v>85</v>
      </c>
      <c r="BY12" s="2">
        <v>6280.7</v>
      </c>
      <c r="CA12" s="2" t="s">
        <v>140</v>
      </c>
      <c r="CC12" s="2" t="s">
        <v>137</v>
      </c>
      <c r="CD12" s="2">
        <v>6001</v>
      </c>
      <c r="CE12" s="2" t="s">
        <v>95</v>
      </c>
      <c r="CF12" s="3">
        <v>43084</v>
      </c>
      <c r="CI12" s="2">
        <v>1</v>
      </c>
      <c r="CJ12" s="2">
        <v>1</v>
      </c>
      <c r="CK12" s="2">
        <v>21</v>
      </c>
      <c r="CL12" s="2" t="s">
        <v>89</v>
      </c>
    </row>
    <row r="13" spans="1:91">
      <c r="A13" s="2" t="s">
        <v>71</v>
      </c>
      <c r="B13" s="2" t="s">
        <v>72</v>
      </c>
      <c r="C13" s="2" t="s">
        <v>73</v>
      </c>
      <c r="E13" s="2" t="str">
        <f>"FES1162595539"</f>
        <v>FES1162595539</v>
      </c>
      <c r="F13" s="3">
        <v>43082</v>
      </c>
      <c r="G13" s="2">
        <v>201806</v>
      </c>
      <c r="H13" s="2" t="s">
        <v>74</v>
      </c>
      <c r="I13" s="2" t="s">
        <v>75</v>
      </c>
      <c r="J13" s="2" t="s">
        <v>97</v>
      </c>
      <c r="K13" s="2" t="s">
        <v>77</v>
      </c>
      <c r="L13" s="2" t="s">
        <v>125</v>
      </c>
      <c r="M13" s="2" t="s">
        <v>126</v>
      </c>
      <c r="N13" s="2" t="s">
        <v>141</v>
      </c>
      <c r="O13" s="2" t="s">
        <v>101</v>
      </c>
      <c r="P13" s="2" t="str">
        <f>"2170607405                    "</f>
        <v xml:space="preserve">2170607405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9.65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3</v>
      </c>
      <c r="BJ13" s="2">
        <v>1.1000000000000001</v>
      </c>
      <c r="BK13" s="2">
        <v>3</v>
      </c>
      <c r="BL13" s="2">
        <v>68.89</v>
      </c>
      <c r="BM13" s="2">
        <v>9.64</v>
      </c>
      <c r="BN13" s="2">
        <v>78.53</v>
      </c>
      <c r="BO13" s="2">
        <v>78.53</v>
      </c>
      <c r="BQ13" s="2" t="s">
        <v>142</v>
      </c>
      <c r="BR13" s="2" t="s">
        <v>103</v>
      </c>
      <c r="BS13" s="3">
        <v>43083</v>
      </c>
      <c r="BT13" s="4">
        <v>0.41319444444444442</v>
      </c>
      <c r="BU13" s="2" t="s">
        <v>143</v>
      </c>
      <c r="BV13" s="2" t="s">
        <v>85</v>
      </c>
      <c r="BY13" s="2">
        <v>5320</v>
      </c>
      <c r="CA13" s="2" t="s">
        <v>144</v>
      </c>
      <c r="CC13" s="2" t="s">
        <v>126</v>
      </c>
      <c r="CD13" s="2">
        <v>4067</v>
      </c>
      <c r="CE13" s="2" t="s">
        <v>95</v>
      </c>
      <c r="CF13" s="3">
        <v>43084</v>
      </c>
      <c r="CI13" s="2">
        <v>1</v>
      </c>
      <c r="CJ13" s="2">
        <v>1</v>
      </c>
      <c r="CK13" s="2">
        <v>21</v>
      </c>
      <c r="CL13" s="2" t="s">
        <v>89</v>
      </c>
    </row>
    <row r="14" spans="1:91">
      <c r="A14" s="2" t="s">
        <v>71</v>
      </c>
      <c r="B14" s="2" t="s">
        <v>72</v>
      </c>
      <c r="C14" s="2" t="s">
        <v>73</v>
      </c>
      <c r="E14" s="2" t="str">
        <f>"FES1162595595"</f>
        <v>FES1162595595</v>
      </c>
      <c r="F14" s="3">
        <v>43082</v>
      </c>
      <c r="G14" s="2">
        <v>201806</v>
      </c>
      <c r="H14" s="2" t="s">
        <v>74</v>
      </c>
      <c r="I14" s="2" t="s">
        <v>75</v>
      </c>
      <c r="J14" s="2" t="s">
        <v>97</v>
      </c>
      <c r="K14" s="2" t="s">
        <v>77</v>
      </c>
      <c r="L14" s="2" t="s">
        <v>136</v>
      </c>
      <c r="M14" s="2" t="s">
        <v>137</v>
      </c>
      <c r="N14" s="2" t="s">
        <v>138</v>
      </c>
      <c r="O14" s="2" t="s">
        <v>101</v>
      </c>
      <c r="P14" s="2" t="str">
        <f>"2170598740                    "</f>
        <v xml:space="preserve">2170598740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6.43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</v>
      </c>
      <c r="BJ14" s="2">
        <v>0.2</v>
      </c>
      <c r="BK14" s="2">
        <v>1</v>
      </c>
      <c r="BL14" s="2">
        <v>45.93</v>
      </c>
      <c r="BM14" s="2">
        <v>6.43</v>
      </c>
      <c r="BN14" s="2">
        <v>52.36</v>
      </c>
      <c r="BO14" s="2">
        <v>52.36</v>
      </c>
      <c r="BQ14" s="2" t="s">
        <v>82</v>
      </c>
      <c r="BR14" s="2" t="s">
        <v>103</v>
      </c>
      <c r="BS14" s="3">
        <v>43083</v>
      </c>
      <c r="BT14" s="4">
        <v>0.41666666666666669</v>
      </c>
      <c r="BU14" s="2" t="s">
        <v>139</v>
      </c>
      <c r="BV14" s="2" t="s">
        <v>85</v>
      </c>
      <c r="BY14" s="2">
        <v>1200</v>
      </c>
      <c r="CA14" s="2" t="s">
        <v>140</v>
      </c>
      <c r="CC14" s="2" t="s">
        <v>137</v>
      </c>
      <c r="CD14" s="2">
        <v>6001</v>
      </c>
      <c r="CE14" s="2" t="s">
        <v>120</v>
      </c>
      <c r="CF14" s="3">
        <v>43084</v>
      </c>
      <c r="CI14" s="2">
        <v>1</v>
      </c>
      <c r="CJ14" s="2">
        <v>1</v>
      </c>
      <c r="CK14" s="2">
        <v>21</v>
      </c>
      <c r="CL14" s="2" t="s">
        <v>89</v>
      </c>
    </row>
    <row r="15" spans="1:91">
      <c r="A15" s="2" t="s">
        <v>71</v>
      </c>
      <c r="B15" s="2" t="s">
        <v>72</v>
      </c>
      <c r="C15" s="2" t="s">
        <v>73</v>
      </c>
      <c r="E15" s="2" t="str">
        <f>"FES1162595662"</f>
        <v>FES1162595662</v>
      </c>
      <c r="F15" s="3">
        <v>43082</v>
      </c>
      <c r="G15" s="2">
        <v>201806</v>
      </c>
      <c r="H15" s="2" t="s">
        <v>74</v>
      </c>
      <c r="I15" s="2" t="s">
        <v>75</v>
      </c>
      <c r="J15" s="2" t="s">
        <v>97</v>
      </c>
      <c r="K15" s="2" t="s">
        <v>77</v>
      </c>
      <c r="L15" s="2" t="s">
        <v>145</v>
      </c>
      <c r="M15" s="2" t="s">
        <v>146</v>
      </c>
      <c r="N15" s="2" t="s">
        <v>147</v>
      </c>
      <c r="O15" s="2" t="s">
        <v>101</v>
      </c>
      <c r="P15" s="2" t="str">
        <f>"2170607495                    "</f>
        <v xml:space="preserve">2170607495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6.43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0.2</v>
      </c>
      <c r="BK15" s="2">
        <v>1</v>
      </c>
      <c r="BL15" s="2">
        <v>45.93</v>
      </c>
      <c r="BM15" s="2">
        <v>6.43</v>
      </c>
      <c r="BN15" s="2">
        <v>52.36</v>
      </c>
      <c r="BO15" s="2">
        <v>52.36</v>
      </c>
      <c r="BQ15" s="2" t="s">
        <v>82</v>
      </c>
      <c r="BR15" s="2" t="s">
        <v>103</v>
      </c>
      <c r="BS15" s="3">
        <v>43083</v>
      </c>
      <c r="BT15" s="4">
        <v>0.48055555555555557</v>
      </c>
      <c r="BU15" s="2" t="s">
        <v>148</v>
      </c>
      <c r="BV15" s="2" t="s">
        <v>89</v>
      </c>
      <c r="BW15" s="2" t="s">
        <v>149</v>
      </c>
      <c r="BX15" s="2" t="s">
        <v>150</v>
      </c>
      <c r="BY15" s="2">
        <v>1200</v>
      </c>
      <c r="CA15" s="2" t="s">
        <v>151</v>
      </c>
      <c r="CC15" s="2" t="s">
        <v>146</v>
      </c>
      <c r="CD15" s="2">
        <v>5201</v>
      </c>
      <c r="CE15" s="2" t="s">
        <v>120</v>
      </c>
      <c r="CF15" s="3">
        <v>43088</v>
      </c>
      <c r="CI15" s="2">
        <v>1</v>
      </c>
      <c r="CJ15" s="2">
        <v>1</v>
      </c>
      <c r="CK15" s="2">
        <v>21</v>
      </c>
      <c r="CL15" s="2" t="s">
        <v>89</v>
      </c>
    </row>
    <row r="16" spans="1:91">
      <c r="A16" s="2" t="s">
        <v>71</v>
      </c>
      <c r="B16" s="2" t="s">
        <v>72</v>
      </c>
      <c r="C16" s="2" t="s">
        <v>73</v>
      </c>
      <c r="E16" s="2" t="str">
        <f>"FES1162595536"</f>
        <v>FES1162595536</v>
      </c>
      <c r="F16" s="3">
        <v>43082</v>
      </c>
      <c r="G16" s="2">
        <v>201806</v>
      </c>
      <c r="H16" s="2" t="s">
        <v>74</v>
      </c>
      <c r="I16" s="2" t="s">
        <v>75</v>
      </c>
      <c r="J16" s="2" t="s">
        <v>97</v>
      </c>
      <c r="K16" s="2" t="s">
        <v>77</v>
      </c>
      <c r="L16" s="2" t="s">
        <v>152</v>
      </c>
      <c r="M16" s="2" t="s">
        <v>153</v>
      </c>
      <c r="N16" s="2" t="s">
        <v>154</v>
      </c>
      <c r="O16" s="2" t="s">
        <v>101</v>
      </c>
      <c r="P16" s="2" t="str">
        <f>"2170607401                    "</f>
        <v xml:space="preserve">2170607401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6.84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10.7</v>
      </c>
      <c r="BJ16" s="2">
        <v>9.1</v>
      </c>
      <c r="BK16" s="2">
        <v>11</v>
      </c>
      <c r="BL16" s="2">
        <v>48.8</v>
      </c>
      <c r="BM16" s="2">
        <v>6.83</v>
      </c>
      <c r="BN16" s="2">
        <v>55.63</v>
      </c>
      <c r="BO16" s="2">
        <v>55.63</v>
      </c>
      <c r="BR16" s="2" t="s">
        <v>103</v>
      </c>
      <c r="BS16" s="3">
        <v>43083</v>
      </c>
      <c r="BT16" s="4">
        <v>0.58333333333333337</v>
      </c>
      <c r="BU16" s="2" t="s">
        <v>155</v>
      </c>
      <c r="BV16" s="2" t="s">
        <v>89</v>
      </c>
      <c r="BW16" s="2" t="s">
        <v>156</v>
      </c>
      <c r="BX16" s="2" t="s">
        <v>157</v>
      </c>
      <c r="BY16" s="2">
        <v>45505.15</v>
      </c>
      <c r="CC16" s="2" t="s">
        <v>153</v>
      </c>
      <c r="CD16" s="2">
        <v>1401</v>
      </c>
      <c r="CE16" s="2" t="s">
        <v>95</v>
      </c>
      <c r="CF16" s="3">
        <v>43087</v>
      </c>
      <c r="CI16" s="2">
        <v>1</v>
      </c>
      <c r="CJ16" s="2">
        <v>1</v>
      </c>
      <c r="CK16" s="2">
        <v>22</v>
      </c>
      <c r="CL16" s="2" t="s">
        <v>89</v>
      </c>
    </row>
    <row r="17" spans="1:90">
      <c r="A17" s="2" t="s">
        <v>71</v>
      </c>
      <c r="B17" s="2" t="s">
        <v>72</v>
      </c>
      <c r="C17" s="2" t="s">
        <v>73</v>
      </c>
      <c r="E17" s="2" t="str">
        <f>"FES1162595576"</f>
        <v>FES1162595576</v>
      </c>
      <c r="F17" s="3">
        <v>43082</v>
      </c>
      <c r="G17" s="2">
        <v>201806</v>
      </c>
      <c r="H17" s="2" t="s">
        <v>74</v>
      </c>
      <c r="I17" s="2" t="s">
        <v>75</v>
      </c>
      <c r="J17" s="2" t="s">
        <v>97</v>
      </c>
      <c r="K17" s="2" t="s">
        <v>77</v>
      </c>
      <c r="L17" s="2" t="s">
        <v>158</v>
      </c>
      <c r="M17" s="2" t="s">
        <v>159</v>
      </c>
      <c r="N17" s="2" t="s">
        <v>160</v>
      </c>
      <c r="O17" s="2" t="s">
        <v>101</v>
      </c>
      <c r="P17" s="2" t="str">
        <f>"2170607421                    "</f>
        <v xml:space="preserve">2170607421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6.43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1</v>
      </c>
      <c r="BJ17" s="2">
        <v>0.2</v>
      </c>
      <c r="BK17" s="2">
        <v>1</v>
      </c>
      <c r="BL17" s="2">
        <v>45.93</v>
      </c>
      <c r="BM17" s="2">
        <v>6.43</v>
      </c>
      <c r="BN17" s="2">
        <v>52.36</v>
      </c>
      <c r="BO17" s="2">
        <v>52.36</v>
      </c>
      <c r="BQ17" s="2" t="s">
        <v>82</v>
      </c>
      <c r="BR17" s="2" t="s">
        <v>103</v>
      </c>
      <c r="BS17" s="3">
        <v>43083</v>
      </c>
      <c r="BT17" s="4">
        <v>0.52777777777777779</v>
      </c>
      <c r="BU17" s="2" t="s">
        <v>161</v>
      </c>
      <c r="BV17" s="2" t="s">
        <v>85</v>
      </c>
      <c r="BY17" s="2">
        <v>1200</v>
      </c>
      <c r="CC17" s="2" t="s">
        <v>159</v>
      </c>
      <c r="CD17" s="2">
        <v>183</v>
      </c>
      <c r="CE17" s="2" t="s">
        <v>120</v>
      </c>
      <c r="CF17" s="3">
        <v>43088</v>
      </c>
      <c r="CI17" s="2">
        <v>1</v>
      </c>
      <c r="CJ17" s="2">
        <v>1</v>
      </c>
      <c r="CK17" s="2">
        <v>21</v>
      </c>
      <c r="CL17" s="2" t="s">
        <v>89</v>
      </c>
    </row>
    <row r="18" spans="1:90">
      <c r="A18" s="2" t="s">
        <v>71</v>
      </c>
      <c r="B18" s="2" t="s">
        <v>72</v>
      </c>
      <c r="C18" s="2" t="s">
        <v>73</v>
      </c>
      <c r="E18" s="2" t="str">
        <f>"FES1162595665"</f>
        <v>FES1162595665</v>
      </c>
      <c r="F18" s="3">
        <v>43082</v>
      </c>
      <c r="G18" s="2">
        <v>201806</v>
      </c>
      <c r="H18" s="2" t="s">
        <v>74</v>
      </c>
      <c r="I18" s="2" t="s">
        <v>75</v>
      </c>
      <c r="J18" s="2" t="s">
        <v>97</v>
      </c>
      <c r="K18" s="2" t="s">
        <v>77</v>
      </c>
      <c r="L18" s="2" t="s">
        <v>162</v>
      </c>
      <c r="M18" s="2" t="s">
        <v>163</v>
      </c>
      <c r="N18" s="2" t="s">
        <v>164</v>
      </c>
      <c r="O18" s="2" t="s">
        <v>101</v>
      </c>
      <c r="P18" s="2" t="str">
        <f>"2170607500                    "</f>
        <v xml:space="preserve">2170607500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5.03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1</v>
      </c>
      <c r="BJ18" s="2">
        <v>0.2</v>
      </c>
      <c r="BK18" s="2">
        <v>1</v>
      </c>
      <c r="BL18" s="2">
        <v>35.89</v>
      </c>
      <c r="BM18" s="2">
        <v>5.0199999999999996</v>
      </c>
      <c r="BN18" s="2">
        <v>40.909999999999997</v>
      </c>
      <c r="BO18" s="2">
        <v>40.909999999999997</v>
      </c>
      <c r="BQ18" s="2" t="s">
        <v>102</v>
      </c>
      <c r="BR18" s="2" t="s">
        <v>103</v>
      </c>
      <c r="BS18" s="3">
        <v>43083</v>
      </c>
      <c r="BT18" s="4">
        <v>0.4375</v>
      </c>
      <c r="BU18" s="2" t="s">
        <v>165</v>
      </c>
      <c r="BV18" s="2" t="s">
        <v>85</v>
      </c>
      <c r="BY18" s="2">
        <v>1200</v>
      </c>
      <c r="CC18" s="2" t="s">
        <v>163</v>
      </c>
      <c r="CD18" s="2">
        <v>1451</v>
      </c>
      <c r="CE18" s="2" t="s">
        <v>120</v>
      </c>
      <c r="CF18" s="3">
        <v>43087</v>
      </c>
      <c r="CI18" s="2">
        <v>1</v>
      </c>
      <c r="CJ18" s="2">
        <v>1</v>
      </c>
      <c r="CK18" s="2">
        <v>22</v>
      </c>
      <c r="CL18" s="2" t="s">
        <v>89</v>
      </c>
    </row>
    <row r="19" spans="1:90">
      <c r="A19" s="2" t="s">
        <v>71</v>
      </c>
      <c r="B19" s="2" t="s">
        <v>72</v>
      </c>
      <c r="C19" s="2" t="s">
        <v>73</v>
      </c>
      <c r="E19" s="2" t="str">
        <f>"FES1162595586"</f>
        <v>FES1162595586</v>
      </c>
      <c r="F19" s="3">
        <v>43082</v>
      </c>
      <c r="G19" s="2">
        <v>201806</v>
      </c>
      <c r="H19" s="2" t="s">
        <v>74</v>
      </c>
      <c r="I19" s="2" t="s">
        <v>75</v>
      </c>
      <c r="J19" s="2" t="s">
        <v>97</v>
      </c>
      <c r="K19" s="2" t="s">
        <v>77</v>
      </c>
      <c r="L19" s="2" t="s">
        <v>90</v>
      </c>
      <c r="M19" s="2" t="s">
        <v>91</v>
      </c>
      <c r="N19" s="2" t="s">
        <v>166</v>
      </c>
      <c r="O19" s="2" t="s">
        <v>101</v>
      </c>
      <c r="P19" s="2" t="str">
        <f>"2170606670                    "</f>
        <v xml:space="preserve">2170606670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5.03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1</v>
      </c>
      <c r="BJ19" s="2">
        <v>0.2</v>
      </c>
      <c r="BK19" s="2">
        <v>1</v>
      </c>
      <c r="BL19" s="2">
        <v>35.89</v>
      </c>
      <c r="BM19" s="2">
        <v>5.0199999999999996</v>
      </c>
      <c r="BN19" s="2">
        <v>40.909999999999997</v>
      </c>
      <c r="BO19" s="2">
        <v>40.909999999999997</v>
      </c>
      <c r="BQ19" s="2" t="s">
        <v>102</v>
      </c>
      <c r="BR19" s="2" t="s">
        <v>103</v>
      </c>
      <c r="BS19" s="3">
        <v>43083</v>
      </c>
      <c r="BT19" s="4">
        <v>0.4375</v>
      </c>
      <c r="BU19" s="2" t="s">
        <v>167</v>
      </c>
      <c r="BV19" s="2" t="s">
        <v>85</v>
      </c>
      <c r="BY19" s="2">
        <v>1200</v>
      </c>
      <c r="CC19" s="2" t="s">
        <v>91</v>
      </c>
      <c r="CD19" s="2">
        <v>1562</v>
      </c>
      <c r="CE19" s="2" t="s">
        <v>120</v>
      </c>
      <c r="CF19" s="3">
        <v>43084</v>
      </c>
      <c r="CI19" s="2">
        <v>1</v>
      </c>
      <c r="CJ19" s="2">
        <v>0</v>
      </c>
      <c r="CK19" s="2">
        <v>22</v>
      </c>
      <c r="CL19" s="2" t="s">
        <v>89</v>
      </c>
    </row>
    <row r="20" spans="1:90">
      <c r="A20" s="2" t="s">
        <v>71</v>
      </c>
      <c r="B20" s="2" t="s">
        <v>72</v>
      </c>
      <c r="C20" s="2" t="s">
        <v>73</v>
      </c>
      <c r="E20" s="2" t="str">
        <f>"FES1162595510"</f>
        <v>FES1162595510</v>
      </c>
      <c r="F20" s="3">
        <v>43082</v>
      </c>
      <c r="G20" s="2">
        <v>201806</v>
      </c>
      <c r="H20" s="2" t="s">
        <v>74</v>
      </c>
      <c r="I20" s="2" t="s">
        <v>75</v>
      </c>
      <c r="J20" s="2" t="s">
        <v>97</v>
      </c>
      <c r="K20" s="2" t="s">
        <v>77</v>
      </c>
      <c r="L20" s="2" t="s">
        <v>168</v>
      </c>
      <c r="M20" s="2" t="s">
        <v>169</v>
      </c>
      <c r="N20" s="2" t="s">
        <v>170</v>
      </c>
      <c r="O20" s="2" t="s">
        <v>101</v>
      </c>
      <c r="P20" s="2" t="str">
        <f>"2170607098                    "</f>
        <v xml:space="preserve">2170607098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16.079999999999998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4.5999999999999996</v>
      </c>
      <c r="BJ20" s="2">
        <v>3.3</v>
      </c>
      <c r="BK20" s="2">
        <v>5</v>
      </c>
      <c r="BL20" s="2">
        <v>114.8</v>
      </c>
      <c r="BM20" s="2">
        <v>16.07</v>
      </c>
      <c r="BN20" s="2">
        <v>130.87</v>
      </c>
      <c r="BO20" s="2">
        <v>130.87</v>
      </c>
      <c r="BQ20" s="2" t="s">
        <v>128</v>
      </c>
      <c r="BR20" s="2" t="s">
        <v>103</v>
      </c>
      <c r="BS20" s="3">
        <v>43083</v>
      </c>
      <c r="BT20" s="4">
        <v>0.38541666666666669</v>
      </c>
      <c r="BU20" s="2" t="s">
        <v>171</v>
      </c>
      <c r="BV20" s="2" t="s">
        <v>85</v>
      </c>
      <c r="BY20" s="2">
        <v>16425.580000000002</v>
      </c>
      <c r="CA20" s="2" t="s">
        <v>172</v>
      </c>
      <c r="CC20" s="2" t="s">
        <v>169</v>
      </c>
      <c r="CD20" s="2">
        <v>3610</v>
      </c>
      <c r="CE20" s="2" t="s">
        <v>95</v>
      </c>
      <c r="CF20" s="3">
        <v>43084</v>
      </c>
      <c r="CI20" s="2">
        <v>1</v>
      </c>
      <c r="CJ20" s="2">
        <v>1</v>
      </c>
      <c r="CK20" s="2">
        <v>21</v>
      </c>
      <c r="CL20" s="2" t="s">
        <v>89</v>
      </c>
    </row>
    <row r="21" spans="1:90">
      <c r="A21" s="2" t="s">
        <v>71</v>
      </c>
      <c r="B21" s="2" t="s">
        <v>72</v>
      </c>
      <c r="C21" s="2" t="s">
        <v>73</v>
      </c>
      <c r="E21" s="2" t="str">
        <f>"FES1162595509"</f>
        <v>FES1162595509</v>
      </c>
      <c r="F21" s="3">
        <v>43082</v>
      </c>
      <c r="G21" s="2">
        <v>201806</v>
      </c>
      <c r="H21" s="2" t="s">
        <v>74</v>
      </c>
      <c r="I21" s="2" t="s">
        <v>75</v>
      </c>
      <c r="J21" s="2" t="s">
        <v>97</v>
      </c>
      <c r="K21" s="2" t="s">
        <v>77</v>
      </c>
      <c r="L21" s="2" t="s">
        <v>125</v>
      </c>
      <c r="M21" s="2" t="s">
        <v>126</v>
      </c>
      <c r="N21" s="2" t="s">
        <v>141</v>
      </c>
      <c r="O21" s="2" t="s">
        <v>101</v>
      </c>
      <c r="P21" s="2" t="str">
        <f>"2170604149                    "</f>
        <v xml:space="preserve">2170604149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22.51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7</v>
      </c>
      <c r="BJ21" s="2">
        <v>3.8</v>
      </c>
      <c r="BK21" s="2">
        <v>7</v>
      </c>
      <c r="BL21" s="2">
        <v>160.71</v>
      </c>
      <c r="BM21" s="2">
        <v>22.5</v>
      </c>
      <c r="BN21" s="2">
        <v>183.21</v>
      </c>
      <c r="BO21" s="2">
        <v>183.21</v>
      </c>
      <c r="BQ21" s="2" t="s">
        <v>142</v>
      </c>
      <c r="BR21" s="2" t="s">
        <v>103</v>
      </c>
      <c r="BS21" s="3">
        <v>43083</v>
      </c>
      <c r="BT21" s="4">
        <v>0.41180555555555554</v>
      </c>
      <c r="BU21" s="2" t="s">
        <v>143</v>
      </c>
      <c r="BV21" s="2" t="s">
        <v>85</v>
      </c>
      <c r="BY21" s="2">
        <v>19026.32</v>
      </c>
      <c r="CA21" s="2" t="s">
        <v>144</v>
      </c>
      <c r="CC21" s="2" t="s">
        <v>126</v>
      </c>
      <c r="CD21" s="2">
        <v>4067</v>
      </c>
      <c r="CE21" s="2" t="s">
        <v>95</v>
      </c>
      <c r="CF21" s="3">
        <v>43084</v>
      </c>
      <c r="CI21" s="2">
        <v>1</v>
      </c>
      <c r="CJ21" s="2">
        <v>1</v>
      </c>
      <c r="CK21" s="2">
        <v>21</v>
      </c>
      <c r="CL21" s="2" t="s">
        <v>89</v>
      </c>
    </row>
    <row r="22" spans="1:90">
      <c r="A22" s="2" t="s">
        <v>71</v>
      </c>
      <c r="B22" s="2" t="s">
        <v>72</v>
      </c>
      <c r="C22" s="2" t="s">
        <v>73</v>
      </c>
      <c r="E22" s="2" t="str">
        <f>"FES1162595590"</f>
        <v>FES1162595590</v>
      </c>
      <c r="F22" s="3">
        <v>43082</v>
      </c>
      <c r="G22" s="2">
        <v>201806</v>
      </c>
      <c r="H22" s="2" t="s">
        <v>74</v>
      </c>
      <c r="I22" s="2" t="s">
        <v>75</v>
      </c>
      <c r="J22" s="2" t="s">
        <v>97</v>
      </c>
      <c r="K22" s="2" t="s">
        <v>77</v>
      </c>
      <c r="L22" s="2" t="s">
        <v>173</v>
      </c>
      <c r="M22" s="2" t="s">
        <v>174</v>
      </c>
      <c r="N22" s="2" t="s">
        <v>175</v>
      </c>
      <c r="O22" s="2" t="s">
        <v>101</v>
      </c>
      <c r="P22" s="2" t="str">
        <f>"2170607243                    "</f>
        <v xml:space="preserve">2170607243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8.0399999999999991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2.4</v>
      </c>
      <c r="BJ22" s="2">
        <v>1.4</v>
      </c>
      <c r="BK22" s="2">
        <v>2.5</v>
      </c>
      <c r="BL22" s="2">
        <v>57.41</v>
      </c>
      <c r="BM22" s="2">
        <v>8.0399999999999991</v>
      </c>
      <c r="BN22" s="2">
        <v>65.45</v>
      </c>
      <c r="BO22" s="2">
        <v>65.45</v>
      </c>
      <c r="BQ22" s="2" t="s">
        <v>102</v>
      </c>
      <c r="BR22" s="2" t="s">
        <v>103</v>
      </c>
      <c r="BS22" s="3">
        <v>43083</v>
      </c>
      <c r="BT22" s="4">
        <v>0.40486111111111112</v>
      </c>
      <c r="BU22" s="2" t="s">
        <v>176</v>
      </c>
      <c r="BV22" s="2" t="s">
        <v>85</v>
      </c>
      <c r="BY22" s="2">
        <v>6964.27</v>
      </c>
      <c r="CA22" s="2" t="s">
        <v>177</v>
      </c>
      <c r="CC22" s="2" t="s">
        <v>174</v>
      </c>
      <c r="CD22" s="2">
        <v>7405</v>
      </c>
      <c r="CE22" s="2" t="s">
        <v>95</v>
      </c>
      <c r="CF22" s="3">
        <v>43084</v>
      </c>
      <c r="CI22" s="2">
        <v>1</v>
      </c>
      <c r="CJ22" s="2">
        <v>1</v>
      </c>
      <c r="CK22" s="2">
        <v>21</v>
      </c>
      <c r="CL22" s="2" t="s">
        <v>89</v>
      </c>
    </row>
    <row r="23" spans="1:90">
      <c r="A23" s="2" t="s">
        <v>71</v>
      </c>
      <c r="B23" s="2" t="s">
        <v>72</v>
      </c>
      <c r="C23" s="2" t="s">
        <v>73</v>
      </c>
      <c r="E23" s="2" t="str">
        <f>"FES1162595674"</f>
        <v>FES1162595674</v>
      </c>
      <c r="F23" s="3">
        <v>43082</v>
      </c>
      <c r="G23" s="2">
        <v>201806</v>
      </c>
      <c r="H23" s="2" t="s">
        <v>74</v>
      </c>
      <c r="I23" s="2" t="s">
        <v>75</v>
      </c>
      <c r="J23" s="2" t="s">
        <v>97</v>
      </c>
      <c r="K23" s="2" t="s">
        <v>77</v>
      </c>
      <c r="L23" s="2" t="s">
        <v>136</v>
      </c>
      <c r="M23" s="2" t="s">
        <v>137</v>
      </c>
      <c r="N23" s="2" t="s">
        <v>178</v>
      </c>
      <c r="O23" s="2" t="s">
        <v>101</v>
      </c>
      <c r="P23" s="2" t="str">
        <f>"2170607514                    "</f>
        <v xml:space="preserve">2170607514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11.26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1.3</v>
      </c>
      <c r="BJ23" s="2">
        <v>3.3</v>
      </c>
      <c r="BK23" s="2">
        <v>3.5</v>
      </c>
      <c r="BL23" s="2">
        <v>80.37</v>
      </c>
      <c r="BM23" s="2">
        <v>11.25</v>
      </c>
      <c r="BN23" s="2">
        <v>91.62</v>
      </c>
      <c r="BO23" s="2">
        <v>91.62</v>
      </c>
      <c r="BQ23" s="2" t="s">
        <v>102</v>
      </c>
      <c r="BR23" s="2" t="s">
        <v>103</v>
      </c>
      <c r="BS23" s="3">
        <v>43083</v>
      </c>
      <c r="BT23" s="4">
        <v>0.4375</v>
      </c>
      <c r="BU23" s="2" t="s">
        <v>179</v>
      </c>
      <c r="BV23" s="2" t="s">
        <v>85</v>
      </c>
      <c r="BY23" s="2">
        <v>16512.310000000001</v>
      </c>
      <c r="CA23" s="2" t="s">
        <v>180</v>
      </c>
      <c r="CC23" s="2" t="s">
        <v>137</v>
      </c>
      <c r="CD23" s="2">
        <v>6001</v>
      </c>
      <c r="CE23" s="2" t="s">
        <v>95</v>
      </c>
      <c r="CF23" s="3">
        <v>43084</v>
      </c>
      <c r="CI23" s="2">
        <v>1</v>
      </c>
      <c r="CJ23" s="2">
        <v>1</v>
      </c>
      <c r="CK23" s="2">
        <v>21</v>
      </c>
      <c r="CL23" s="2" t="s">
        <v>89</v>
      </c>
    </row>
    <row r="24" spans="1:90">
      <c r="A24" s="2" t="s">
        <v>71</v>
      </c>
      <c r="B24" s="2" t="s">
        <v>72</v>
      </c>
      <c r="C24" s="2" t="s">
        <v>73</v>
      </c>
      <c r="E24" s="2" t="str">
        <f>"FES1162595581"</f>
        <v>FES1162595581</v>
      </c>
      <c r="F24" s="3">
        <v>43082</v>
      </c>
      <c r="G24" s="2">
        <v>201806</v>
      </c>
      <c r="H24" s="2" t="s">
        <v>74</v>
      </c>
      <c r="I24" s="2" t="s">
        <v>75</v>
      </c>
      <c r="J24" s="2" t="s">
        <v>97</v>
      </c>
      <c r="K24" s="2" t="s">
        <v>77</v>
      </c>
      <c r="L24" s="2" t="s">
        <v>145</v>
      </c>
      <c r="M24" s="2" t="s">
        <v>146</v>
      </c>
      <c r="N24" s="2" t="s">
        <v>181</v>
      </c>
      <c r="O24" s="2" t="s">
        <v>101</v>
      </c>
      <c r="P24" s="2" t="str">
        <f>"2170607152                    "</f>
        <v xml:space="preserve">2170607152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6.43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0.2</v>
      </c>
      <c r="BK24" s="2">
        <v>1</v>
      </c>
      <c r="BL24" s="2">
        <v>45.93</v>
      </c>
      <c r="BM24" s="2">
        <v>6.43</v>
      </c>
      <c r="BN24" s="2">
        <v>52.36</v>
      </c>
      <c r="BO24" s="2">
        <v>52.36</v>
      </c>
      <c r="BQ24" s="2" t="s">
        <v>82</v>
      </c>
      <c r="BR24" s="2" t="s">
        <v>103</v>
      </c>
      <c r="BS24" s="3">
        <v>43083</v>
      </c>
      <c r="BT24" s="4">
        <v>0.52013888888888882</v>
      </c>
      <c r="BU24" s="2" t="s">
        <v>182</v>
      </c>
      <c r="BV24" s="2" t="s">
        <v>85</v>
      </c>
      <c r="BY24" s="2">
        <v>1200</v>
      </c>
      <c r="CA24" s="2" t="s">
        <v>183</v>
      </c>
      <c r="CC24" s="2" t="s">
        <v>146</v>
      </c>
      <c r="CD24" s="2">
        <v>5201</v>
      </c>
      <c r="CE24" s="2" t="s">
        <v>120</v>
      </c>
      <c r="CF24" s="3">
        <v>43088</v>
      </c>
      <c r="CI24" s="2">
        <v>1</v>
      </c>
      <c r="CJ24" s="2">
        <v>1</v>
      </c>
      <c r="CK24" s="2">
        <v>21</v>
      </c>
      <c r="CL24" s="2" t="s">
        <v>89</v>
      </c>
    </row>
    <row r="25" spans="1:90">
      <c r="A25" s="2" t="s">
        <v>71</v>
      </c>
      <c r="B25" s="2" t="s">
        <v>72</v>
      </c>
      <c r="C25" s="2" t="s">
        <v>73</v>
      </c>
      <c r="E25" s="2" t="str">
        <f>"FES1162595540"</f>
        <v>FES1162595540</v>
      </c>
      <c r="F25" s="3">
        <v>43082</v>
      </c>
      <c r="G25" s="2">
        <v>201806</v>
      </c>
      <c r="H25" s="2" t="s">
        <v>74</v>
      </c>
      <c r="I25" s="2" t="s">
        <v>75</v>
      </c>
      <c r="J25" s="2" t="s">
        <v>97</v>
      </c>
      <c r="K25" s="2" t="s">
        <v>77</v>
      </c>
      <c r="L25" s="2" t="s">
        <v>136</v>
      </c>
      <c r="M25" s="2" t="s">
        <v>137</v>
      </c>
      <c r="N25" s="2" t="s">
        <v>138</v>
      </c>
      <c r="O25" s="2" t="s">
        <v>101</v>
      </c>
      <c r="P25" s="2" t="str">
        <f>"2170607612                    "</f>
        <v xml:space="preserve">2170607612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17.690000000000001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5.2</v>
      </c>
      <c r="BJ25" s="2">
        <v>3.1</v>
      </c>
      <c r="BK25" s="2">
        <v>5.5</v>
      </c>
      <c r="BL25" s="2">
        <v>126.28</v>
      </c>
      <c r="BM25" s="2">
        <v>17.68</v>
      </c>
      <c r="BN25" s="2">
        <v>143.96</v>
      </c>
      <c r="BO25" s="2">
        <v>143.96</v>
      </c>
      <c r="BQ25" s="2" t="s">
        <v>82</v>
      </c>
      <c r="BR25" s="2" t="s">
        <v>103</v>
      </c>
      <c r="BS25" s="3">
        <v>43083</v>
      </c>
      <c r="BT25" s="4">
        <v>0.41666666666666669</v>
      </c>
      <c r="BU25" s="2" t="s">
        <v>139</v>
      </c>
      <c r="BV25" s="2" t="s">
        <v>85</v>
      </c>
      <c r="BY25" s="2">
        <v>15462.18</v>
      </c>
      <c r="CA25" s="2" t="s">
        <v>140</v>
      </c>
      <c r="CC25" s="2" t="s">
        <v>137</v>
      </c>
      <c r="CD25" s="2">
        <v>6001</v>
      </c>
      <c r="CE25" s="2" t="s">
        <v>87</v>
      </c>
      <c r="CF25" s="3">
        <v>43084</v>
      </c>
      <c r="CI25" s="2">
        <v>1</v>
      </c>
      <c r="CJ25" s="2">
        <v>1</v>
      </c>
      <c r="CK25" s="2">
        <v>21</v>
      </c>
      <c r="CL25" s="2" t="s">
        <v>89</v>
      </c>
    </row>
    <row r="26" spans="1:90">
      <c r="A26" s="2" t="s">
        <v>71</v>
      </c>
      <c r="B26" s="2" t="s">
        <v>72</v>
      </c>
      <c r="C26" s="2" t="s">
        <v>73</v>
      </c>
      <c r="E26" s="2" t="str">
        <f>"FES1162595434"</f>
        <v>FES1162595434</v>
      </c>
      <c r="F26" s="3">
        <v>43082</v>
      </c>
      <c r="G26" s="2">
        <v>201806</v>
      </c>
      <c r="H26" s="2" t="s">
        <v>74</v>
      </c>
      <c r="I26" s="2" t="s">
        <v>75</v>
      </c>
      <c r="J26" s="2" t="s">
        <v>97</v>
      </c>
      <c r="K26" s="2" t="s">
        <v>77</v>
      </c>
      <c r="L26" s="2" t="s">
        <v>74</v>
      </c>
      <c r="M26" s="2" t="s">
        <v>75</v>
      </c>
      <c r="N26" s="2" t="s">
        <v>184</v>
      </c>
      <c r="O26" s="2" t="s">
        <v>101</v>
      </c>
      <c r="P26" s="2" t="str">
        <f>"217060460                     "</f>
        <v xml:space="preserve">217060460 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5.63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9</v>
      </c>
      <c r="BJ26" s="2">
        <v>5.2</v>
      </c>
      <c r="BK26" s="2">
        <v>9</v>
      </c>
      <c r="BL26" s="2">
        <v>40.19</v>
      </c>
      <c r="BM26" s="2">
        <v>5.63</v>
      </c>
      <c r="BN26" s="2">
        <v>45.82</v>
      </c>
      <c r="BO26" s="2">
        <v>45.82</v>
      </c>
      <c r="BQ26" s="2" t="s">
        <v>82</v>
      </c>
      <c r="BR26" s="2" t="s">
        <v>103</v>
      </c>
      <c r="BS26" s="2" t="s">
        <v>185</v>
      </c>
      <c r="BY26" s="2">
        <v>26180</v>
      </c>
      <c r="CC26" s="2" t="s">
        <v>75</v>
      </c>
      <c r="CD26" s="2">
        <v>1600</v>
      </c>
      <c r="CE26" s="2" t="s">
        <v>87</v>
      </c>
      <c r="CI26" s="2">
        <v>1</v>
      </c>
      <c r="CJ26" s="2" t="s">
        <v>185</v>
      </c>
      <c r="CK26" s="2">
        <v>22</v>
      </c>
      <c r="CL26" s="2" t="s">
        <v>89</v>
      </c>
    </row>
    <row r="27" spans="1:90">
      <c r="A27" s="2" t="s">
        <v>71</v>
      </c>
      <c r="B27" s="2" t="s">
        <v>72</v>
      </c>
      <c r="C27" s="2" t="s">
        <v>73</v>
      </c>
      <c r="E27" s="2" t="str">
        <f>"FES1162595673"</f>
        <v>FES1162595673</v>
      </c>
      <c r="F27" s="3">
        <v>43082</v>
      </c>
      <c r="G27" s="2">
        <v>201806</v>
      </c>
      <c r="H27" s="2" t="s">
        <v>74</v>
      </c>
      <c r="I27" s="2" t="s">
        <v>75</v>
      </c>
      <c r="J27" s="2" t="s">
        <v>97</v>
      </c>
      <c r="K27" s="2" t="s">
        <v>77</v>
      </c>
      <c r="L27" s="2" t="s">
        <v>158</v>
      </c>
      <c r="M27" s="2" t="s">
        <v>159</v>
      </c>
      <c r="N27" s="2" t="s">
        <v>186</v>
      </c>
      <c r="O27" s="2" t="s">
        <v>101</v>
      </c>
      <c r="P27" s="2" t="str">
        <f>"2170607512                    "</f>
        <v xml:space="preserve">2170607512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6.43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</v>
      </c>
      <c r="BJ27" s="2">
        <v>0.2</v>
      </c>
      <c r="BK27" s="2">
        <v>1</v>
      </c>
      <c r="BL27" s="2">
        <v>45.93</v>
      </c>
      <c r="BM27" s="2">
        <v>6.43</v>
      </c>
      <c r="BN27" s="2">
        <v>52.36</v>
      </c>
      <c r="BO27" s="2">
        <v>52.36</v>
      </c>
      <c r="BQ27" s="2" t="s">
        <v>187</v>
      </c>
      <c r="BR27" s="2" t="s">
        <v>103</v>
      </c>
      <c r="BS27" s="3">
        <v>43083</v>
      </c>
      <c r="BT27" s="4">
        <v>0.43263888888888885</v>
      </c>
      <c r="BU27" s="2" t="s">
        <v>188</v>
      </c>
      <c r="BV27" s="2" t="s">
        <v>85</v>
      </c>
      <c r="BY27" s="2">
        <v>1200</v>
      </c>
      <c r="CC27" s="2" t="s">
        <v>159</v>
      </c>
      <c r="CD27" s="2">
        <v>159</v>
      </c>
      <c r="CE27" s="2" t="s">
        <v>120</v>
      </c>
      <c r="CF27" s="3">
        <v>43088</v>
      </c>
      <c r="CI27" s="2">
        <v>1</v>
      </c>
      <c r="CJ27" s="2">
        <v>1</v>
      </c>
      <c r="CK27" s="2">
        <v>21</v>
      </c>
      <c r="CL27" s="2" t="s">
        <v>89</v>
      </c>
    </row>
    <row r="28" spans="1:90">
      <c r="A28" s="2" t="s">
        <v>71</v>
      </c>
      <c r="B28" s="2" t="s">
        <v>72</v>
      </c>
      <c r="C28" s="2" t="s">
        <v>73</v>
      </c>
      <c r="E28" s="2" t="str">
        <f>"FES1162595615"</f>
        <v>FES1162595615</v>
      </c>
      <c r="F28" s="3">
        <v>43082</v>
      </c>
      <c r="G28" s="2">
        <v>201806</v>
      </c>
      <c r="H28" s="2" t="s">
        <v>74</v>
      </c>
      <c r="I28" s="2" t="s">
        <v>75</v>
      </c>
      <c r="J28" s="2" t="s">
        <v>97</v>
      </c>
      <c r="K28" s="2" t="s">
        <v>77</v>
      </c>
      <c r="L28" s="2" t="s">
        <v>189</v>
      </c>
      <c r="M28" s="2" t="s">
        <v>190</v>
      </c>
      <c r="N28" s="2" t="s">
        <v>191</v>
      </c>
      <c r="O28" s="2" t="s">
        <v>101</v>
      </c>
      <c r="P28" s="2" t="str">
        <f>"2170606819                    "</f>
        <v xml:space="preserve">2170606819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6.43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1</v>
      </c>
      <c r="BJ28" s="2">
        <v>0.2</v>
      </c>
      <c r="BK28" s="2">
        <v>1</v>
      </c>
      <c r="BL28" s="2">
        <v>45.93</v>
      </c>
      <c r="BM28" s="2">
        <v>6.43</v>
      </c>
      <c r="BN28" s="2">
        <v>52.36</v>
      </c>
      <c r="BO28" s="2">
        <v>52.36</v>
      </c>
      <c r="BR28" s="2" t="s">
        <v>103</v>
      </c>
      <c r="BS28" s="3">
        <v>43083</v>
      </c>
      <c r="BT28" s="4">
        <v>0.4236111111111111</v>
      </c>
      <c r="BU28" s="2" t="s">
        <v>192</v>
      </c>
      <c r="BV28" s="2" t="s">
        <v>85</v>
      </c>
      <c r="BY28" s="2">
        <v>1200</v>
      </c>
      <c r="CC28" s="2" t="s">
        <v>190</v>
      </c>
      <c r="CD28" s="2">
        <v>157</v>
      </c>
      <c r="CE28" s="2" t="s">
        <v>120</v>
      </c>
      <c r="CF28" s="3">
        <v>43084</v>
      </c>
      <c r="CI28" s="2">
        <v>1</v>
      </c>
      <c r="CJ28" s="2">
        <v>1</v>
      </c>
      <c r="CK28" s="2">
        <v>21</v>
      </c>
      <c r="CL28" s="2" t="s">
        <v>89</v>
      </c>
    </row>
    <row r="29" spans="1:90">
      <c r="A29" s="2" t="s">
        <v>71</v>
      </c>
      <c r="B29" s="2" t="s">
        <v>72</v>
      </c>
      <c r="C29" s="2" t="s">
        <v>73</v>
      </c>
      <c r="E29" s="2" t="str">
        <f>"FES1162595486"</f>
        <v>FES1162595486</v>
      </c>
      <c r="F29" s="3">
        <v>43082</v>
      </c>
      <c r="G29" s="2">
        <v>201806</v>
      </c>
      <c r="H29" s="2" t="s">
        <v>74</v>
      </c>
      <c r="I29" s="2" t="s">
        <v>75</v>
      </c>
      <c r="J29" s="2" t="s">
        <v>97</v>
      </c>
      <c r="K29" s="2" t="s">
        <v>77</v>
      </c>
      <c r="L29" s="2" t="s">
        <v>115</v>
      </c>
      <c r="M29" s="2" t="s">
        <v>116</v>
      </c>
      <c r="N29" s="2" t="s">
        <v>117</v>
      </c>
      <c r="O29" s="2" t="s">
        <v>101</v>
      </c>
      <c r="P29" s="2" t="str">
        <f>"2170607354                    "</f>
        <v xml:space="preserve">2170607354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5.03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35.89</v>
      </c>
      <c r="BM29" s="2">
        <v>5.0199999999999996</v>
      </c>
      <c r="BN29" s="2">
        <v>40.909999999999997</v>
      </c>
      <c r="BO29" s="2">
        <v>40.909999999999997</v>
      </c>
      <c r="BQ29" s="2" t="s">
        <v>102</v>
      </c>
      <c r="BR29" s="2" t="s">
        <v>103</v>
      </c>
      <c r="BS29" s="3">
        <v>43083</v>
      </c>
      <c r="BT29" s="4">
        <v>0.3666666666666667</v>
      </c>
      <c r="BU29" s="2" t="s">
        <v>193</v>
      </c>
      <c r="BV29" s="2" t="s">
        <v>85</v>
      </c>
      <c r="BY29" s="2">
        <v>1200</v>
      </c>
      <c r="CA29" s="2" t="s">
        <v>119</v>
      </c>
      <c r="CC29" s="2" t="s">
        <v>116</v>
      </c>
      <c r="CD29" s="2">
        <v>1459</v>
      </c>
      <c r="CE29" s="2" t="s">
        <v>120</v>
      </c>
      <c r="CF29" s="3">
        <v>43084</v>
      </c>
      <c r="CI29" s="2">
        <v>1</v>
      </c>
      <c r="CJ29" s="2">
        <v>1</v>
      </c>
      <c r="CK29" s="2">
        <v>22</v>
      </c>
      <c r="CL29" s="2" t="s">
        <v>89</v>
      </c>
    </row>
    <row r="30" spans="1:90">
      <c r="A30" s="2" t="s">
        <v>71</v>
      </c>
      <c r="B30" s="2" t="s">
        <v>72</v>
      </c>
      <c r="C30" s="2" t="s">
        <v>73</v>
      </c>
      <c r="E30" s="2" t="str">
        <f>"FES1162595588"</f>
        <v>FES1162595588</v>
      </c>
      <c r="F30" s="3">
        <v>43082</v>
      </c>
      <c r="G30" s="2">
        <v>201806</v>
      </c>
      <c r="H30" s="2" t="s">
        <v>74</v>
      </c>
      <c r="I30" s="2" t="s">
        <v>75</v>
      </c>
      <c r="J30" s="2" t="s">
        <v>97</v>
      </c>
      <c r="K30" s="2" t="s">
        <v>77</v>
      </c>
      <c r="L30" s="2" t="s">
        <v>194</v>
      </c>
      <c r="M30" s="2" t="s">
        <v>195</v>
      </c>
      <c r="N30" s="2" t="s">
        <v>196</v>
      </c>
      <c r="O30" s="2" t="s">
        <v>101</v>
      </c>
      <c r="P30" s="2" t="str">
        <f>"2170607433                    "</f>
        <v xml:space="preserve">2170607433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6.43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45.93</v>
      </c>
      <c r="BM30" s="2">
        <v>6.43</v>
      </c>
      <c r="BN30" s="2">
        <v>52.36</v>
      </c>
      <c r="BO30" s="2">
        <v>52.36</v>
      </c>
      <c r="BQ30" s="2" t="s">
        <v>82</v>
      </c>
      <c r="BR30" s="2" t="s">
        <v>103</v>
      </c>
      <c r="BS30" s="3">
        <v>43084</v>
      </c>
      <c r="BT30" s="4">
        <v>0.41666666666666669</v>
      </c>
      <c r="BU30" s="2" t="s">
        <v>197</v>
      </c>
      <c r="BV30" s="2" t="s">
        <v>85</v>
      </c>
      <c r="BY30" s="2">
        <v>1200</v>
      </c>
      <c r="CA30" s="2" t="s">
        <v>198</v>
      </c>
      <c r="CC30" s="2" t="s">
        <v>195</v>
      </c>
      <c r="CD30" s="2">
        <v>8405</v>
      </c>
      <c r="CE30" s="2" t="s">
        <v>120</v>
      </c>
      <c r="CF30" s="3">
        <v>43089</v>
      </c>
      <c r="CI30" s="2">
        <v>3</v>
      </c>
      <c r="CJ30" s="2">
        <v>2</v>
      </c>
      <c r="CK30" s="2">
        <v>21</v>
      </c>
      <c r="CL30" s="2" t="s">
        <v>89</v>
      </c>
    </row>
    <row r="31" spans="1:90">
      <c r="A31" s="2" t="s">
        <v>71</v>
      </c>
      <c r="B31" s="2" t="s">
        <v>72</v>
      </c>
      <c r="C31" s="2" t="s">
        <v>73</v>
      </c>
      <c r="E31" s="2" t="str">
        <f>"FES1162595549"</f>
        <v>FES1162595549</v>
      </c>
      <c r="F31" s="3">
        <v>43082</v>
      </c>
      <c r="G31" s="2">
        <v>201806</v>
      </c>
      <c r="H31" s="2" t="s">
        <v>74</v>
      </c>
      <c r="I31" s="2" t="s">
        <v>75</v>
      </c>
      <c r="J31" s="2" t="s">
        <v>97</v>
      </c>
      <c r="K31" s="2" t="s">
        <v>77</v>
      </c>
      <c r="L31" s="2" t="s">
        <v>189</v>
      </c>
      <c r="M31" s="2" t="s">
        <v>190</v>
      </c>
      <c r="N31" s="2" t="s">
        <v>199</v>
      </c>
      <c r="O31" s="2" t="s">
        <v>101</v>
      </c>
      <c r="P31" s="2" t="str">
        <f>"2170606077                    "</f>
        <v xml:space="preserve">2170606077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6.43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1</v>
      </c>
      <c r="BJ31" s="2">
        <v>0.2</v>
      </c>
      <c r="BK31" s="2">
        <v>1</v>
      </c>
      <c r="BL31" s="2">
        <v>45.93</v>
      </c>
      <c r="BM31" s="2">
        <v>6.43</v>
      </c>
      <c r="BN31" s="2">
        <v>52.36</v>
      </c>
      <c r="BO31" s="2">
        <v>52.36</v>
      </c>
      <c r="BQ31" s="2" t="s">
        <v>102</v>
      </c>
      <c r="BR31" s="2" t="s">
        <v>103</v>
      </c>
      <c r="BS31" s="3">
        <v>43083</v>
      </c>
      <c r="BT31" s="4">
        <v>0.72916666666666663</v>
      </c>
      <c r="BU31" s="2" t="s">
        <v>200</v>
      </c>
      <c r="BV31" s="2" t="s">
        <v>89</v>
      </c>
      <c r="BY31" s="2">
        <v>1200</v>
      </c>
      <c r="CC31" s="2" t="s">
        <v>190</v>
      </c>
      <c r="CD31" s="2">
        <v>157</v>
      </c>
      <c r="CE31" s="2" t="s">
        <v>120</v>
      </c>
      <c r="CF31" s="3">
        <v>43088</v>
      </c>
      <c r="CI31" s="2">
        <v>1</v>
      </c>
      <c r="CJ31" s="2">
        <v>1</v>
      </c>
      <c r="CK31" s="2">
        <v>21</v>
      </c>
      <c r="CL31" s="2" t="s">
        <v>89</v>
      </c>
    </row>
    <row r="32" spans="1:90">
      <c r="A32" s="2" t="s">
        <v>71</v>
      </c>
      <c r="B32" s="2" t="s">
        <v>72</v>
      </c>
      <c r="C32" s="2" t="s">
        <v>73</v>
      </c>
      <c r="E32" s="2" t="str">
        <f>"FES1162595607"</f>
        <v>FES1162595607</v>
      </c>
      <c r="F32" s="3">
        <v>43082</v>
      </c>
      <c r="G32" s="2">
        <v>201806</v>
      </c>
      <c r="H32" s="2" t="s">
        <v>74</v>
      </c>
      <c r="I32" s="2" t="s">
        <v>75</v>
      </c>
      <c r="J32" s="2" t="s">
        <v>97</v>
      </c>
      <c r="K32" s="2" t="s">
        <v>77</v>
      </c>
      <c r="L32" s="2" t="s">
        <v>74</v>
      </c>
      <c r="M32" s="2" t="s">
        <v>75</v>
      </c>
      <c r="N32" s="2" t="s">
        <v>201</v>
      </c>
      <c r="O32" s="2" t="s">
        <v>101</v>
      </c>
      <c r="P32" s="2" t="str">
        <f>"2170604493                    "</f>
        <v xml:space="preserve">2170604493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5.03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35.89</v>
      </c>
      <c r="BM32" s="2">
        <v>5.0199999999999996</v>
      </c>
      <c r="BN32" s="2">
        <v>40.909999999999997</v>
      </c>
      <c r="BO32" s="2">
        <v>40.909999999999997</v>
      </c>
      <c r="BQ32" s="2" t="s">
        <v>102</v>
      </c>
      <c r="BR32" s="2" t="s">
        <v>103</v>
      </c>
      <c r="BS32" s="3">
        <v>43083</v>
      </c>
      <c r="BT32" s="4">
        <v>0.4375</v>
      </c>
      <c r="BU32" s="2" t="s">
        <v>202</v>
      </c>
      <c r="BV32" s="2" t="s">
        <v>85</v>
      </c>
      <c r="BY32" s="2">
        <v>1200</v>
      </c>
      <c r="CA32" s="2" t="s">
        <v>203</v>
      </c>
      <c r="CC32" s="2" t="s">
        <v>75</v>
      </c>
      <c r="CD32" s="2">
        <v>1665</v>
      </c>
      <c r="CE32" s="2" t="s">
        <v>120</v>
      </c>
      <c r="CF32" s="3">
        <v>43084</v>
      </c>
      <c r="CI32" s="2">
        <v>1</v>
      </c>
      <c r="CJ32" s="2">
        <v>1</v>
      </c>
      <c r="CK32" s="2">
        <v>22</v>
      </c>
      <c r="CL32" s="2" t="s">
        <v>89</v>
      </c>
    </row>
    <row r="33" spans="1:90">
      <c r="A33" s="2" t="s">
        <v>71</v>
      </c>
      <c r="B33" s="2" t="s">
        <v>72</v>
      </c>
      <c r="C33" s="2" t="s">
        <v>73</v>
      </c>
      <c r="E33" s="2" t="str">
        <f>"FES1162595450"</f>
        <v>FES1162595450</v>
      </c>
      <c r="F33" s="3">
        <v>43082</v>
      </c>
      <c r="G33" s="2">
        <v>201806</v>
      </c>
      <c r="H33" s="2" t="s">
        <v>74</v>
      </c>
      <c r="I33" s="2" t="s">
        <v>75</v>
      </c>
      <c r="J33" s="2" t="s">
        <v>97</v>
      </c>
      <c r="K33" s="2" t="s">
        <v>77</v>
      </c>
      <c r="L33" s="2" t="s">
        <v>74</v>
      </c>
      <c r="M33" s="2" t="s">
        <v>75</v>
      </c>
      <c r="N33" s="2" t="s">
        <v>204</v>
      </c>
      <c r="O33" s="2" t="s">
        <v>101</v>
      </c>
      <c r="P33" s="2" t="str">
        <f>"2170607312                    "</f>
        <v xml:space="preserve">2170607312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5.03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35.89</v>
      </c>
      <c r="BM33" s="2">
        <v>5.0199999999999996</v>
      </c>
      <c r="BN33" s="2">
        <v>40.909999999999997</v>
      </c>
      <c r="BO33" s="2">
        <v>40.909999999999997</v>
      </c>
      <c r="BQ33" s="2" t="s">
        <v>102</v>
      </c>
      <c r="BR33" s="2" t="s">
        <v>103</v>
      </c>
      <c r="BS33" s="3">
        <v>43083</v>
      </c>
      <c r="BT33" s="4">
        <v>0.32222222222222224</v>
      </c>
      <c r="BU33" s="2" t="s">
        <v>205</v>
      </c>
      <c r="BV33" s="2" t="s">
        <v>85</v>
      </c>
      <c r="BY33" s="2">
        <v>1200</v>
      </c>
      <c r="CA33" s="2" t="s">
        <v>206</v>
      </c>
      <c r="CC33" s="2" t="s">
        <v>75</v>
      </c>
      <c r="CD33" s="2">
        <v>1645</v>
      </c>
      <c r="CE33" s="2" t="s">
        <v>120</v>
      </c>
      <c r="CF33" s="3">
        <v>43087</v>
      </c>
      <c r="CI33" s="2">
        <v>1</v>
      </c>
      <c r="CJ33" s="2">
        <v>1</v>
      </c>
      <c r="CK33" s="2">
        <v>22</v>
      </c>
      <c r="CL33" s="2" t="s">
        <v>89</v>
      </c>
    </row>
    <row r="34" spans="1:90">
      <c r="A34" s="2" t="s">
        <v>71</v>
      </c>
      <c r="B34" s="2" t="s">
        <v>72</v>
      </c>
      <c r="C34" s="2" t="s">
        <v>73</v>
      </c>
      <c r="E34" s="2" t="str">
        <f>"FES1162595632"</f>
        <v>FES1162595632</v>
      </c>
      <c r="F34" s="3">
        <v>43082</v>
      </c>
      <c r="G34" s="2">
        <v>201806</v>
      </c>
      <c r="H34" s="2" t="s">
        <v>74</v>
      </c>
      <c r="I34" s="2" t="s">
        <v>75</v>
      </c>
      <c r="J34" s="2" t="s">
        <v>97</v>
      </c>
      <c r="K34" s="2" t="s">
        <v>77</v>
      </c>
      <c r="L34" s="2" t="s">
        <v>189</v>
      </c>
      <c r="M34" s="2" t="s">
        <v>190</v>
      </c>
      <c r="N34" s="2" t="s">
        <v>191</v>
      </c>
      <c r="O34" s="2" t="s">
        <v>101</v>
      </c>
      <c r="P34" s="2" t="str">
        <f>"2170607454                    "</f>
        <v xml:space="preserve">2170607454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6.43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1</v>
      </c>
      <c r="BJ34" s="2">
        <v>0.2</v>
      </c>
      <c r="BK34" s="2">
        <v>1</v>
      </c>
      <c r="BL34" s="2">
        <v>45.93</v>
      </c>
      <c r="BM34" s="2">
        <v>6.43</v>
      </c>
      <c r="BN34" s="2">
        <v>52.36</v>
      </c>
      <c r="BO34" s="2">
        <v>52.36</v>
      </c>
      <c r="BR34" s="2" t="s">
        <v>103</v>
      </c>
      <c r="BS34" s="3">
        <v>43083</v>
      </c>
      <c r="BT34" s="4">
        <v>0.4236111111111111</v>
      </c>
      <c r="BU34" s="2" t="s">
        <v>192</v>
      </c>
      <c r="BV34" s="2" t="s">
        <v>85</v>
      </c>
      <c r="BY34" s="2">
        <v>1200</v>
      </c>
      <c r="CC34" s="2" t="s">
        <v>190</v>
      </c>
      <c r="CD34" s="2">
        <v>157</v>
      </c>
      <c r="CE34" s="2" t="s">
        <v>120</v>
      </c>
      <c r="CF34" s="3">
        <v>43084</v>
      </c>
      <c r="CI34" s="2">
        <v>1</v>
      </c>
      <c r="CJ34" s="2">
        <v>1</v>
      </c>
      <c r="CK34" s="2">
        <v>21</v>
      </c>
      <c r="CL34" s="2" t="s">
        <v>89</v>
      </c>
    </row>
    <row r="35" spans="1:90">
      <c r="A35" s="2" t="s">
        <v>71</v>
      </c>
      <c r="B35" s="2" t="s">
        <v>72</v>
      </c>
      <c r="C35" s="2" t="s">
        <v>73</v>
      </c>
      <c r="E35" s="2" t="str">
        <f>"FES1162595565"</f>
        <v>FES1162595565</v>
      </c>
      <c r="F35" s="3">
        <v>43082</v>
      </c>
      <c r="G35" s="2">
        <v>201806</v>
      </c>
      <c r="H35" s="2" t="s">
        <v>74</v>
      </c>
      <c r="I35" s="2" t="s">
        <v>75</v>
      </c>
      <c r="J35" s="2" t="s">
        <v>97</v>
      </c>
      <c r="K35" s="2" t="s">
        <v>77</v>
      </c>
      <c r="L35" s="2" t="s">
        <v>207</v>
      </c>
      <c r="M35" s="2" t="s">
        <v>208</v>
      </c>
      <c r="N35" s="2" t="s">
        <v>209</v>
      </c>
      <c r="O35" s="2" t="s">
        <v>101</v>
      </c>
      <c r="P35" s="2" t="str">
        <f>"2170607408                    "</f>
        <v xml:space="preserve">2170607408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6.43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</v>
      </c>
      <c r="BJ35" s="2">
        <v>0.2</v>
      </c>
      <c r="BK35" s="2">
        <v>1</v>
      </c>
      <c r="BL35" s="2">
        <v>45.93</v>
      </c>
      <c r="BM35" s="2">
        <v>6.43</v>
      </c>
      <c r="BN35" s="2">
        <v>52.36</v>
      </c>
      <c r="BO35" s="2">
        <v>52.36</v>
      </c>
      <c r="BQ35" s="2" t="s">
        <v>82</v>
      </c>
      <c r="BR35" s="2" t="s">
        <v>103</v>
      </c>
      <c r="BS35" s="3">
        <v>43083</v>
      </c>
      <c r="BT35" s="4">
        <v>0.41666666666666669</v>
      </c>
      <c r="BU35" s="2" t="s">
        <v>210</v>
      </c>
      <c r="BV35" s="2" t="s">
        <v>85</v>
      </c>
      <c r="BY35" s="2">
        <v>1200</v>
      </c>
      <c r="CA35" s="2" t="s">
        <v>211</v>
      </c>
      <c r="CC35" s="2" t="s">
        <v>208</v>
      </c>
      <c r="CD35" s="2">
        <v>4126</v>
      </c>
      <c r="CE35" s="2" t="s">
        <v>120</v>
      </c>
      <c r="CF35" s="3">
        <v>43083</v>
      </c>
      <c r="CI35" s="2">
        <v>1</v>
      </c>
      <c r="CJ35" s="2">
        <v>1</v>
      </c>
      <c r="CK35" s="2">
        <v>21</v>
      </c>
      <c r="CL35" s="2" t="s">
        <v>89</v>
      </c>
    </row>
    <row r="36" spans="1:90">
      <c r="A36" s="2" t="s">
        <v>71</v>
      </c>
      <c r="B36" s="2" t="s">
        <v>72</v>
      </c>
      <c r="C36" s="2" t="s">
        <v>73</v>
      </c>
      <c r="E36" s="2" t="str">
        <f>"FES1162595605"</f>
        <v>FES1162595605</v>
      </c>
      <c r="F36" s="3">
        <v>43082</v>
      </c>
      <c r="G36" s="2">
        <v>201806</v>
      </c>
      <c r="H36" s="2" t="s">
        <v>74</v>
      </c>
      <c r="I36" s="2" t="s">
        <v>75</v>
      </c>
      <c r="J36" s="2" t="s">
        <v>97</v>
      </c>
      <c r="K36" s="2" t="s">
        <v>77</v>
      </c>
      <c r="L36" s="2" t="s">
        <v>74</v>
      </c>
      <c r="M36" s="2" t="s">
        <v>75</v>
      </c>
      <c r="N36" s="2" t="s">
        <v>201</v>
      </c>
      <c r="O36" s="2" t="s">
        <v>101</v>
      </c>
      <c r="P36" s="2" t="str">
        <f>"2170604352                    "</f>
        <v xml:space="preserve">2170604352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5.03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2.5</v>
      </c>
      <c r="BJ36" s="2">
        <v>0.9</v>
      </c>
      <c r="BK36" s="2">
        <v>3</v>
      </c>
      <c r="BL36" s="2">
        <v>35.89</v>
      </c>
      <c r="BM36" s="2">
        <v>5.0199999999999996</v>
      </c>
      <c r="BN36" s="2">
        <v>40.909999999999997</v>
      </c>
      <c r="BO36" s="2">
        <v>40.909999999999997</v>
      </c>
      <c r="BQ36" s="2" t="s">
        <v>102</v>
      </c>
      <c r="BR36" s="2" t="s">
        <v>103</v>
      </c>
      <c r="BS36" s="3">
        <v>43083</v>
      </c>
      <c r="BT36" s="4">
        <v>0.4375</v>
      </c>
      <c r="BU36" s="2" t="s">
        <v>202</v>
      </c>
      <c r="BV36" s="2" t="s">
        <v>85</v>
      </c>
      <c r="BY36" s="2">
        <v>4330.1099999999997</v>
      </c>
      <c r="CA36" s="2" t="s">
        <v>203</v>
      </c>
      <c r="CC36" s="2" t="s">
        <v>75</v>
      </c>
      <c r="CD36" s="2">
        <v>1665</v>
      </c>
      <c r="CE36" s="2" t="s">
        <v>87</v>
      </c>
      <c r="CF36" s="3">
        <v>43084</v>
      </c>
      <c r="CI36" s="2">
        <v>1</v>
      </c>
      <c r="CJ36" s="2">
        <v>1</v>
      </c>
      <c r="CK36" s="2">
        <v>22</v>
      </c>
      <c r="CL36" s="2" t="s">
        <v>89</v>
      </c>
    </row>
    <row r="37" spans="1:90">
      <c r="A37" s="2" t="s">
        <v>71</v>
      </c>
      <c r="B37" s="2" t="s">
        <v>72</v>
      </c>
      <c r="C37" s="2" t="s">
        <v>73</v>
      </c>
      <c r="E37" s="2" t="str">
        <f>"FES1162594934"</f>
        <v>FES1162594934</v>
      </c>
      <c r="F37" s="3">
        <v>43082</v>
      </c>
      <c r="G37" s="2">
        <v>201806</v>
      </c>
      <c r="H37" s="2" t="s">
        <v>74</v>
      </c>
      <c r="I37" s="2" t="s">
        <v>75</v>
      </c>
      <c r="J37" s="2" t="s">
        <v>97</v>
      </c>
      <c r="K37" s="2" t="s">
        <v>77</v>
      </c>
      <c r="L37" s="2" t="s">
        <v>189</v>
      </c>
      <c r="M37" s="2" t="s">
        <v>190</v>
      </c>
      <c r="N37" s="2" t="s">
        <v>191</v>
      </c>
      <c r="O37" s="2" t="s">
        <v>101</v>
      </c>
      <c r="P37" s="2" t="str">
        <f>"2170606839                    "</f>
        <v xml:space="preserve">2170606839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6.43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0.2</v>
      </c>
      <c r="BK37" s="2">
        <v>1</v>
      </c>
      <c r="BL37" s="2">
        <v>45.93</v>
      </c>
      <c r="BM37" s="2">
        <v>6.43</v>
      </c>
      <c r="BN37" s="2">
        <v>52.36</v>
      </c>
      <c r="BO37" s="2">
        <v>52.36</v>
      </c>
      <c r="BQ37" s="2" t="s">
        <v>82</v>
      </c>
      <c r="BR37" s="2" t="s">
        <v>103</v>
      </c>
      <c r="BS37" s="3">
        <v>43083</v>
      </c>
      <c r="BT37" s="4">
        <v>0.4236111111111111</v>
      </c>
      <c r="BU37" s="2" t="s">
        <v>192</v>
      </c>
      <c r="BV37" s="2" t="s">
        <v>85</v>
      </c>
      <c r="BY37" s="2">
        <v>1200</v>
      </c>
      <c r="CC37" s="2" t="s">
        <v>190</v>
      </c>
      <c r="CD37" s="2">
        <v>157</v>
      </c>
      <c r="CE37" s="2" t="s">
        <v>120</v>
      </c>
      <c r="CF37" s="3">
        <v>43084</v>
      </c>
      <c r="CI37" s="2">
        <v>1</v>
      </c>
      <c r="CJ37" s="2">
        <v>1</v>
      </c>
      <c r="CK37" s="2">
        <v>21</v>
      </c>
      <c r="CL37" s="2" t="s">
        <v>89</v>
      </c>
    </row>
    <row r="38" spans="1:90">
      <c r="A38" s="2" t="s">
        <v>71</v>
      </c>
      <c r="B38" s="2" t="s">
        <v>72</v>
      </c>
      <c r="C38" s="2" t="s">
        <v>73</v>
      </c>
      <c r="E38" s="2" t="str">
        <f>"FES1162595559"</f>
        <v>FES1162595559</v>
      </c>
      <c r="F38" s="3">
        <v>43082</v>
      </c>
      <c r="G38" s="2">
        <v>201806</v>
      </c>
      <c r="H38" s="2" t="s">
        <v>74</v>
      </c>
      <c r="I38" s="2" t="s">
        <v>75</v>
      </c>
      <c r="J38" s="2" t="s">
        <v>97</v>
      </c>
      <c r="K38" s="2" t="s">
        <v>77</v>
      </c>
      <c r="L38" s="2" t="s">
        <v>212</v>
      </c>
      <c r="M38" s="2" t="s">
        <v>212</v>
      </c>
      <c r="N38" s="2" t="s">
        <v>213</v>
      </c>
      <c r="O38" s="2" t="s">
        <v>101</v>
      </c>
      <c r="P38" s="2" t="str">
        <f>"2170607196                    "</f>
        <v xml:space="preserve">2170607196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6.43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1</v>
      </c>
      <c r="BJ38" s="2">
        <v>0.2</v>
      </c>
      <c r="BK38" s="2">
        <v>1</v>
      </c>
      <c r="BL38" s="2">
        <v>45.93</v>
      </c>
      <c r="BM38" s="2">
        <v>6.43</v>
      </c>
      <c r="BN38" s="2">
        <v>52.36</v>
      </c>
      <c r="BO38" s="2">
        <v>52.36</v>
      </c>
      <c r="BQ38" s="2" t="s">
        <v>102</v>
      </c>
      <c r="BR38" s="2" t="s">
        <v>103</v>
      </c>
      <c r="BS38" s="3">
        <v>43083</v>
      </c>
      <c r="BT38" s="4">
        <v>0.56944444444444442</v>
      </c>
      <c r="BU38" s="2" t="s">
        <v>161</v>
      </c>
      <c r="BV38" s="2" t="s">
        <v>85</v>
      </c>
      <c r="BY38" s="2">
        <v>1200</v>
      </c>
      <c r="CC38" s="2" t="s">
        <v>212</v>
      </c>
      <c r="CD38" s="2">
        <v>7646</v>
      </c>
      <c r="CE38" s="2" t="s">
        <v>120</v>
      </c>
      <c r="CF38" s="3">
        <v>43084</v>
      </c>
      <c r="CI38" s="2">
        <v>1</v>
      </c>
      <c r="CJ38" s="2">
        <v>1</v>
      </c>
      <c r="CK38" s="2">
        <v>21</v>
      </c>
      <c r="CL38" s="2" t="s">
        <v>89</v>
      </c>
    </row>
    <row r="39" spans="1:90">
      <c r="A39" s="2" t="s">
        <v>71</v>
      </c>
      <c r="B39" s="2" t="s">
        <v>72</v>
      </c>
      <c r="C39" s="2" t="s">
        <v>73</v>
      </c>
      <c r="E39" s="2" t="str">
        <f>"FES1162595562"</f>
        <v>FES1162595562</v>
      </c>
      <c r="F39" s="3">
        <v>43082</v>
      </c>
      <c r="G39" s="2">
        <v>201806</v>
      </c>
      <c r="H39" s="2" t="s">
        <v>74</v>
      </c>
      <c r="I39" s="2" t="s">
        <v>75</v>
      </c>
      <c r="J39" s="2" t="s">
        <v>97</v>
      </c>
      <c r="K39" s="2" t="s">
        <v>77</v>
      </c>
      <c r="L39" s="2" t="s">
        <v>173</v>
      </c>
      <c r="M39" s="2" t="s">
        <v>174</v>
      </c>
      <c r="N39" s="2" t="s">
        <v>214</v>
      </c>
      <c r="O39" s="2" t="s">
        <v>101</v>
      </c>
      <c r="P39" s="2" t="str">
        <f>"2170607351                    "</f>
        <v xml:space="preserve">2170607351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6.43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45.93</v>
      </c>
      <c r="BM39" s="2">
        <v>6.43</v>
      </c>
      <c r="BN39" s="2">
        <v>52.36</v>
      </c>
      <c r="BO39" s="2">
        <v>52.36</v>
      </c>
      <c r="BQ39" s="2" t="s">
        <v>128</v>
      </c>
      <c r="BR39" s="2" t="s">
        <v>103</v>
      </c>
      <c r="BS39" s="3">
        <v>43083</v>
      </c>
      <c r="BT39" s="4">
        <v>0.41666666666666669</v>
      </c>
      <c r="BU39" s="2" t="s">
        <v>215</v>
      </c>
      <c r="BV39" s="2" t="s">
        <v>85</v>
      </c>
      <c r="BY39" s="2">
        <v>1200</v>
      </c>
      <c r="CA39" s="2" t="s">
        <v>216</v>
      </c>
      <c r="CC39" s="2" t="s">
        <v>174</v>
      </c>
      <c r="CD39" s="2">
        <v>7945</v>
      </c>
      <c r="CE39" s="2" t="s">
        <v>120</v>
      </c>
      <c r="CF39" s="3">
        <v>43083</v>
      </c>
      <c r="CI39" s="2">
        <v>1</v>
      </c>
      <c r="CJ39" s="2">
        <v>1</v>
      </c>
      <c r="CK39" s="2">
        <v>21</v>
      </c>
      <c r="CL39" s="2" t="s">
        <v>89</v>
      </c>
    </row>
    <row r="40" spans="1:90">
      <c r="A40" s="2" t="s">
        <v>71</v>
      </c>
      <c r="B40" s="2" t="s">
        <v>72</v>
      </c>
      <c r="C40" s="2" t="s">
        <v>73</v>
      </c>
      <c r="E40" s="2" t="str">
        <f>"FES1162595596"</f>
        <v>FES1162595596</v>
      </c>
      <c r="F40" s="3">
        <v>43082</v>
      </c>
      <c r="G40" s="2">
        <v>201806</v>
      </c>
      <c r="H40" s="2" t="s">
        <v>74</v>
      </c>
      <c r="I40" s="2" t="s">
        <v>75</v>
      </c>
      <c r="J40" s="2" t="s">
        <v>97</v>
      </c>
      <c r="K40" s="2" t="s">
        <v>77</v>
      </c>
      <c r="L40" s="2" t="s">
        <v>136</v>
      </c>
      <c r="M40" s="2" t="s">
        <v>137</v>
      </c>
      <c r="N40" s="2" t="s">
        <v>138</v>
      </c>
      <c r="O40" s="2" t="s">
        <v>101</v>
      </c>
      <c r="P40" s="2" t="str">
        <f>"2170599584                    "</f>
        <v xml:space="preserve">2170599584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6.43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45.93</v>
      </c>
      <c r="BM40" s="2">
        <v>6.43</v>
      </c>
      <c r="BN40" s="2">
        <v>52.36</v>
      </c>
      <c r="BO40" s="2">
        <v>52.36</v>
      </c>
      <c r="BQ40" s="2" t="s">
        <v>82</v>
      </c>
      <c r="BR40" s="2" t="s">
        <v>103</v>
      </c>
      <c r="BS40" s="3">
        <v>43083</v>
      </c>
      <c r="BT40" s="4">
        <v>0.41666666666666669</v>
      </c>
      <c r="BU40" s="2" t="s">
        <v>139</v>
      </c>
      <c r="BV40" s="2" t="s">
        <v>85</v>
      </c>
      <c r="BY40" s="2">
        <v>1200</v>
      </c>
      <c r="CA40" s="2" t="s">
        <v>140</v>
      </c>
      <c r="CC40" s="2" t="s">
        <v>137</v>
      </c>
      <c r="CD40" s="2">
        <v>6001</v>
      </c>
      <c r="CE40" s="2" t="s">
        <v>120</v>
      </c>
      <c r="CF40" s="3">
        <v>43084</v>
      </c>
      <c r="CI40" s="2">
        <v>1</v>
      </c>
      <c r="CJ40" s="2">
        <v>1</v>
      </c>
      <c r="CK40" s="2">
        <v>21</v>
      </c>
      <c r="CL40" s="2" t="s">
        <v>89</v>
      </c>
    </row>
    <row r="41" spans="1:90">
      <c r="A41" s="2" t="s">
        <v>71</v>
      </c>
      <c r="B41" s="2" t="s">
        <v>72</v>
      </c>
      <c r="C41" s="2" t="s">
        <v>73</v>
      </c>
      <c r="E41" s="2" t="str">
        <f>"FES1162595597"</f>
        <v>FES1162595597</v>
      </c>
      <c r="F41" s="3">
        <v>43082</v>
      </c>
      <c r="G41" s="2">
        <v>201806</v>
      </c>
      <c r="H41" s="2" t="s">
        <v>74</v>
      </c>
      <c r="I41" s="2" t="s">
        <v>75</v>
      </c>
      <c r="J41" s="2" t="s">
        <v>97</v>
      </c>
      <c r="K41" s="2" t="s">
        <v>77</v>
      </c>
      <c r="L41" s="2" t="s">
        <v>168</v>
      </c>
      <c r="M41" s="2" t="s">
        <v>169</v>
      </c>
      <c r="N41" s="2" t="s">
        <v>217</v>
      </c>
      <c r="O41" s="2" t="s">
        <v>101</v>
      </c>
      <c r="P41" s="2" t="str">
        <f>"2170600624                    "</f>
        <v xml:space="preserve">2170600624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6.43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</v>
      </c>
      <c r="BJ41" s="2">
        <v>0.2</v>
      </c>
      <c r="BK41" s="2">
        <v>1</v>
      </c>
      <c r="BL41" s="2">
        <v>45.93</v>
      </c>
      <c r="BM41" s="2">
        <v>6.43</v>
      </c>
      <c r="BN41" s="2">
        <v>52.36</v>
      </c>
      <c r="BO41" s="2">
        <v>52.36</v>
      </c>
      <c r="BQ41" s="2" t="s">
        <v>102</v>
      </c>
      <c r="BR41" s="2" t="s">
        <v>103</v>
      </c>
      <c r="BS41" s="3">
        <v>43083</v>
      </c>
      <c r="BT41" s="4">
        <v>0.45833333333333331</v>
      </c>
      <c r="BU41" s="2" t="s">
        <v>218</v>
      </c>
      <c r="BV41" s="2" t="s">
        <v>89</v>
      </c>
      <c r="BW41" s="2" t="s">
        <v>149</v>
      </c>
      <c r="BX41" s="2" t="s">
        <v>219</v>
      </c>
      <c r="BY41" s="2">
        <v>1200</v>
      </c>
      <c r="CA41" s="2" t="s">
        <v>220</v>
      </c>
      <c r="CC41" s="2" t="s">
        <v>169</v>
      </c>
      <c r="CD41" s="2">
        <v>3620</v>
      </c>
      <c r="CE41" s="2" t="s">
        <v>120</v>
      </c>
      <c r="CF41" s="3">
        <v>43084</v>
      </c>
      <c r="CI41" s="2">
        <v>1</v>
      </c>
      <c r="CJ41" s="2">
        <v>1</v>
      </c>
      <c r="CK41" s="2">
        <v>21</v>
      </c>
      <c r="CL41" s="2" t="s">
        <v>89</v>
      </c>
    </row>
    <row r="42" spans="1:90">
      <c r="A42" s="2" t="s">
        <v>71</v>
      </c>
      <c r="B42" s="2" t="s">
        <v>72</v>
      </c>
      <c r="C42" s="2" t="s">
        <v>73</v>
      </c>
      <c r="E42" s="2" t="str">
        <f>"FES1162595652"</f>
        <v>FES1162595652</v>
      </c>
      <c r="F42" s="3">
        <v>43082</v>
      </c>
      <c r="G42" s="2">
        <v>201806</v>
      </c>
      <c r="H42" s="2" t="s">
        <v>74</v>
      </c>
      <c r="I42" s="2" t="s">
        <v>75</v>
      </c>
      <c r="J42" s="2" t="s">
        <v>97</v>
      </c>
      <c r="K42" s="2" t="s">
        <v>77</v>
      </c>
      <c r="L42" s="2" t="s">
        <v>221</v>
      </c>
      <c r="M42" s="2" t="s">
        <v>222</v>
      </c>
      <c r="N42" s="2" t="s">
        <v>223</v>
      </c>
      <c r="O42" s="2" t="s">
        <v>101</v>
      </c>
      <c r="P42" s="2" t="str">
        <f>"2170607465                    "</f>
        <v xml:space="preserve">2170607465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6.43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1</v>
      </c>
      <c r="BJ42" s="2">
        <v>0.2</v>
      </c>
      <c r="BK42" s="2">
        <v>1</v>
      </c>
      <c r="BL42" s="2">
        <v>45.93</v>
      </c>
      <c r="BM42" s="2">
        <v>6.43</v>
      </c>
      <c r="BN42" s="2">
        <v>52.36</v>
      </c>
      <c r="BO42" s="2">
        <v>52.36</v>
      </c>
      <c r="BQ42" s="2" t="s">
        <v>142</v>
      </c>
      <c r="BR42" s="2" t="s">
        <v>103</v>
      </c>
      <c r="BS42" s="3">
        <v>43083</v>
      </c>
      <c r="BT42" s="4">
        <v>0.41944444444444445</v>
      </c>
      <c r="BU42" s="2" t="s">
        <v>224</v>
      </c>
      <c r="BV42" s="2" t="s">
        <v>85</v>
      </c>
      <c r="BY42" s="2">
        <v>1200</v>
      </c>
      <c r="CA42" s="2" t="s">
        <v>225</v>
      </c>
      <c r="CC42" s="2" t="s">
        <v>222</v>
      </c>
      <c r="CD42" s="2">
        <v>4113</v>
      </c>
      <c r="CE42" s="2" t="s">
        <v>120</v>
      </c>
      <c r="CF42" s="3">
        <v>43084</v>
      </c>
      <c r="CI42" s="2">
        <v>1</v>
      </c>
      <c r="CJ42" s="2">
        <v>1</v>
      </c>
      <c r="CK42" s="2">
        <v>21</v>
      </c>
      <c r="CL42" s="2" t="s">
        <v>89</v>
      </c>
    </row>
    <row r="43" spans="1:90">
      <c r="A43" s="2" t="s">
        <v>71</v>
      </c>
      <c r="B43" s="2" t="s">
        <v>72</v>
      </c>
      <c r="C43" s="2" t="s">
        <v>73</v>
      </c>
      <c r="E43" s="2" t="str">
        <f>"FES1162595544"</f>
        <v>FES1162595544</v>
      </c>
      <c r="F43" s="3">
        <v>43082</v>
      </c>
      <c r="G43" s="2">
        <v>201806</v>
      </c>
      <c r="H43" s="2" t="s">
        <v>74</v>
      </c>
      <c r="I43" s="2" t="s">
        <v>75</v>
      </c>
      <c r="J43" s="2" t="s">
        <v>97</v>
      </c>
      <c r="K43" s="2" t="s">
        <v>77</v>
      </c>
      <c r="L43" s="2" t="s">
        <v>173</v>
      </c>
      <c r="M43" s="2" t="s">
        <v>174</v>
      </c>
      <c r="N43" s="2" t="s">
        <v>175</v>
      </c>
      <c r="O43" s="2" t="s">
        <v>101</v>
      </c>
      <c r="P43" s="2" t="str">
        <f>"2170604954                    "</f>
        <v xml:space="preserve">2170604954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6.43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45.93</v>
      </c>
      <c r="BM43" s="2">
        <v>6.43</v>
      </c>
      <c r="BN43" s="2">
        <v>52.36</v>
      </c>
      <c r="BO43" s="2">
        <v>52.36</v>
      </c>
      <c r="BQ43" s="2" t="s">
        <v>102</v>
      </c>
      <c r="BR43" s="2" t="s">
        <v>103</v>
      </c>
      <c r="BS43" s="3">
        <v>43083</v>
      </c>
      <c r="BT43" s="4">
        <v>0.4069444444444445</v>
      </c>
      <c r="BU43" s="2" t="s">
        <v>176</v>
      </c>
      <c r="BV43" s="2" t="s">
        <v>85</v>
      </c>
      <c r="BY43" s="2">
        <v>1200</v>
      </c>
      <c r="CA43" s="2" t="s">
        <v>177</v>
      </c>
      <c r="CC43" s="2" t="s">
        <v>174</v>
      </c>
      <c r="CD43" s="2">
        <v>7405</v>
      </c>
      <c r="CE43" s="2" t="s">
        <v>120</v>
      </c>
      <c r="CF43" s="3">
        <v>43084</v>
      </c>
      <c r="CI43" s="2">
        <v>1</v>
      </c>
      <c r="CJ43" s="2">
        <v>1</v>
      </c>
      <c r="CK43" s="2">
        <v>21</v>
      </c>
      <c r="CL43" s="2" t="s">
        <v>89</v>
      </c>
    </row>
    <row r="44" spans="1:90">
      <c r="A44" s="2" t="s">
        <v>71</v>
      </c>
      <c r="B44" s="2" t="s">
        <v>72</v>
      </c>
      <c r="C44" s="2" t="s">
        <v>73</v>
      </c>
      <c r="E44" s="2" t="str">
        <f>"FES1162595732"</f>
        <v>FES1162595732</v>
      </c>
      <c r="F44" s="3">
        <v>43082</v>
      </c>
      <c r="G44" s="2">
        <v>201806</v>
      </c>
      <c r="H44" s="2" t="s">
        <v>74</v>
      </c>
      <c r="I44" s="2" t="s">
        <v>75</v>
      </c>
      <c r="J44" s="2" t="s">
        <v>97</v>
      </c>
      <c r="K44" s="2" t="s">
        <v>77</v>
      </c>
      <c r="L44" s="2" t="s">
        <v>136</v>
      </c>
      <c r="M44" s="2" t="s">
        <v>137</v>
      </c>
      <c r="N44" s="2" t="s">
        <v>138</v>
      </c>
      <c r="O44" s="2" t="s">
        <v>101</v>
      </c>
      <c r="P44" s="2" t="str">
        <f>"2170600761                    "</f>
        <v xml:space="preserve">2170600761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9.65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1.5</v>
      </c>
      <c r="BJ44" s="2">
        <v>2.9</v>
      </c>
      <c r="BK44" s="2">
        <v>3</v>
      </c>
      <c r="BL44" s="2">
        <v>68.89</v>
      </c>
      <c r="BM44" s="2">
        <v>9.64</v>
      </c>
      <c r="BN44" s="2">
        <v>78.53</v>
      </c>
      <c r="BO44" s="2">
        <v>78.53</v>
      </c>
      <c r="BQ44" s="2" t="s">
        <v>82</v>
      </c>
      <c r="BR44" s="2" t="s">
        <v>103</v>
      </c>
      <c r="BS44" s="3">
        <v>43083</v>
      </c>
      <c r="BT44" s="4">
        <v>0.41666666666666669</v>
      </c>
      <c r="BU44" s="2" t="s">
        <v>139</v>
      </c>
      <c r="BV44" s="2" t="s">
        <v>85</v>
      </c>
      <c r="BY44" s="2">
        <v>14374.18</v>
      </c>
      <c r="CA44" s="2" t="s">
        <v>140</v>
      </c>
      <c r="CC44" s="2" t="s">
        <v>137</v>
      </c>
      <c r="CD44" s="2">
        <v>6001</v>
      </c>
      <c r="CE44" s="2" t="s">
        <v>87</v>
      </c>
      <c r="CF44" s="3">
        <v>43084</v>
      </c>
      <c r="CI44" s="2">
        <v>1</v>
      </c>
      <c r="CJ44" s="2">
        <v>1</v>
      </c>
      <c r="CK44" s="2">
        <v>21</v>
      </c>
      <c r="CL44" s="2" t="s">
        <v>89</v>
      </c>
    </row>
    <row r="45" spans="1:90">
      <c r="A45" s="2" t="s">
        <v>71</v>
      </c>
      <c r="B45" s="2" t="s">
        <v>72</v>
      </c>
      <c r="C45" s="2" t="s">
        <v>73</v>
      </c>
      <c r="E45" s="2" t="str">
        <f>"FES1162595621"</f>
        <v>FES1162595621</v>
      </c>
      <c r="F45" s="3">
        <v>43082</v>
      </c>
      <c r="G45" s="2">
        <v>201806</v>
      </c>
      <c r="H45" s="2" t="s">
        <v>74</v>
      </c>
      <c r="I45" s="2" t="s">
        <v>75</v>
      </c>
      <c r="J45" s="2" t="s">
        <v>97</v>
      </c>
      <c r="K45" s="2" t="s">
        <v>77</v>
      </c>
      <c r="L45" s="2" t="s">
        <v>131</v>
      </c>
      <c r="M45" s="2" t="s">
        <v>132</v>
      </c>
      <c r="N45" s="2" t="s">
        <v>133</v>
      </c>
      <c r="O45" s="2" t="s">
        <v>101</v>
      </c>
      <c r="P45" s="2" t="str">
        <f>"2170607441                    "</f>
        <v xml:space="preserve">2170607441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6.43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1.9</v>
      </c>
      <c r="BJ45" s="2">
        <v>0.8</v>
      </c>
      <c r="BK45" s="2">
        <v>2</v>
      </c>
      <c r="BL45" s="2">
        <v>45.93</v>
      </c>
      <c r="BM45" s="2">
        <v>6.43</v>
      </c>
      <c r="BN45" s="2">
        <v>52.36</v>
      </c>
      <c r="BO45" s="2">
        <v>52.36</v>
      </c>
      <c r="BQ45" s="2" t="s">
        <v>102</v>
      </c>
      <c r="BR45" s="2" t="s">
        <v>103</v>
      </c>
      <c r="BS45" s="3">
        <v>43083</v>
      </c>
      <c r="BT45" s="4">
        <v>0.43194444444444446</v>
      </c>
      <c r="BU45" s="2" t="s">
        <v>134</v>
      </c>
      <c r="BV45" s="2" t="s">
        <v>85</v>
      </c>
      <c r="BY45" s="2">
        <v>3867.68</v>
      </c>
      <c r="CA45" s="2" t="s">
        <v>135</v>
      </c>
      <c r="CC45" s="2" t="s">
        <v>132</v>
      </c>
      <c r="CD45" s="2">
        <v>4302</v>
      </c>
      <c r="CE45" s="2" t="s">
        <v>95</v>
      </c>
      <c r="CF45" s="3">
        <v>43084</v>
      </c>
      <c r="CI45" s="2">
        <v>1</v>
      </c>
      <c r="CJ45" s="2">
        <v>1</v>
      </c>
      <c r="CK45" s="2">
        <v>21</v>
      </c>
      <c r="CL45" s="2" t="s">
        <v>89</v>
      </c>
    </row>
    <row r="46" spans="1:90">
      <c r="A46" s="2" t="s">
        <v>71</v>
      </c>
      <c r="B46" s="2" t="s">
        <v>72</v>
      </c>
      <c r="C46" s="2" t="s">
        <v>73</v>
      </c>
      <c r="E46" s="2" t="str">
        <f>"FES1162595601"</f>
        <v>FES1162595601</v>
      </c>
      <c r="F46" s="3">
        <v>43082</v>
      </c>
      <c r="G46" s="2">
        <v>201806</v>
      </c>
      <c r="H46" s="2" t="s">
        <v>74</v>
      </c>
      <c r="I46" s="2" t="s">
        <v>75</v>
      </c>
      <c r="J46" s="2" t="s">
        <v>97</v>
      </c>
      <c r="K46" s="2" t="s">
        <v>77</v>
      </c>
      <c r="L46" s="2" t="s">
        <v>98</v>
      </c>
      <c r="M46" s="2" t="s">
        <v>99</v>
      </c>
      <c r="N46" s="2" t="s">
        <v>226</v>
      </c>
      <c r="O46" s="2" t="s">
        <v>101</v>
      </c>
      <c r="P46" s="2" t="str">
        <f>"2170603341                    "</f>
        <v xml:space="preserve">2170603341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6.43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1.9</v>
      </c>
      <c r="BJ46" s="2">
        <v>1</v>
      </c>
      <c r="BK46" s="2">
        <v>2</v>
      </c>
      <c r="BL46" s="2">
        <v>45.93</v>
      </c>
      <c r="BM46" s="2">
        <v>6.43</v>
      </c>
      <c r="BN46" s="2">
        <v>52.36</v>
      </c>
      <c r="BO46" s="2">
        <v>52.36</v>
      </c>
      <c r="BQ46" s="2" t="s">
        <v>82</v>
      </c>
      <c r="BR46" s="2" t="s">
        <v>103</v>
      </c>
      <c r="BS46" s="3">
        <v>43083</v>
      </c>
      <c r="BT46" s="4">
        <v>0.43055555555555558</v>
      </c>
      <c r="BU46" s="2" t="s">
        <v>227</v>
      </c>
      <c r="BV46" s="2" t="s">
        <v>85</v>
      </c>
      <c r="BY46" s="2">
        <v>4767.82</v>
      </c>
      <c r="CA46" s="2" t="s">
        <v>105</v>
      </c>
      <c r="CC46" s="2" t="s">
        <v>99</v>
      </c>
      <c r="CD46" s="2">
        <v>3201</v>
      </c>
      <c r="CE46" s="2" t="s">
        <v>87</v>
      </c>
      <c r="CF46" s="3">
        <v>43084</v>
      </c>
      <c r="CI46" s="2">
        <v>1</v>
      </c>
      <c r="CJ46" s="2">
        <v>1</v>
      </c>
      <c r="CK46" s="2">
        <v>21</v>
      </c>
      <c r="CL46" s="2" t="s">
        <v>89</v>
      </c>
    </row>
    <row r="47" spans="1:90">
      <c r="A47" s="2" t="s">
        <v>71</v>
      </c>
      <c r="B47" s="2" t="s">
        <v>72</v>
      </c>
      <c r="C47" s="2" t="s">
        <v>73</v>
      </c>
      <c r="E47" s="2" t="str">
        <f>"FES1162595654"</f>
        <v>FES1162595654</v>
      </c>
      <c r="F47" s="3">
        <v>43082</v>
      </c>
      <c r="G47" s="2">
        <v>201806</v>
      </c>
      <c r="H47" s="2" t="s">
        <v>74</v>
      </c>
      <c r="I47" s="2" t="s">
        <v>75</v>
      </c>
      <c r="J47" s="2" t="s">
        <v>97</v>
      </c>
      <c r="K47" s="2" t="s">
        <v>77</v>
      </c>
      <c r="L47" s="2" t="s">
        <v>98</v>
      </c>
      <c r="M47" s="2" t="s">
        <v>99</v>
      </c>
      <c r="N47" s="2" t="s">
        <v>100</v>
      </c>
      <c r="O47" s="2" t="s">
        <v>101</v>
      </c>
      <c r="P47" s="2" t="str">
        <f>"2170607480                    "</f>
        <v xml:space="preserve">2170607480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12.87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4</v>
      </c>
      <c r="BJ47" s="2">
        <v>3.1</v>
      </c>
      <c r="BK47" s="2">
        <v>4</v>
      </c>
      <c r="BL47" s="2">
        <v>91.85</v>
      </c>
      <c r="BM47" s="2">
        <v>12.86</v>
      </c>
      <c r="BN47" s="2">
        <v>104.71</v>
      </c>
      <c r="BO47" s="2">
        <v>104.71</v>
      </c>
      <c r="BQ47" s="2" t="s">
        <v>102</v>
      </c>
      <c r="BR47" s="2" t="s">
        <v>103</v>
      </c>
      <c r="BS47" s="3">
        <v>43083</v>
      </c>
      <c r="BT47" s="4">
        <v>0.39444444444444443</v>
      </c>
      <c r="BU47" s="2" t="s">
        <v>104</v>
      </c>
      <c r="BV47" s="2" t="s">
        <v>85</v>
      </c>
      <c r="BY47" s="2">
        <v>15376</v>
      </c>
      <c r="CA47" s="2" t="s">
        <v>105</v>
      </c>
      <c r="CC47" s="2" t="s">
        <v>99</v>
      </c>
      <c r="CD47" s="2">
        <v>3201</v>
      </c>
      <c r="CE47" s="2" t="s">
        <v>87</v>
      </c>
      <c r="CF47" s="3">
        <v>43084</v>
      </c>
      <c r="CI47" s="2">
        <v>1</v>
      </c>
      <c r="CJ47" s="2">
        <v>1</v>
      </c>
      <c r="CK47" s="2">
        <v>21</v>
      </c>
      <c r="CL47" s="2" t="s">
        <v>89</v>
      </c>
    </row>
    <row r="48" spans="1:90">
      <c r="A48" s="2" t="s">
        <v>71</v>
      </c>
      <c r="B48" s="2" t="s">
        <v>72</v>
      </c>
      <c r="C48" s="2" t="s">
        <v>73</v>
      </c>
      <c r="E48" s="2" t="str">
        <f>"FES1162595668"</f>
        <v>FES1162595668</v>
      </c>
      <c r="F48" s="3">
        <v>43082</v>
      </c>
      <c r="G48" s="2">
        <v>201806</v>
      </c>
      <c r="H48" s="2" t="s">
        <v>74</v>
      </c>
      <c r="I48" s="2" t="s">
        <v>75</v>
      </c>
      <c r="J48" s="2" t="s">
        <v>97</v>
      </c>
      <c r="K48" s="2" t="s">
        <v>77</v>
      </c>
      <c r="L48" s="2" t="s">
        <v>131</v>
      </c>
      <c r="M48" s="2" t="s">
        <v>132</v>
      </c>
      <c r="N48" s="2" t="s">
        <v>228</v>
      </c>
      <c r="O48" s="2" t="s">
        <v>101</v>
      </c>
      <c r="P48" s="2" t="str">
        <f>"2170607504                    "</f>
        <v xml:space="preserve">2170607504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9.65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3</v>
      </c>
      <c r="BJ48" s="2">
        <v>1.6</v>
      </c>
      <c r="BK48" s="2">
        <v>3</v>
      </c>
      <c r="BL48" s="2">
        <v>68.89</v>
      </c>
      <c r="BM48" s="2">
        <v>9.64</v>
      </c>
      <c r="BN48" s="2">
        <v>78.53</v>
      </c>
      <c r="BO48" s="2">
        <v>78.53</v>
      </c>
      <c r="BQ48" s="2" t="s">
        <v>229</v>
      </c>
      <c r="BR48" s="2" t="s">
        <v>103</v>
      </c>
      <c r="BS48" s="3">
        <v>43083</v>
      </c>
      <c r="BT48" s="4">
        <v>0.3923611111111111</v>
      </c>
      <c r="BU48" s="2" t="s">
        <v>230</v>
      </c>
      <c r="BV48" s="2" t="s">
        <v>85</v>
      </c>
      <c r="BY48" s="2">
        <v>8246</v>
      </c>
      <c r="CA48" s="2" t="s">
        <v>231</v>
      </c>
      <c r="CC48" s="2" t="s">
        <v>132</v>
      </c>
      <c r="CD48" s="2">
        <v>4300</v>
      </c>
      <c r="CE48" s="2" t="s">
        <v>87</v>
      </c>
      <c r="CF48" s="3">
        <v>43084</v>
      </c>
      <c r="CI48" s="2">
        <v>1</v>
      </c>
      <c r="CJ48" s="2">
        <v>1</v>
      </c>
      <c r="CK48" s="2">
        <v>21</v>
      </c>
      <c r="CL48" s="2" t="s">
        <v>89</v>
      </c>
    </row>
    <row r="49" spans="1:90">
      <c r="A49" s="2" t="s">
        <v>71</v>
      </c>
      <c r="B49" s="2" t="s">
        <v>72</v>
      </c>
      <c r="C49" s="2" t="s">
        <v>73</v>
      </c>
      <c r="E49" s="2" t="str">
        <f>"FES1162595655"</f>
        <v>FES1162595655</v>
      </c>
      <c r="F49" s="3">
        <v>43082</v>
      </c>
      <c r="G49" s="2">
        <v>201806</v>
      </c>
      <c r="H49" s="2" t="s">
        <v>74</v>
      </c>
      <c r="I49" s="2" t="s">
        <v>75</v>
      </c>
      <c r="J49" s="2" t="s">
        <v>97</v>
      </c>
      <c r="K49" s="2" t="s">
        <v>77</v>
      </c>
      <c r="L49" s="2" t="s">
        <v>98</v>
      </c>
      <c r="M49" s="2" t="s">
        <v>99</v>
      </c>
      <c r="N49" s="2" t="s">
        <v>100</v>
      </c>
      <c r="O49" s="2" t="s">
        <v>101</v>
      </c>
      <c r="P49" s="2" t="str">
        <f>"2170607482                    "</f>
        <v xml:space="preserve">2170607482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19.3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4</v>
      </c>
      <c r="BJ49" s="2">
        <v>5.7</v>
      </c>
      <c r="BK49" s="2">
        <v>6</v>
      </c>
      <c r="BL49" s="2">
        <v>137.76</v>
      </c>
      <c r="BM49" s="2">
        <v>19.29</v>
      </c>
      <c r="BN49" s="2">
        <v>157.05000000000001</v>
      </c>
      <c r="BO49" s="2">
        <v>157.05000000000001</v>
      </c>
      <c r="BQ49" s="2" t="s">
        <v>102</v>
      </c>
      <c r="BR49" s="2" t="s">
        <v>103</v>
      </c>
      <c r="BS49" s="3">
        <v>43083</v>
      </c>
      <c r="BT49" s="4">
        <v>0.39374999999999999</v>
      </c>
      <c r="BU49" s="2" t="s">
        <v>104</v>
      </c>
      <c r="BV49" s="2" t="s">
        <v>85</v>
      </c>
      <c r="BY49" s="2">
        <v>28389.38</v>
      </c>
      <c r="CA49" s="2" t="s">
        <v>105</v>
      </c>
      <c r="CC49" s="2" t="s">
        <v>99</v>
      </c>
      <c r="CD49" s="2">
        <v>3201</v>
      </c>
      <c r="CE49" s="2" t="s">
        <v>87</v>
      </c>
      <c r="CF49" s="3">
        <v>43084</v>
      </c>
      <c r="CI49" s="2">
        <v>1</v>
      </c>
      <c r="CJ49" s="2">
        <v>1</v>
      </c>
      <c r="CK49" s="2">
        <v>21</v>
      </c>
      <c r="CL49" s="2" t="s">
        <v>89</v>
      </c>
    </row>
    <row r="50" spans="1:90">
      <c r="A50" s="2" t="s">
        <v>71</v>
      </c>
      <c r="B50" s="2" t="s">
        <v>72</v>
      </c>
      <c r="C50" s="2" t="s">
        <v>73</v>
      </c>
      <c r="E50" s="2" t="str">
        <f>"FES1162584898"</f>
        <v>FES1162584898</v>
      </c>
      <c r="F50" s="3">
        <v>43082</v>
      </c>
      <c r="G50" s="2">
        <v>201806</v>
      </c>
      <c r="H50" s="2" t="s">
        <v>74</v>
      </c>
      <c r="I50" s="2" t="s">
        <v>75</v>
      </c>
      <c r="J50" s="2" t="s">
        <v>97</v>
      </c>
      <c r="K50" s="2" t="s">
        <v>77</v>
      </c>
      <c r="L50" s="2" t="s">
        <v>98</v>
      </c>
      <c r="M50" s="2" t="s">
        <v>99</v>
      </c>
      <c r="N50" s="2" t="s">
        <v>100</v>
      </c>
      <c r="O50" s="2" t="s">
        <v>101</v>
      </c>
      <c r="P50" s="2" t="str">
        <f>"2170593641                    "</f>
        <v xml:space="preserve">2170593641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9.65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2.6</v>
      </c>
      <c r="BJ50" s="2">
        <v>1.8</v>
      </c>
      <c r="BK50" s="2">
        <v>3</v>
      </c>
      <c r="BL50" s="2">
        <v>68.89</v>
      </c>
      <c r="BM50" s="2">
        <v>9.64</v>
      </c>
      <c r="BN50" s="2">
        <v>78.53</v>
      </c>
      <c r="BO50" s="2">
        <v>78.53</v>
      </c>
      <c r="BQ50" s="2" t="s">
        <v>102</v>
      </c>
      <c r="BR50" s="2" t="s">
        <v>103</v>
      </c>
      <c r="BS50" s="3">
        <v>43083</v>
      </c>
      <c r="BT50" s="4">
        <v>0.39583333333333331</v>
      </c>
      <c r="BU50" s="2" t="s">
        <v>104</v>
      </c>
      <c r="BV50" s="2" t="s">
        <v>85</v>
      </c>
      <c r="BY50" s="2">
        <v>8885.08</v>
      </c>
      <c r="CA50" s="2" t="s">
        <v>105</v>
      </c>
      <c r="CC50" s="2" t="s">
        <v>99</v>
      </c>
      <c r="CD50" s="2">
        <v>3201</v>
      </c>
      <c r="CE50" s="2" t="s">
        <v>95</v>
      </c>
      <c r="CF50" s="3">
        <v>43084</v>
      </c>
      <c r="CI50" s="2">
        <v>1</v>
      </c>
      <c r="CJ50" s="2">
        <v>1</v>
      </c>
      <c r="CK50" s="2">
        <v>21</v>
      </c>
      <c r="CL50" s="2" t="s">
        <v>89</v>
      </c>
    </row>
    <row r="51" spans="1:90">
      <c r="A51" s="2" t="s">
        <v>71</v>
      </c>
      <c r="B51" s="2" t="s">
        <v>72</v>
      </c>
      <c r="C51" s="2" t="s">
        <v>73</v>
      </c>
      <c r="E51" s="2" t="str">
        <f>"FES1162595570"</f>
        <v>FES1162595570</v>
      </c>
      <c r="F51" s="3">
        <v>43082</v>
      </c>
      <c r="G51" s="2">
        <v>201806</v>
      </c>
      <c r="H51" s="2" t="s">
        <v>74</v>
      </c>
      <c r="I51" s="2" t="s">
        <v>75</v>
      </c>
      <c r="J51" s="2" t="s">
        <v>97</v>
      </c>
      <c r="K51" s="2" t="s">
        <v>77</v>
      </c>
      <c r="L51" s="2" t="s">
        <v>173</v>
      </c>
      <c r="M51" s="2" t="s">
        <v>174</v>
      </c>
      <c r="N51" s="2" t="s">
        <v>232</v>
      </c>
      <c r="O51" s="2" t="s">
        <v>101</v>
      </c>
      <c r="P51" s="2" t="str">
        <f>"2170607414                    "</f>
        <v xml:space="preserve">2170607414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19.3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5.6</v>
      </c>
      <c r="BJ51" s="2">
        <v>1.7</v>
      </c>
      <c r="BK51" s="2">
        <v>6</v>
      </c>
      <c r="BL51" s="2">
        <v>137.76</v>
      </c>
      <c r="BM51" s="2">
        <v>19.29</v>
      </c>
      <c r="BN51" s="2">
        <v>157.05000000000001</v>
      </c>
      <c r="BO51" s="2">
        <v>157.05000000000001</v>
      </c>
      <c r="BQ51" s="2" t="s">
        <v>102</v>
      </c>
      <c r="BR51" s="2" t="s">
        <v>103</v>
      </c>
      <c r="BS51" s="3">
        <v>43083</v>
      </c>
      <c r="BT51" s="4">
        <v>0.37847222222222227</v>
      </c>
      <c r="BU51" s="2" t="s">
        <v>233</v>
      </c>
      <c r="BV51" s="2" t="s">
        <v>85</v>
      </c>
      <c r="BY51" s="2">
        <v>8704.7999999999993</v>
      </c>
      <c r="CA51" s="2" t="s">
        <v>234</v>
      </c>
      <c r="CC51" s="2" t="s">
        <v>174</v>
      </c>
      <c r="CD51" s="2">
        <v>7530</v>
      </c>
      <c r="CE51" s="2" t="s">
        <v>95</v>
      </c>
      <c r="CF51" s="3">
        <v>43084</v>
      </c>
      <c r="CI51" s="2">
        <v>1</v>
      </c>
      <c r="CJ51" s="2">
        <v>1</v>
      </c>
      <c r="CK51" s="2">
        <v>21</v>
      </c>
      <c r="CL51" s="2" t="s">
        <v>89</v>
      </c>
    </row>
    <row r="52" spans="1:90">
      <c r="A52" s="2" t="s">
        <v>71</v>
      </c>
      <c r="B52" s="2" t="s">
        <v>72</v>
      </c>
      <c r="C52" s="2" t="s">
        <v>73</v>
      </c>
      <c r="E52" s="2" t="str">
        <f>"FES1162595448"</f>
        <v>FES1162595448</v>
      </c>
      <c r="F52" s="3">
        <v>43082</v>
      </c>
      <c r="G52" s="2">
        <v>201806</v>
      </c>
      <c r="H52" s="2" t="s">
        <v>74</v>
      </c>
      <c r="I52" s="2" t="s">
        <v>75</v>
      </c>
      <c r="J52" s="2" t="s">
        <v>97</v>
      </c>
      <c r="K52" s="2" t="s">
        <v>77</v>
      </c>
      <c r="L52" s="2" t="s">
        <v>74</v>
      </c>
      <c r="M52" s="2" t="s">
        <v>75</v>
      </c>
      <c r="N52" s="2" t="s">
        <v>204</v>
      </c>
      <c r="O52" s="2" t="s">
        <v>101</v>
      </c>
      <c r="P52" s="2" t="str">
        <f>"2170607310                    "</f>
        <v xml:space="preserve">2170607310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5.03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0.2</v>
      </c>
      <c r="BK52" s="2">
        <v>1</v>
      </c>
      <c r="BL52" s="2">
        <v>35.89</v>
      </c>
      <c r="BM52" s="2">
        <v>5.0199999999999996</v>
      </c>
      <c r="BN52" s="2">
        <v>40.909999999999997</v>
      </c>
      <c r="BO52" s="2">
        <v>40.909999999999997</v>
      </c>
      <c r="BQ52" s="2" t="s">
        <v>102</v>
      </c>
      <c r="BR52" s="2" t="s">
        <v>103</v>
      </c>
      <c r="BS52" s="3">
        <v>43083</v>
      </c>
      <c r="BT52" s="4">
        <v>0.3215277777777778</v>
      </c>
      <c r="BU52" s="2" t="s">
        <v>205</v>
      </c>
      <c r="BV52" s="2" t="s">
        <v>85</v>
      </c>
      <c r="BY52" s="2">
        <v>1200</v>
      </c>
      <c r="CA52" s="2" t="s">
        <v>206</v>
      </c>
      <c r="CC52" s="2" t="s">
        <v>75</v>
      </c>
      <c r="CD52" s="2">
        <v>1645</v>
      </c>
      <c r="CE52" s="2" t="s">
        <v>120</v>
      </c>
      <c r="CF52" s="3">
        <v>43087</v>
      </c>
      <c r="CI52" s="2">
        <v>1</v>
      </c>
      <c r="CJ52" s="2">
        <v>1</v>
      </c>
      <c r="CK52" s="2">
        <v>22</v>
      </c>
      <c r="CL52" s="2" t="s">
        <v>89</v>
      </c>
    </row>
    <row r="53" spans="1:90">
      <c r="A53" s="2" t="s">
        <v>71</v>
      </c>
      <c r="B53" s="2" t="s">
        <v>72</v>
      </c>
      <c r="C53" s="2" t="s">
        <v>73</v>
      </c>
      <c r="E53" s="2" t="str">
        <f>"FES1162595735"</f>
        <v>FES1162595735</v>
      </c>
      <c r="F53" s="3">
        <v>43082</v>
      </c>
      <c r="G53" s="2">
        <v>201806</v>
      </c>
      <c r="H53" s="2" t="s">
        <v>74</v>
      </c>
      <c r="I53" s="2" t="s">
        <v>75</v>
      </c>
      <c r="J53" s="2" t="s">
        <v>97</v>
      </c>
      <c r="K53" s="2" t="s">
        <v>77</v>
      </c>
      <c r="L53" s="2" t="s">
        <v>235</v>
      </c>
      <c r="M53" s="2" t="s">
        <v>235</v>
      </c>
      <c r="N53" s="2" t="s">
        <v>236</v>
      </c>
      <c r="O53" s="2" t="s">
        <v>101</v>
      </c>
      <c r="P53" s="2" t="str">
        <f>"2170597827                    "</f>
        <v xml:space="preserve">2170597827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15.28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2.4</v>
      </c>
      <c r="BJ53" s="2">
        <v>1</v>
      </c>
      <c r="BK53" s="2">
        <v>2.5</v>
      </c>
      <c r="BL53" s="2">
        <v>109.09</v>
      </c>
      <c r="BM53" s="2">
        <v>15.27</v>
      </c>
      <c r="BN53" s="2">
        <v>124.36</v>
      </c>
      <c r="BO53" s="2">
        <v>124.36</v>
      </c>
      <c r="BQ53" s="2" t="s">
        <v>187</v>
      </c>
      <c r="BR53" s="2" t="s">
        <v>103</v>
      </c>
      <c r="BS53" s="3">
        <v>43083</v>
      </c>
      <c r="BT53" s="4">
        <v>0.5</v>
      </c>
      <c r="BU53" s="2" t="s">
        <v>237</v>
      </c>
      <c r="BV53" s="2" t="s">
        <v>85</v>
      </c>
      <c r="BY53" s="2">
        <v>4845.6099999999997</v>
      </c>
      <c r="CC53" s="2" t="s">
        <v>235</v>
      </c>
      <c r="CD53" s="2">
        <v>5470</v>
      </c>
      <c r="CE53" s="2" t="s">
        <v>95</v>
      </c>
      <c r="CF53" s="3">
        <v>43087</v>
      </c>
      <c r="CI53" s="2">
        <v>4</v>
      </c>
      <c r="CJ53" s="2">
        <v>1</v>
      </c>
      <c r="CK53" s="2">
        <v>23</v>
      </c>
      <c r="CL53" s="2" t="s">
        <v>89</v>
      </c>
    </row>
    <row r="54" spans="1:90">
      <c r="A54" s="2" t="s">
        <v>71</v>
      </c>
      <c r="B54" s="2" t="s">
        <v>72</v>
      </c>
      <c r="C54" s="2" t="s">
        <v>73</v>
      </c>
      <c r="E54" s="2" t="str">
        <f>"FES1162595733"</f>
        <v>FES1162595733</v>
      </c>
      <c r="F54" s="3">
        <v>43082</v>
      </c>
      <c r="G54" s="2">
        <v>201806</v>
      </c>
      <c r="H54" s="2" t="s">
        <v>74</v>
      </c>
      <c r="I54" s="2" t="s">
        <v>75</v>
      </c>
      <c r="J54" s="2" t="s">
        <v>97</v>
      </c>
      <c r="K54" s="2" t="s">
        <v>77</v>
      </c>
      <c r="L54" s="2" t="s">
        <v>136</v>
      </c>
      <c r="M54" s="2" t="s">
        <v>137</v>
      </c>
      <c r="N54" s="2" t="s">
        <v>138</v>
      </c>
      <c r="O54" s="2" t="s">
        <v>101</v>
      </c>
      <c r="P54" s="2" t="str">
        <f>"2170601829                    "</f>
        <v xml:space="preserve">2170601829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11.26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3.4</v>
      </c>
      <c r="BJ54" s="2">
        <v>3.3</v>
      </c>
      <c r="BK54" s="2">
        <v>3.5</v>
      </c>
      <c r="BL54" s="2">
        <v>80.37</v>
      </c>
      <c r="BM54" s="2">
        <v>11.25</v>
      </c>
      <c r="BN54" s="2">
        <v>91.62</v>
      </c>
      <c r="BO54" s="2">
        <v>91.62</v>
      </c>
      <c r="BQ54" s="2" t="s">
        <v>82</v>
      </c>
      <c r="BR54" s="2" t="s">
        <v>103</v>
      </c>
      <c r="BS54" s="3">
        <v>43083</v>
      </c>
      <c r="BT54" s="4">
        <v>0.41666666666666669</v>
      </c>
      <c r="BU54" s="2" t="s">
        <v>139</v>
      </c>
      <c r="BV54" s="2" t="s">
        <v>85</v>
      </c>
      <c r="BY54" s="2">
        <v>16519.400000000001</v>
      </c>
      <c r="CA54" s="2" t="s">
        <v>140</v>
      </c>
      <c r="CC54" s="2" t="s">
        <v>137</v>
      </c>
      <c r="CD54" s="2">
        <v>6001</v>
      </c>
      <c r="CE54" s="2" t="s">
        <v>87</v>
      </c>
      <c r="CF54" s="3">
        <v>43084</v>
      </c>
      <c r="CI54" s="2">
        <v>1</v>
      </c>
      <c r="CJ54" s="2">
        <v>1</v>
      </c>
      <c r="CK54" s="2">
        <v>21</v>
      </c>
      <c r="CL54" s="2" t="s">
        <v>89</v>
      </c>
    </row>
    <row r="55" spans="1:90">
      <c r="A55" s="2" t="s">
        <v>71</v>
      </c>
      <c r="B55" s="2" t="s">
        <v>72</v>
      </c>
      <c r="C55" s="2" t="s">
        <v>73</v>
      </c>
      <c r="E55" s="2" t="str">
        <f>"FES1162595633"</f>
        <v>FES1162595633</v>
      </c>
      <c r="F55" s="3">
        <v>43082</v>
      </c>
      <c r="G55" s="2">
        <v>201806</v>
      </c>
      <c r="H55" s="2" t="s">
        <v>74</v>
      </c>
      <c r="I55" s="2" t="s">
        <v>75</v>
      </c>
      <c r="J55" s="2" t="s">
        <v>97</v>
      </c>
      <c r="K55" s="2" t="s">
        <v>77</v>
      </c>
      <c r="L55" s="2" t="s">
        <v>238</v>
      </c>
      <c r="M55" s="2" t="s">
        <v>239</v>
      </c>
      <c r="N55" s="2" t="s">
        <v>240</v>
      </c>
      <c r="O55" s="2" t="s">
        <v>101</v>
      </c>
      <c r="P55" s="2" t="str">
        <f>"2170607456                    "</f>
        <v xml:space="preserve">2170607456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9.0500000000000007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64.599999999999994</v>
      </c>
      <c r="BM55" s="2">
        <v>9.0399999999999991</v>
      </c>
      <c r="BN55" s="2">
        <v>73.64</v>
      </c>
      <c r="BO55" s="2">
        <v>73.64</v>
      </c>
      <c r="BQ55" s="2" t="s">
        <v>82</v>
      </c>
      <c r="BR55" s="2" t="s">
        <v>103</v>
      </c>
      <c r="BS55" s="2" t="s">
        <v>185</v>
      </c>
      <c r="BY55" s="2">
        <v>1200</v>
      </c>
      <c r="CC55" s="2" t="s">
        <v>239</v>
      </c>
      <c r="CD55" s="2">
        <v>299</v>
      </c>
      <c r="CE55" s="2" t="s">
        <v>120</v>
      </c>
      <c r="CI55" s="2">
        <v>1</v>
      </c>
      <c r="CJ55" s="2" t="s">
        <v>185</v>
      </c>
      <c r="CK55" s="2">
        <v>24</v>
      </c>
      <c r="CL55" s="2" t="s">
        <v>89</v>
      </c>
    </row>
    <row r="56" spans="1:90">
      <c r="A56" s="2" t="s">
        <v>71</v>
      </c>
      <c r="B56" s="2" t="s">
        <v>72</v>
      </c>
      <c r="C56" s="2" t="s">
        <v>73</v>
      </c>
      <c r="E56" s="2" t="str">
        <f>"FES1162595531"</f>
        <v>FES1162595531</v>
      </c>
      <c r="F56" s="3">
        <v>43082</v>
      </c>
      <c r="G56" s="2">
        <v>201806</v>
      </c>
      <c r="H56" s="2" t="s">
        <v>74</v>
      </c>
      <c r="I56" s="2" t="s">
        <v>75</v>
      </c>
      <c r="J56" s="2" t="s">
        <v>97</v>
      </c>
      <c r="K56" s="2" t="s">
        <v>77</v>
      </c>
      <c r="L56" s="2" t="s">
        <v>90</v>
      </c>
      <c r="M56" s="2" t="s">
        <v>91</v>
      </c>
      <c r="N56" s="2" t="s">
        <v>241</v>
      </c>
      <c r="O56" s="2" t="s">
        <v>101</v>
      </c>
      <c r="P56" s="2" t="str">
        <f>"2170607396                    "</f>
        <v xml:space="preserve">2170607396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5.03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35.89</v>
      </c>
      <c r="BM56" s="2">
        <v>5.0199999999999996</v>
      </c>
      <c r="BN56" s="2">
        <v>40.909999999999997</v>
      </c>
      <c r="BO56" s="2">
        <v>40.909999999999997</v>
      </c>
      <c r="BQ56" s="2" t="s">
        <v>82</v>
      </c>
      <c r="BR56" s="2" t="s">
        <v>103</v>
      </c>
      <c r="BS56" s="3">
        <v>43083</v>
      </c>
      <c r="BT56" s="4">
        <v>0.4375</v>
      </c>
      <c r="BU56" s="2" t="s">
        <v>242</v>
      </c>
      <c r="BV56" s="2" t="s">
        <v>85</v>
      </c>
      <c r="BY56" s="2">
        <v>1200</v>
      </c>
      <c r="CC56" s="2" t="s">
        <v>91</v>
      </c>
      <c r="CD56" s="2">
        <v>1559</v>
      </c>
      <c r="CE56" s="2" t="s">
        <v>120</v>
      </c>
      <c r="CF56" s="3">
        <v>43084</v>
      </c>
      <c r="CI56" s="2">
        <v>1</v>
      </c>
      <c r="CJ56" s="2">
        <v>1</v>
      </c>
      <c r="CK56" s="2">
        <v>22</v>
      </c>
      <c r="CL56" s="2" t="s">
        <v>89</v>
      </c>
    </row>
    <row r="57" spans="1:90">
      <c r="A57" s="2" t="s">
        <v>71</v>
      </c>
      <c r="B57" s="2" t="s">
        <v>72</v>
      </c>
      <c r="C57" s="2" t="s">
        <v>73</v>
      </c>
      <c r="E57" s="2" t="str">
        <f>"FES1162595517"</f>
        <v>FES1162595517</v>
      </c>
      <c r="F57" s="3">
        <v>43082</v>
      </c>
      <c r="G57" s="2">
        <v>201806</v>
      </c>
      <c r="H57" s="2" t="s">
        <v>74</v>
      </c>
      <c r="I57" s="2" t="s">
        <v>75</v>
      </c>
      <c r="J57" s="2" t="s">
        <v>97</v>
      </c>
      <c r="K57" s="2" t="s">
        <v>77</v>
      </c>
      <c r="L57" s="2" t="s">
        <v>173</v>
      </c>
      <c r="M57" s="2" t="s">
        <v>174</v>
      </c>
      <c r="N57" s="2" t="s">
        <v>243</v>
      </c>
      <c r="O57" s="2" t="s">
        <v>101</v>
      </c>
      <c r="P57" s="2" t="str">
        <f>"2170607377                    "</f>
        <v xml:space="preserve">2170607377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9.65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2</v>
      </c>
      <c r="BJ57" s="2">
        <v>2.7</v>
      </c>
      <c r="BK57" s="2">
        <v>3</v>
      </c>
      <c r="BL57" s="2">
        <v>68.89</v>
      </c>
      <c r="BM57" s="2">
        <v>9.64</v>
      </c>
      <c r="BN57" s="2">
        <v>78.53</v>
      </c>
      <c r="BO57" s="2">
        <v>78.53</v>
      </c>
      <c r="BQ57" s="2" t="s">
        <v>244</v>
      </c>
      <c r="BR57" s="2" t="s">
        <v>103</v>
      </c>
      <c r="BS57" s="3">
        <v>43083</v>
      </c>
      <c r="BT57" s="4">
        <v>0.47222222222222227</v>
      </c>
      <c r="BU57" s="2" t="s">
        <v>245</v>
      </c>
      <c r="BV57" s="2" t="s">
        <v>89</v>
      </c>
      <c r="BW57" s="2" t="s">
        <v>149</v>
      </c>
      <c r="BX57" s="2" t="s">
        <v>246</v>
      </c>
      <c r="BY57" s="2">
        <v>13454</v>
      </c>
      <c r="CA57" s="2" t="s">
        <v>247</v>
      </c>
      <c r="CC57" s="2" t="s">
        <v>174</v>
      </c>
      <c r="CD57" s="2">
        <v>7530</v>
      </c>
      <c r="CE57" s="2" t="s">
        <v>95</v>
      </c>
      <c r="CF57" s="3">
        <v>43083</v>
      </c>
      <c r="CI57" s="2">
        <v>1</v>
      </c>
      <c r="CJ57" s="2">
        <v>1</v>
      </c>
      <c r="CK57" s="2">
        <v>21</v>
      </c>
      <c r="CL57" s="2" t="s">
        <v>89</v>
      </c>
    </row>
    <row r="58" spans="1:90">
      <c r="A58" s="2" t="s">
        <v>71</v>
      </c>
      <c r="B58" s="2" t="s">
        <v>72</v>
      </c>
      <c r="C58" s="2" t="s">
        <v>73</v>
      </c>
      <c r="E58" s="2" t="str">
        <f>"FES1162595564"</f>
        <v>FES1162595564</v>
      </c>
      <c r="F58" s="3">
        <v>43082</v>
      </c>
      <c r="G58" s="2">
        <v>201806</v>
      </c>
      <c r="H58" s="2" t="s">
        <v>74</v>
      </c>
      <c r="I58" s="2" t="s">
        <v>75</v>
      </c>
      <c r="J58" s="2" t="s">
        <v>97</v>
      </c>
      <c r="K58" s="2" t="s">
        <v>77</v>
      </c>
      <c r="L58" s="2" t="s">
        <v>173</v>
      </c>
      <c r="M58" s="2" t="s">
        <v>174</v>
      </c>
      <c r="N58" s="2" t="s">
        <v>248</v>
      </c>
      <c r="O58" s="2" t="s">
        <v>101</v>
      </c>
      <c r="P58" s="2" t="str">
        <f>"2170607407                    "</f>
        <v xml:space="preserve">2170607407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11.26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3.5</v>
      </c>
      <c r="BJ58" s="2">
        <v>3.2</v>
      </c>
      <c r="BK58" s="2">
        <v>3.5</v>
      </c>
      <c r="BL58" s="2">
        <v>80.37</v>
      </c>
      <c r="BM58" s="2">
        <v>11.25</v>
      </c>
      <c r="BN58" s="2">
        <v>91.62</v>
      </c>
      <c r="BO58" s="2">
        <v>91.62</v>
      </c>
      <c r="BQ58" s="2" t="s">
        <v>249</v>
      </c>
      <c r="BR58" s="2" t="s">
        <v>103</v>
      </c>
      <c r="BS58" s="3">
        <v>43083</v>
      </c>
      <c r="BT58" s="4">
        <v>0.3743055555555555</v>
      </c>
      <c r="BU58" s="2" t="s">
        <v>250</v>
      </c>
      <c r="BV58" s="2" t="s">
        <v>85</v>
      </c>
      <c r="BY58" s="2">
        <v>16158.39</v>
      </c>
      <c r="CA58" s="2" t="s">
        <v>234</v>
      </c>
      <c r="CC58" s="2" t="s">
        <v>174</v>
      </c>
      <c r="CD58" s="2">
        <v>7530</v>
      </c>
      <c r="CE58" s="2" t="s">
        <v>95</v>
      </c>
      <c r="CF58" s="3">
        <v>43084</v>
      </c>
      <c r="CI58" s="2">
        <v>1</v>
      </c>
      <c r="CJ58" s="2">
        <v>1</v>
      </c>
      <c r="CK58" s="2">
        <v>21</v>
      </c>
      <c r="CL58" s="2" t="s">
        <v>89</v>
      </c>
    </row>
    <row r="59" spans="1:90">
      <c r="A59" s="2" t="s">
        <v>71</v>
      </c>
      <c r="B59" s="2" t="s">
        <v>72</v>
      </c>
      <c r="C59" s="2" t="s">
        <v>73</v>
      </c>
      <c r="E59" s="2" t="str">
        <f>"FES1162595548"</f>
        <v>FES1162595548</v>
      </c>
      <c r="F59" s="3">
        <v>43082</v>
      </c>
      <c r="G59" s="2">
        <v>201806</v>
      </c>
      <c r="H59" s="2" t="s">
        <v>74</v>
      </c>
      <c r="I59" s="2" t="s">
        <v>75</v>
      </c>
      <c r="J59" s="2" t="s">
        <v>97</v>
      </c>
      <c r="K59" s="2" t="s">
        <v>77</v>
      </c>
      <c r="L59" s="2" t="s">
        <v>115</v>
      </c>
      <c r="M59" s="2" t="s">
        <v>116</v>
      </c>
      <c r="N59" s="2" t="s">
        <v>251</v>
      </c>
      <c r="O59" s="2" t="s">
        <v>101</v>
      </c>
      <c r="P59" s="2" t="str">
        <f>"2170605901                    "</f>
        <v xml:space="preserve">2170605901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5.03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</v>
      </c>
      <c r="BJ59" s="2">
        <v>0.2</v>
      </c>
      <c r="BK59" s="2">
        <v>1</v>
      </c>
      <c r="BL59" s="2">
        <v>35.89</v>
      </c>
      <c r="BM59" s="2">
        <v>5.0199999999999996</v>
      </c>
      <c r="BN59" s="2">
        <v>40.909999999999997</v>
      </c>
      <c r="BO59" s="2">
        <v>40.909999999999997</v>
      </c>
      <c r="BQ59" s="2" t="s">
        <v>82</v>
      </c>
      <c r="BR59" s="2" t="s">
        <v>103</v>
      </c>
      <c r="BS59" s="3">
        <v>43083</v>
      </c>
      <c r="BT59" s="4">
        <v>0.33749999999999997</v>
      </c>
      <c r="BU59" s="2" t="s">
        <v>252</v>
      </c>
      <c r="BV59" s="2" t="s">
        <v>85</v>
      </c>
      <c r="BY59" s="2">
        <v>1200</v>
      </c>
      <c r="CA59" s="2" t="s">
        <v>119</v>
      </c>
      <c r="CC59" s="2" t="s">
        <v>116</v>
      </c>
      <c r="CD59" s="2">
        <v>1459</v>
      </c>
      <c r="CE59" s="2" t="s">
        <v>120</v>
      </c>
      <c r="CF59" s="3">
        <v>43084</v>
      </c>
      <c r="CI59" s="2">
        <v>1</v>
      </c>
      <c r="CJ59" s="2">
        <v>1</v>
      </c>
      <c r="CK59" s="2">
        <v>22</v>
      </c>
      <c r="CL59" s="2" t="s">
        <v>89</v>
      </c>
    </row>
    <row r="60" spans="1:90">
      <c r="A60" s="2" t="s">
        <v>71</v>
      </c>
      <c r="B60" s="2" t="s">
        <v>72</v>
      </c>
      <c r="C60" s="2" t="s">
        <v>73</v>
      </c>
      <c r="E60" s="2" t="str">
        <f>"FES1162595560"</f>
        <v>FES1162595560</v>
      </c>
      <c r="F60" s="3">
        <v>43082</v>
      </c>
      <c r="G60" s="2">
        <v>201806</v>
      </c>
      <c r="H60" s="2" t="s">
        <v>74</v>
      </c>
      <c r="I60" s="2" t="s">
        <v>75</v>
      </c>
      <c r="J60" s="2" t="s">
        <v>97</v>
      </c>
      <c r="K60" s="2" t="s">
        <v>77</v>
      </c>
      <c r="L60" s="2" t="s">
        <v>253</v>
      </c>
      <c r="M60" s="2" t="s">
        <v>254</v>
      </c>
      <c r="N60" s="2" t="s">
        <v>255</v>
      </c>
      <c r="O60" s="2" t="s">
        <v>101</v>
      </c>
      <c r="P60" s="2" t="str">
        <f>"2170607323                    "</f>
        <v xml:space="preserve">2170607323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6.43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45.93</v>
      </c>
      <c r="BM60" s="2">
        <v>6.43</v>
      </c>
      <c r="BN60" s="2">
        <v>52.36</v>
      </c>
      <c r="BO60" s="2">
        <v>52.36</v>
      </c>
      <c r="BQ60" s="2" t="s">
        <v>82</v>
      </c>
      <c r="BR60" s="2" t="s">
        <v>103</v>
      </c>
      <c r="BS60" s="3">
        <v>43083</v>
      </c>
      <c r="BT60" s="4">
        <v>0.46875</v>
      </c>
      <c r="BU60" s="2" t="s">
        <v>256</v>
      </c>
      <c r="BV60" s="2" t="s">
        <v>89</v>
      </c>
      <c r="BY60" s="2">
        <v>1200</v>
      </c>
      <c r="CA60" s="2" t="s">
        <v>257</v>
      </c>
      <c r="CC60" s="2" t="s">
        <v>254</v>
      </c>
      <c r="CD60" s="2">
        <v>1900</v>
      </c>
      <c r="CE60" s="2" t="s">
        <v>120</v>
      </c>
      <c r="CF60" s="3">
        <v>43088</v>
      </c>
      <c r="CI60" s="2">
        <v>1</v>
      </c>
      <c r="CJ60" s="2">
        <v>1</v>
      </c>
      <c r="CK60" s="2">
        <v>21</v>
      </c>
      <c r="CL60" s="2" t="s">
        <v>89</v>
      </c>
    </row>
    <row r="61" spans="1:90">
      <c r="A61" s="2" t="s">
        <v>71</v>
      </c>
      <c r="B61" s="2" t="s">
        <v>72</v>
      </c>
      <c r="C61" s="2" t="s">
        <v>73</v>
      </c>
      <c r="E61" s="2" t="str">
        <f>"FES1162595571"</f>
        <v>FES1162595571</v>
      </c>
      <c r="F61" s="3">
        <v>43082</v>
      </c>
      <c r="G61" s="2">
        <v>201806</v>
      </c>
      <c r="H61" s="2" t="s">
        <v>74</v>
      </c>
      <c r="I61" s="2" t="s">
        <v>75</v>
      </c>
      <c r="J61" s="2" t="s">
        <v>97</v>
      </c>
      <c r="K61" s="2" t="s">
        <v>77</v>
      </c>
      <c r="L61" s="2" t="s">
        <v>136</v>
      </c>
      <c r="M61" s="2" t="s">
        <v>137</v>
      </c>
      <c r="N61" s="2" t="s">
        <v>258</v>
      </c>
      <c r="O61" s="2" t="s">
        <v>101</v>
      </c>
      <c r="P61" s="2" t="str">
        <f>"2170607415                    "</f>
        <v xml:space="preserve">2170607415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6.43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0.2</v>
      </c>
      <c r="BK61" s="2">
        <v>1</v>
      </c>
      <c r="BL61" s="2">
        <v>45.93</v>
      </c>
      <c r="BM61" s="2">
        <v>6.43</v>
      </c>
      <c r="BN61" s="2">
        <v>52.36</v>
      </c>
      <c r="BO61" s="2">
        <v>52.36</v>
      </c>
      <c r="BQ61" s="2" t="s">
        <v>102</v>
      </c>
      <c r="BR61" s="2" t="s">
        <v>103</v>
      </c>
      <c r="BS61" s="3">
        <v>43083</v>
      </c>
      <c r="BT61" s="4">
        <v>0.44791666666666669</v>
      </c>
      <c r="BU61" s="2" t="s">
        <v>114</v>
      </c>
      <c r="BV61" s="2" t="s">
        <v>85</v>
      </c>
      <c r="BY61" s="2">
        <v>1200</v>
      </c>
      <c r="CC61" s="2" t="s">
        <v>137</v>
      </c>
      <c r="CD61" s="2">
        <v>6001</v>
      </c>
      <c r="CE61" s="2" t="s">
        <v>120</v>
      </c>
      <c r="CF61" s="3">
        <v>43084</v>
      </c>
      <c r="CI61" s="2">
        <v>1</v>
      </c>
      <c r="CJ61" s="2">
        <v>1</v>
      </c>
      <c r="CK61" s="2">
        <v>21</v>
      </c>
      <c r="CL61" s="2" t="s">
        <v>89</v>
      </c>
    </row>
    <row r="62" spans="1:90">
      <c r="A62" s="2" t="s">
        <v>71</v>
      </c>
      <c r="B62" s="2" t="s">
        <v>72</v>
      </c>
      <c r="C62" s="2" t="s">
        <v>73</v>
      </c>
      <c r="E62" s="2" t="str">
        <f>"FES1162595582"</f>
        <v>FES1162595582</v>
      </c>
      <c r="F62" s="3">
        <v>43082</v>
      </c>
      <c r="G62" s="2">
        <v>201806</v>
      </c>
      <c r="H62" s="2" t="s">
        <v>74</v>
      </c>
      <c r="I62" s="2" t="s">
        <v>75</v>
      </c>
      <c r="J62" s="2" t="s">
        <v>97</v>
      </c>
      <c r="K62" s="2" t="s">
        <v>77</v>
      </c>
      <c r="L62" s="2" t="s">
        <v>136</v>
      </c>
      <c r="M62" s="2" t="s">
        <v>137</v>
      </c>
      <c r="N62" s="2" t="s">
        <v>259</v>
      </c>
      <c r="O62" s="2" t="s">
        <v>101</v>
      </c>
      <c r="P62" s="2" t="str">
        <f>"2170607262                    "</f>
        <v xml:space="preserve">2170607262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6.43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45.93</v>
      </c>
      <c r="BM62" s="2">
        <v>6.43</v>
      </c>
      <c r="BN62" s="2">
        <v>52.36</v>
      </c>
      <c r="BO62" s="2">
        <v>52.36</v>
      </c>
      <c r="BQ62" s="2" t="s">
        <v>82</v>
      </c>
      <c r="BR62" s="2" t="s">
        <v>103</v>
      </c>
      <c r="BS62" s="3">
        <v>43083</v>
      </c>
      <c r="BT62" s="4">
        <v>0.3979166666666667</v>
      </c>
      <c r="BU62" s="2" t="s">
        <v>260</v>
      </c>
      <c r="BV62" s="2" t="s">
        <v>85</v>
      </c>
      <c r="BY62" s="2">
        <v>1200</v>
      </c>
      <c r="CA62" s="2" t="s">
        <v>261</v>
      </c>
      <c r="CC62" s="2" t="s">
        <v>137</v>
      </c>
      <c r="CD62" s="2">
        <v>6070</v>
      </c>
      <c r="CE62" s="2" t="s">
        <v>120</v>
      </c>
      <c r="CF62" s="3">
        <v>43084</v>
      </c>
      <c r="CI62" s="2">
        <v>1</v>
      </c>
      <c r="CJ62" s="2">
        <v>1</v>
      </c>
      <c r="CK62" s="2">
        <v>21</v>
      </c>
      <c r="CL62" s="2" t="s">
        <v>89</v>
      </c>
    </row>
    <row r="63" spans="1:90">
      <c r="A63" s="2" t="s">
        <v>71</v>
      </c>
      <c r="B63" s="2" t="s">
        <v>72</v>
      </c>
      <c r="C63" s="2" t="s">
        <v>73</v>
      </c>
      <c r="E63" s="2" t="str">
        <f>"FES1162595551"</f>
        <v>FES1162595551</v>
      </c>
      <c r="F63" s="3">
        <v>43082</v>
      </c>
      <c r="G63" s="2">
        <v>201806</v>
      </c>
      <c r="H63" s="2" t="s">
        <v>74</v>
      </c>
      <c r="I63" s="2" t="s">
        <v>75</v>
      </c>
      <c r="J63" s="2" t="s">
        <v>97</v>
      </c>
      <c r="K63" s="2" t="s">
        <v>77</v>
      </c>
      <c r="L63" s="2" t="s">
        <v>262</v>
      </c>
      <c r="M63" s="2" t="s">
        <v>263</v>
      </c>
      <c r="N63" s="2" t="s">
        <v>264</v>
      </c>
      <c r="O63" s="2" t="s">
        <v>101</v>
      </c>
      <c r="P63" s="2" t="str">
        <f>"2170606486                    "</f>
        <v xml:space="preserve">2170606486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6.43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1</v>
      </c>
      <c r="BJ63" s="2">
        <v>0.2</v>
      </c>
      <c r="BK63" s="2">
        <v>1</v>
      </c>
      <c r="BL63" s="2">
        <v>45.93</v>
      </c>
      <c r="BM63" s="2">
        <v>6.43</v>
      </c>
      <c r="BN63" s="2">
        <v>52.36</v>
      </c>
      <c r="BO63" s="2">
        <v>52.36</v>
      </c>
      <c r="BQ63" s="2" t="s">
        <v>102</v>
      </c>
      <c r="BR63" s="2" t="s">
        <v>103</v>
      </c>
      <c r="BS63" s="3">
        <v>43083</v>
      </c>
      <c r="BT63" s="4">
        <v>0.33819444444444446</v>
      </c>
      <c r="BU63" s="2" t="s">
        <v>265</v>
      </c>
      <c r="BV63" s="2" t="s">
        <v>85</v>
      </c>
      <c r="BY63" s="2">
        <v>1200</v>
      </c>
      <c r="CA63" s="2" t="s">
        <v>266</v>
      </c>
      <c r="CC63" s="2" t="s">
        <v>263</v>
      </c>
      <c r="CD63" s="2">
        <v>6230</v>
      </c>
      <c r="CE63" s="2" t="s">
        <v>120</v>
      </c>
      <c r="CF63" s="3">
        <v>43087</v>
      </c>
      <c r="CI63" s="2">
        <v>1</v>
      </c>
      <c r="CJ63" s="2">
        <v>1</v>
      </c>
      <c r="CK63" s="2">
        <v>21</v>
      </c>
      <c r="CL63" s="2" t="s">
        <v>89</v>
      </c>
    </row>
    <row r="64" spans="1:90">
      <c r="A64" s="2" t="s">
        <v>71</v>
      </c>
      <c r="B64" s="2" t="s">
        <v>72</v>
      </c>
      <c r="C64" s="2" t="s">
        <v>73</v>
      </c>
      <c r="E64" s="2" t="str">
        <f>"FES1162595541"</f>
        <v>FES1162595541</v>
      </c>
      <c r="F64" s="3">
        <v>43082</v>
      </c>
      <c r="G64" s="2">
        <v>201806</v>
      </c>
      <c r="H64" s="2" t="s">
        <v>74</v>
      </c>
      <c r="I64" s="2" t="s">
        <v>75</v>
      </c>
      <c r="J64" s="2" t="s">
        <v>97</v>
      </c>
      <c r="K64" s="2" t="s">
        <v>77</v>
      </c>
      <c r="L64" s="2" t="s">
        <v>136</v>
      </c>
      <c r="M64" s="2" t="s">
        <v>137</v>
      </c>
      <c r="N64" s="2" t="s">
        <v>138</v>
      </c>
      <c r="O64" s="2" t="s">
        <v>101</v>
      </c>
      <c r="P64" s="2" t="str">
        <f>"2170597645                    "</f>
        <v xml:space="preserve">2170597645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6.43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45.93</v>
      </c>
      <c r="BM64" s="2">
        <v>6.43</v>
      </c>
      <c r="BN64" s="2">
        <v>52.36</v>
      </c>
      <c r="BO64" s="2">
        <v>52.36</v>
      </c>
      <c r="BQ64" s="2" t="s">
        <v>82</v>
      </c>
      <c r="BR64" s="2" t="s">
        <v>103</v>
      </c>
      <c r="BS64" s="3">
        <v>43083</v>
      </c>
      <c r="BT64" s="4">
        <v>0.41666666666666669</v>
      </c>
      <c r="BU64" s="2" t="s">
        <v>139</v>
      </c>
      <c r="BV64" s="2" t="s">
        <v>85</v>
      </c>
      <c r="BY64" s="2">
        <v>1200</v>
      </c>
      <c r="CA64" s="2" t="s">
        <v>140</v>
      </c>
      <c r="CC64" s="2" t="s">
        <v>137</v>
      </c>
      <c r="CD64" s="2">
        <v>6001</v>
      </c>
      <c r="CE64" s="2" t="s">
        <v>120</v>
      </c>
      <c r="CF64" s="3">
        <v>43084</v>
      </c>
      <c r="CI64" s="2">
        <v>1</v>
      </c>
      <c r="CJ64" s="2">
        <v>1</v>
      </c>
      <c r="CK64" s="2">
        <v>21</v>
      </c>
      <c r="CL64" s="2" t="s">
        <v>89</v>
      </c>
    </row>
    <row r="65" spans="1:90">
      <c r="A65" s="2" t="s">
        <v>71</v>
      </c>
      <c r="B65" s="2" t="s">
        <v>72</v>
      </c>
      <c r="C65" s="2" t="s">
        <v>73</v>
      </c>
      <c r="E65" s="2" t="str">
        <f>"FES1162595568"</f>
        <v>FES1162595568</v>
      </c>
      <c r="F65" s="3">
        <v>43082</v>
      </c>
      <c r="G65" s="2">
        <v>201806</v>
      </c>
      <c r="H65" s="2" t="s">
        <v>74</v>
      </c>
      <c r="I65" s="2" t="s">
        <v>75</v>
      </c>
      <c r="J65" s="2" t="s">
        <v>97</v>
      </c>
      <c r="K65" s="2" t="s">
        <v>77</v>
      </c>
      <c r="L65" s="2" t="s">
        <v>136</v>
      </c>
      <c r="M65" s="2" t="s">
        <v>137</v>
      </c>
      <c r="N65" s="2" t="s">
        <v>258</v>
      </c>
      <c r="O65" s="2" t="s">
        <v>101</v>
      </c>
      <c r="P65" s="2" t="str">
        <f>"2170607412                    "</f>
        <v xml:space="preserve">2170607412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6.43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</v>
      </c>
      <c r="BJ65" s="2">
        <v>0.2</v>
      </c>
      <c r="BK65" s="2">
        <v>1</v>
      </c>
      <c r="BL65" s="2">
        <v>45.93</v>
      </c>
      <c r="BM65" s="2">
        <v>6.43</v>
      </c>
      <c r="BN65" s="2">
        <v>52.36</v>
      </c>
      <c r="BO65" s="2">
        <v>52.36</v>
      </c>
      <c r="BQ65" s="2" t="s">
        <v>102</v>
      </c>
      <c r="BR65" s="2" t="s">
        <v>103</v>
      </c>
      <c r="BS65" s="3">
        <v>43083</v>
      </c>
      <c r="BT65" s="4">
        <v>0.44791666666666669</v>
      </c>
      <c r="BU65" s="2" t="s">
        <v>114</v>
      </c>
      <c r="BV65" s="2" t="s">
        <v>85</v>
      </c>
      <c r="BY65" s="2">
        <v>1200</v>
      </c>
      <c r="CC65" s="2" t="s">
        <v>137</v>
      </c>
      <c r="CD65" s="2">
        <v>6001</v>
      </c>
      <c r="CE65" s="2" t="s">
        <v>120</v>
      </c>
      <c r="CF65" s="3">
        <v>43084</v>
      </c>
      <c r="CI65" s="2">
        <v>1</v>
      </c>
      <c r="CJ65" s="2">
        <v>1</v>
      </c>
      <c r="CK65" s="2">
        <v>21</v>
      </c>
      <c r="CL65" s="2" t="s">
        <v>89</v>
      </c>
    </row>
    <row r="66" spans="1:90">
      <c r="A66" s="2" t="s">
        <v>71</v>
      </c>
      <c r="B66" s="2" t="s">
        <v>72</v>
      </c>
      <c r="C66" s="2" t="s">
        <v>73</v>
      </c>
      <c r="E66" s="2" t="str">
        <f>"FES1162595524"</f>
        <v>FES1162595524</v>
      </c>
      <c r="F66" s="3">
        <v>43082</v>
      </c>
      <c r="G66" s="2">
        <v>201806</v>
      </c>
      <c r="H66" s="2" t="s">
        <v>74</v>
      </c>
      <c r="I66" s="2" t="s">
        <v>75</v>
      </c>
      <c r="J66" s="2" t="s">
        <v>97</v>
      </c>
      <c r="K66" s="2" t="s">
        <v>77</v>
      </c>
      <c r="L66" s="2" t="s">
        <v>173</v>
      </c>
      <c r="M66" s="2" t="s">
        <v>174</v>
      </c>
      <c r="N66" s="2" t="s">
        <v>108</v>
      </c>
      <c r="O66" s="2" t="s">
        <v>101</v>
      </c>
      <c r="P66" s="2" t="str">
        <f>"2170607385                    "</f>
        <v xml:space="preserve">2170607385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6.43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45.93</v>
      </c>
      <c r="BM66" s="2">
        <v>6.43</v>
      </c>
      <c r="BN66" s="2">
        <v>52.36</v>
      </c>
      <c r="BO66" s="2">
        <v>52.36</v>
      </c>
      <c r="BQ66" s="2" t="s">
        <v>82</v>
      </c>
      <c r="BR66" s="2" t="s">
        <v>103</v>
      </c>
      <c r="BS66" s="3">
        <v>43083</v>
      </c>
      <c r="BT66" s="4">
        <v>0.37083333333333335</v>
      </c>
      <c r="BU66" s="2" t="s">
        <v>267</v>
      </c>
      <c r="BV66" s="2" t="s">
        <v>85</v>
      </c>
      <c r="BY66" s="2">
        <v>1200</v>
      </c>
      <c r="CA66" s="2" t="s">
        <v>234</v>
      </c>
      <c r="CC66" s="2" t="s">
        <v>174</v>
      </c>
      <c r="CD66" s="2">
        <v>7535</v>
      </c>
      <c r="CE66" s="2" t="s">
        <v>120</v>
      </c>
      <c r="CF66" s="3">
        <v>43084</v>
      </c>
      <c r="CI66" s="2">
        <v>1</v>
      </c>
      <c r="CJ66" s="2">
        <v>1</v>
      </c>
      <c r="CK66" s="2">
        <v>21</v>
      </c>
      <c r="CL66" s="2" t="s">
        <v>89</v>
      </c>
    </row>
    <row r="67" spans="1:90">
      <c r="A67" s="2" t="s">
        <v>71</v>
      </c>
      <c r="B67" s="2" t="s">
        <v>72</v>
      </c>
      <c r="C67" s="2" t="s">
        <v>73</v>
      </c>
      <c r="E67" s="2" t="str">
        <f>"FES1162593089"</f>
        <v>FES1162593089</v>
      </c>
      <c r="F67" s="3">
        <v>43070</v>
      </c>
      <c r="G67" s="2">
        <v>201806</v>
      </c>
      <c r="H67" s="2" t="s">
        <v>74</v>
      </c>
      <c r="I67" s="2" t="s">
        <v>75</v>
      </c>
      <c r="J67" s="2" t="s">
        <v>97</v>
      </c>
      <c r="K67" s="2" t="s">
        <v>77</v>
      </c>
      <c r="L67" s="2" t="s">
        <v>136</v>
      </c>
      <c r="M67" s="2" t="s">
        <v>137</v>
      </c>
      <c r="N67" s="2" t="s">
        <v>138</v>
      </c>
      <c r="O67" s="2" t="s">
        <v>81</v>
      </c>
      <c r="P67" s="2" t="str">
        <f>"2170602871                    "</f>
        <v xml:space="preserve">2170602871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18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2</v>
      </c>
      <c r="BI67" s="2">
        <v>28</v>
      </c>
      <c r="BJ67" s="2">
        <v>19.600000000000001</v>
      </c>
      <c r="BK67" s="2">
        <v>28</v>
      </c>
      <c r="BL67" s="2">
        <v>148.84</v>
      </c>
      <c r="BM67" s="2">
        <v>20.84</v>
      </c>
      <c r="BN67" s="2">
        <v>169.68</v>
      </c>
      <c r="BO67" s="2">
        <v>169.68</v>
      </c>
      <c r="BQ67" s="2" t="s">
        <v>82</v>
      </c>
      <c r="BR67" s="2" t="s">
        <v>103</v>
      </c>
      <c r="BS67" s="3">
        <v>43073</v>
      </c>
      <c r="BT67" s="4">
        <v>0.4236111111111111</v>
      </c>
      <c r="BU67" s="2" t="s">
        <v>268</v>
      </c>
      <c r="BV67" s="2" t="s">
        <v>85</v>
      </c>
      <c r="BY67" s="2">
        <v>97919.47</v>
      </c>
      <c r="CA67" s="2" t="s">
        <v>269</v>
      </c>
      <c r="CC67" s="2" t="s">
        <v>137</v>
      </c>
      <c r="CD67" s="2">
        <v>6001</v>
      </c>
      <c r="CE67" s="2" t="s">
        <v>270</v>
      </c>
      <c r="CF67" s="3">
        <v>43074</v>
      </c>
      <c r="CI67" s="2">
        <v>2</v>
      </c>
      <c r="CJ67" s="2">
        <v>1</v>
      </c>
      <c r="CK67" s="2" t="s">
        <v>271</v>
      </c>
      <c r="CL67" s="2" t="s">
        <v>89</v>
      </c>
    </row>
    <row r="68" spans="1:90">
      <c r="A68" s="2" t="s">
        <v>71</v>
      </c>
      <c r="B68" s="2" t="s">
        <v>72</v>
      </c>
      <c r="C68" s="2" t="s">
        <v>73</v>
      </c>
      <c r="E68" s="2" t="str">
        <f>"FES1162593471"</f>
        <v>FES1162593471</v>
      </c>
      <c r="F68" s="3">
        <v>43073</v>
      </c>
      <c r="G68" s="2">
        <v>201806</v>
      </c>
      <c r="H68" s="2" t="s">
        <v>74</v>
      </c>
      <c r="I68" s="2" t="s">
        <v>75</v>
      </c>
      <c r="J68" s="2" t="s">
        <v>97</v>
      </c>
      <c r="K68" s="2" t="s">
        <v>77</v>
      </c>
      <c r="L68" s="2" t="s">
        <v>272</v>
      </c>
      <c r="M68" s="2" t="s">
        <v>272</v>
      </c>
      <c r="N68" s="2" t="s">
        <v>273</v>
      </c>
      <c r="O68" s="2" t="s">
        <v>81</v>
      </c>
      <c r="P68" s="2" t="str">
        <f>"2170604903                    "</f>
        <v xml:space="preserve">2170604903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19.5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37</v>
      </c>
      <c r="BJ68" s="2">
        <v>38.1</v>
      </c>
      <c r="BK68" s="2">
        <v>38</v>
      </c>
      <c r="BL68" s="2">
        <v>160.88999999999999</v>
      </c>
      <c r="BM68" s="2">
        <v>22.52</v>
      </c>
      <c r="BN68" s="2">
        <v>183.41</v>
      </c>
      <c r="BO68" s="2">
        <v>183.41</v>
      </c>
      <c r="BQ68" s="2" t="s">
        <v>274</v>
      </c>
      <c r="BR68" s="2" t="s">
        <v>103</v>
      </c>
      <c r="BS68" s="3">
        <v>43076</v>
      </c>
      <c r="BT68" s="4">
        <v>0.55555555555555558</v>
      </c>
      <c r="BU68" s="2" t="s">
        <v>275</v>
      </c>
      <c r="BV68" s="2" t="s">
        <v>89</v>
      </c>
      <c r="BW68" s="2" t="s">
        <v>149</v>
      </c>
      <c r="BX68" s="2" t="s">
        <v>276</v>
      </c>
      <c r="BY68" s="2">
        <v>190440</v>
      </c>
      <c r="CC68" s="2" t="s">
        <v>272</v>
      </c>
      <c r="CD68" s="2">
        <v>1490</v>
      </c>
      <c r="CE68" s="2" t="s">
        <v>87</v>
      </c>
      <c r="CF68" s="3">
        <v>43081</v>
      </c>
      <c r="CI68" s="2">
        <v>1</v>
      </c>
      <c r="CJ68" s="2">
        <v>3</v>
      </c>
      <c r="CK68" s="2" t="s">
        <v>88</v>
      </c>
      <c r="CL68" s="2" t="s">
        <v>89</v>
      </c>
    </row>
    <row r="69" spans="1:90">
      <c r="A69" s="2" t="s">
        <v>71</v>
      </c>
      <c r="B69" s="2" t="s">
        <v>72</v>
      </c>
      <c r="C69" s="2" t="s">
        <v>73</v>
      </c>
      <c r="E69" s="2" t="str">
        <f>"FES1162591998"</f>
        <v>FES1162591998</v>
      </c>
      <c r="F69" s="3">
        <v>43068</v>
      </c>
      <c r="G69" s="2">
        <v>201806</v>
      </c>
      <c r="H69" s="2" t="s">
        <v>74</v>
      </c>
      <c r="I69" s="2" t="s">
        <v>75</v>
      </c>
      <c r="J69" s="2" t="s">
        <v>97</v>
      </c>
      <c r="K69" s="2" t="s">
        <v>77</v>
      </c>
      <c r="L69" s="2" t="s">
        <v>277</v>
      </c>
      <c r="M69" s="2" t="s">
        <v>278</v>
      </c>
      <c r="N69" s="2" t="s">
        <v>279</v>
      </c>
      <c r="O69" s="2" t="s">
        <v>81</v>
      </c>
      <c r="P69" s="2" t="str">
        <f>"2170595992                    "</f>
        <v xml:space="preserve">2170595992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30.82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58</v>
      </c>
      <c r="BJ69" s="2">
        <v>100.4</v>
      </c>
      <c r="BK69" s="2">
        <v>101</v>
      </c>
      <c r="BL69" s="2">
        <v>251.33</v>
      </c>
      <c r="BM69" s="2">
        <v>35.19</v>
      </c>
      <c r="BN69" s="2">
        <v>286.52</v>
      </c>
      <c r="BO69" s="2">
        <v>286.52</v>
      </c>
      <c r="BQ69" s="2" t="s">
        <v>280</v>
      </c>
      <c r="BR69" s="2" t="s">
        <v>103</v>
      </c>
      <c r="BS69" s="3">
        <v>43069</v>
      </c>
      <c r="BT69" s="4">
        <v>0.4826388888888889</v>
      </c>
      <c r="BU69" s="2" t="s">
        <v>281</v>
      </c>
      <c r="BV69" s="2" t="s">
        <v>85</v>
      </c>
      <c r="BY69" s="2">
        <v>502200</v>
      </c>
      <c r="CC69" s="2" t="s">
        <v>278</v>
      </c>
      <c r="CD69" s="2">
        <v>2163</v>
      </c>
      <c r="CE69" s="2" t="s">
        <v>282</v>
      </c>
      <c r="CF69" s="3">
        <v>43073</v>
      </c>
      <c r="CI69" s="2">
        <v>1</v>
      </c>
      <c r="CJ69" s="2">
        <v>1</v>
      </c>
      <c r="CK69" s="2" t="s">
        <v>96</v>
      </c>
      <c r="CL69" s="2" t="s">
        <v>89</v>
      </c>
    </row>
    <row r="70" spans="1:90">
      <c r="A70" s="2" t="s">
        <v>71</v>
      </c>
      <c r="B70" s="2" t="s">
        <v>72</v>
      </c>
      <c r="C70" s="2" t="s">
        <v>73</v>
      </c>
      <c r="E70" s="2" t="str">
        <f>"FES1162592184"</f>
        <v>FES1162592184</v>
      </c>
      <c r="F70" s="3">
        <v>43068</v>
      </c>
      <c r="G70" s="2">
        <v>201806</v>
      </c>
      <c r="H70" s="2" t="s">
        <v>74</v>
      </c>
      <c r="I70" s="2" t="s">
        <v>75</v>
      </c>
      <c r="J70" s="2" t="s">
        <v>97</v>
      </c>
      <c r="K70" s="2" t="s">
        <v>77</v>
      </c>
      <c r="L70" s="2" t="s">
        <v>115</v>
      </c>
      <c r="M70" s="2" t="s">
        <v>116</v>
      </c>
      <c r="N70" s="2" t="s">
        <v>283</v>
      </c>
      <c r="O70" s="2" t="s">
        <v>81</v>
      </c>
      <c r="P70" s="2" t="str">
        <f>"2170599831                    "</f>
        <v xml:space="preserve">2170599831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15.13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5</v>
      </c>
      <c r="BI70" s="2">
        <v>42</v>
      </c>
      <c r="BJ70" s="2">
        <v>11.7</v>
      </c>
      <c r="BK70" s="2">
        <v>42</v>
      </c>
      <c r="BL70" s="2">
        <v>125.9</v>
      </c>
      <c r="BM70" s="2">
        <v>17.63</v>
      </c>
      <c r="BN70" s="2">
        <v>143.53</v>
      </c>
      <c r="BO70" s="2">
        <v>143.53</v>
      </c>
      <c r="BQ70" s="2" t="s">
        <v>102</v>
      </c>
      <c r="BR70" s="2" t="s">
        <v>103</v>
      </c>
      <c r="BS70" s="3">
        <v>43069</v>
      </c>
      <c r="BT70" s="4">
        <v>0.4236111111111111</v>
      </c>
      <c r="BU70" s="2" t="s">
        <v>114</v>
      </c>
      <c r="BV70" s="2" t="s">
        <v>85</v>
      </c>
      <c r="BY70" s="2">
        <v>15565</v>
      </c>
      <c r="CC70" s="2" t="s">
        <v>116</v>
      </c>
      <c r="CD70" s="2">
        <v>1459</v>
      </c>
      <c r="CE70" s="2" t="s">
        <v>284</v>
      </c>
      <c r="CF70" s="3">
        <v>43073</v>
      </c>
      <c r="CI70" s="2">
        <v>1</v>
      </c>
      <c r="CJ70" s="2">
        <v>1</v>
      </c>
      <c r="CK70" s="2" t="s">
        <v>96</v>
      </c>
      <c r="CL70" s="2" t="s">
        <v>89</v>
      </c>
    </row>
    <row r="71" spans="1:90">
      <c r="A71" s="2" t="s">
        <v>71</v>
      </c>
      <c r="B71" s="2" t="s">
        <v>72</v>
      </c>
      <c r="C71" s="2" t="s">
        <v>73</v>
      </c>
      <c r="E71" s="2" t="str">
        <f>"FES1162592494"</f>
        <v>FES1162592494</v>
      </c>
      <c r="F71" s="3">
        <v>43068</v>
      </c>
      <c r="G71" s="2">
        <v>201806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285</v>
      </c>
      <c r="M71" s="2" t="s">
        <v>159</v>
      </c>
      <c r="N71" s="2" t="s">
        <v>286</v>
      </c>
      <c r="O71" s="2" t="s">
        <v>81</v>
      </c>
      <c r="P71" s="2" t="str">
        <f>"2170605127                    "</f>
        <v xml:space="preserve">2170605127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9.7100000000000009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11.8</v>
      </c>
      <c r="BJ71" s="2">
        <v>1.7</v>
      </c>
      <c r="BK71" s="2">
        <v>12</v>
      </c>
      <c r="BL71" s="2">
        <v>82.6</v>
      </c>
      <c r="BM71" s="2">
        <v>11.56</v>
      </c>
      <c r="BN71" s="2">
        <v>94.16</v>
      </c>
      <c r="BO71" s="2">
        <v>94.16</v>
      </c>
      <c r="BQ71" s="2" t="s">
        <v>128</v>
      </c>
      <c r="BR71" s="2" t="s">
        <v>83</v>
      </c>
      <c r="BS71" s="3">
        <v>43070</v>
      </c>
      <c r="BT71" s="4">
        <v>0.43472222222222223</v>
      </c>
      <c r="BU71" s="2" t="s">
        <v>287</v>
      </c>
      <c r="BY71" s="2">
        <v>8415.77</v>
      </c>
      <c r="CC71" s="2" t="s">
        <v>159</v>
      </c>
      <c r="CD71" s="2">
        <v>186</v>
      </c>
      <c r="CE71" s="2" t="s">
        <v>288</v>
      </c>
      <c r="CF71" s="3">
        <v>43073</v>
      </c>
      <c r="CI71" s="2">
        <v>0</v>
      </c>
      <c r="CJ71" s="2">
        <v>0</v>
      </c>
      <c r="CK71" s="2" t="s">
        <v>289</v>
      </c>
      <c r="CL71" s="2" t="s">
        <v>89</v>
      </c>
    </row>
    <row r="72" spans="1:90">
      <c r="A72" s="2" t="s">
        <v>71</v>
      </c>
      <c r="B72" s="2" t="s">
        <v>72</v>
      </c>
      <c r="C72" s="2" t="s">
        <v>73</v>
      </c>
      <c r="E72" s="2" t="str">
        <f>"029907922805"</f>
        <v>029907922805</v>
      </c>
      <c r="F72" s="3">
        <v>43067</v>
      </c>
      <c r="G72" s="2">
        <v>201806</v>
      </c>
      <c r="H72" s="2" t="s">
        <v>125</v>
      </c>
      <c r="I72" s="2" t="s">
        <v>126</v>
      </c>
      <c r="J72" s="2" t="s">
        <v>290</v>
      </c>
      <c r="K72" s="2" t="s">
        <v>77</v>
      </c>
      <c r="L72" s="2" t="s">
        <v>74</v>
      </c>
      <c r="M72" s="2" t="s">
        <v>75</v>
      </c>
      <c r="N72" s="2" t="s">
        <v>76</v>
      </c>
      <c r="O72" s="2" t="s">
        <v>81</v>
      </c>
      <c r="P72" s="2" t="str">
        <f>"                              "</f>
        <v xml:space="preserve">          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10.59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15</v>
      </c>
      <c r="BJ72" s="2">
        <v>1.8</v>
      </c>
      <c r="BK72" s="2">
        <v>15</v>
      </c>
      <c r="BL72" s="2">
        <v>89.65</v>
      </c>
      <c r="BM72" s="2">
        <v>12.55</v>
      </c>
      <c r="BN72" s="2">
        <v>102.2</v>
      </c>
      <c r="BO72" s="2">
        <v>102.2</v>
      </c>
      <c r="BS72" s="3">
        <v>43069</v>
      </c>
      <c r="BT72" s="4">
        <v>0.47361111111111115</v>
      </c>
      <c r="BU72" s="2" t="s">
        <v>291</v>
      </c>
      <c r="BV72" s="2" t="s">
        <v>89</v>
      </c>
      <c r="BW72" s="2" t="s">
        <v>149</v>
      </c>
      <c r="BX72" s="2" t="s">
        <v>292</v>
      </c>
      <c r="BY72" s="2">
        <v>9000</v>
      </c>
      <c r="CA72" s="2" t="s">
        <v>293</v>
      </c>
      <c r="CC72" s="2" t="s">
        <v>75</v>
      </c>
      <c r="CD72" s="2">
        <v>1601</v>
      </c>
      <c r="CE72" s="2" t="s">
        <v>95</v>
      </c>
      <c r="CF72" s="3">
        <v>43073</v>
      </c>
      <c r="CI72" s="2">
        <v>1</v>
      </c>
      <c r="CJ72" s="2">
        <v>2</v>
      </c>
      <c r="CK72" s="2" t="s">
        <v>294</v>
      </c>
      <c r="CL72" s="2" t="s">
        <v>89</v>
      </c>
    </row>
    <row r="73" spans="1:90">
      <c r="A73" s="2" t="s">
        <v>71</v>
      </c>
      <c r="B73" s="2" t="s">
        <v>72</v>
      </c>
      <c r="C73" s="2" t="s">
        <v>73</v>
      </c>
      <c r="E73" s="2" t="str">
        <f>"FES1162592501"</f>
        <v>FES1162592501</v>
      </c>
      <c r="F73" s="3">
        <v>43068</v>
      </c>
      <c r="G73" s="2">
        <v>201806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295</v>
      </c>
      <c r="M73" s="2" t="s">
        <v>296</v>
      </c>
      <c r="N73" s="2" t="s">
        <v>297</v>
      </c>
      <c r="O73" s="2" t="s">
        <v>81</v>
      </c>
      <c r="P73" s="2" t="str">
        <f>"2170604907                    "</f>
        <v xml:space="preserve">2170604907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10.59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13.4</v>
      </c>
      <c r="BJ73" s="2">
        <v>6.2</v>
      </c>
      <c r="BK73" s="2">
        <v>14</v>
      </c>
      <c r="BL73" s="2">
        <v>89.65</v>
      </c>
      <c r="BM73" s="2">
        <v>12.55</v>
      </c>
      <c r="BN73" s="2">
        <v>102.2</v>
      </c>
      <c r="BO73" s="2">
        <v>102.2</v>
      </c>
      <c r="BQ73" s="2" t="s">
        <v>298</v>
      </c>
      <c r="BR73" s="2" t="s">
        <v>83</v>
      </c>
      <c r="BS73" s="3">
        <v>43069</v>
      </c>
      <c r="BT73" s="4">
        <v>0.56944444444444442</v>
      </c>
      <c r="BU73" s="2" t="s">
        <v>299</v>
      </c>
      <c r="BY73" s="2">
        <v>30986.74</v>
      </c>
      <c r="CC73" s="2" t="s">
        <v>296</v>
      </c>
      <c r="CD73" s="2">
        <v>208</v>
      </c>
      <c r="CE73" s="2" t="s">
        <v>87</v>
      </c>
      <c r="CF73" s="3">
        <v>43073</v>
      </c>
      <c r="CI73" s="2">
        <v>0</v>
      </c>
      <c r="CJ73" s="2">
        <v>0</v>
      </c>
      <c r="CK73" s="2" t="s">
        <v>88</v>
      </c>
      <c r="CL73" s="2" t="s">
        <v>89</v>
      </c>
    </row>
    <row r="74" spans="1:90">
      <c r="A74" s="2" t="s">
        <v>71</v>
      </c>
      <c r="B74" s="2" t="s">
        <v>72</v>
      </c>
      <c r="C74" s="2" t="s">
        <v>73</v>
      </c>
      <c r="E74" s="2" t="str">
        <f>"FES1162592173"</f>
        <v>FES1162592173</v>
      </c>
      <c r="F74" s="3">
        <v>43068</v>
      </c>
      <c r="G74" s="2">
        <v>201806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285</v>
      </c>
      <c r="M74" s="2" t="s">
        <v>159</v>
      </c>
      <c r="N74" s="2" t="s">
        <v>300</v>
      </c>
      <c r="O74" s="2" t="s">
        <v>81</v>
      </c>
      <c r="P74" s="2" t="str">
        <f>"21706059278                   "</f>
        <v xml:space="preserve">21706059278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9.7100000000000009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4.5999999999999996</v>
      </c>
      <c r="BJ74" s="2">
        <v>9.1999999999999993</v>
      </c>
      <c r="BK74" s="2">
        <v>10</v>
      </c>
      <c r="BL74" s="2">
        <v>82.6</v>
      </c>
      <c r="BM74" s="2">
        <v>11.56</v>
      </c>
      <c r="BN74" s="2">
        <v>94.16</v>
      </c>
      <c r="BO74" s="2">
        <v>94.16</v>
      </c>
      <c r="BQ74" s="2" t="s">
        <v>82</v>
      </c>
      <c r="BR74" s="2" t="s">
        <v>83</v>
      </c>
      <c r="BS74" s="3">
        <v>43069</v>
      </c>
      <c r="BT74" s="4">
        <v>0.40625</v>
      </c>
      <c r="BU74" s="2" t="s">
        <v>301</v>
      </c>
      <c r="BY74" s="2">
        <v>45833.97</v>
      </c>
      <c r="CC74" s="2" t="s">
        <v>159</v>
      </c>
      <c r="CD74" s="2">
        <v>200</v>
      </c>
      <c r="CE74" s="2" t="s">
        <v>288</v>
      </c>
      <c r="CF74" s="3">
        <v>43073</v>
      </c>
      <c r="CI74" s="2">
        <v>0</v>
      </c>
      <c r="CJ74" s="2">
        <v>0</v>
      </c>
      <c r="CK74" s="2" t="s">
        <v>289</v>
      </c>
      <c r="CL74" s="2" t="s">
        <v>89</v>
      </c>
    </row>
    <row r="75" spans="1:90">
      <c r="A75" s="2" t="s">
        <v>71</v>
      </c>
      <c r="B75" s="2" t="s">
        <v>72</v>
      </c>
      <c r="C75" s="2" t="s">
        <v>73</v>
      </c>
      <c r="E75" s="2" t="str">
        <f>"FES1162592156"</f>
        <v>FES1162592156</v>
      </c>
      <c r="F75" s="3">
        <v>43068</v>
      </c>
      <c r="G75" s="2">
        <v>201806</v>
      </c>
      <c r="H75" s="2" t="s">
        <v>74</v>
      </c>
      <c r="I75" s="2" t="s">
        <v>75</v>
      </c>
      <c r="J75" s="2" t="s">
        <v>97</v>
      </c>
      <c r="K75" s="2" t="s">
        <v>77</v>
      </c>
      <c r="L75" s="2" t="s">
        <v>90</v>
      </c>
      <c r="M75" s="2" t="s">
        <v>91</v>
      </c>
      <c r="N75" s="2" t="s">
        <v>241</v>
      </c>
      <c r="O75" s="2" t="s">
        <v>81</v>
      </c>
      <c r="P75" s="2" t="str">
        <f>"2170604896                    "</f>
        <v xml:space="preserve">2170604896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7.94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3</v>
      </c>
      <c r="BJ75" s="2">
        <v>2.5</v>
      </c>
      <c r="BK75" s="2">
        <v>3</v>
      </c>
      <c r="BL75" s="2">
        <v>68.489999999999995</v>
      </c>
      <c r="BM75" s="2">
        <v>9.59</v>
      </c>
      <c r="BN75" s="2">
        <v>78.08</v>
      </c>
      <c r="BO75" s="2">
        <v>78.08</v>
      </c>
      <c r="BP75" s="2" t="s">
        <v>302</v>
      </c>
      <c r="BQ75" s="2" t="s">
        <v>82</v>
      </c>
      <c r="BR75" s="2" t="s">
        <v>103</v>
      </c>
      <c r="BS75" s="3">
        <v>43069</v>
      </c>
      <c r="BT75" s="4">
        <v>0.45833333333333331</v>
      </c>
      <c r="BU75" s="2" t="s">
        <v>303</v>
      </c>
      <c r="BV75" s="2" t="s">
        <v>85</v>
      </c>
      <c r="BY75" s="2">
        <v>12662.55</v>
      </c>
      <c r="CC75" s="2" t="s">
        <v>91</v>
      </c>
      <c r="CD75" s="2">
        <v>1559</v>
      </c>
      <c r="CE75" s="2" t="s">
        <v>270</v>
      </c>
      <c r="CF75" s="3">
        <v>43073</v>
      </c>
      <c r="CI75" s="2">
        <v>1</v>
      </c>
      <c r="CJ75" s="2">
        <v>1</v>
      </c>
      <c r="CK75" s="2" t="s">
        <v>96</v>
      </c>
      <c r="CL75" s="2" t="s">
        <v>89</v>
      </c>
    </row>
    <row r="76" spans="1:90">
      <c r="A76" s="2" t="s">
        <v>71</v>
      </c>
      <c r="B76" s="2" t="s">
        <v>72</v>
      </c>
      <c r="C76" s="2" t="s">
        <v>73</v>
      </c>
      <c r="E76" s="2" t="str">
        <f>"FES1162592125"</f>
        <v>FES1162592125</v>
      </c>
      <c r="F76" s="3">
        <v>43067</v>
      </c>
      <c r="G76" s="2">
        <v>201806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304</v>
      </c>
      <c r="M76" s="2" t="s">
        <v>305</v>
      </c>
      <c r="N76" s="2" t="s">
        <v>306</v>
      </c>
      <c r="O76" s="2" t="s">
        <v>81</v>
      </c>
      <c r="P76" s="2" t="str">
        <f>"2170598010                    "</f>
        <v xml:space="preserve">2170598010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10.59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2</v>
      </c>
      <c r="BI76" s="2">
        <v>10.3</v>
      </c>
      <c r="BJ76" s="2">
        <v>6.9</v>
      </c>
      <c r="BK76" s="2">
        <v>11</v>
      </c>
      <c r="BL76" s="2">
        <v>89.65</v>
      </c>
      <c r="BM76" s="2">
        <v>12.55</v>
      </c>
      <c r="BN76" s="2">
        <v>102.2</v>
      </c>
      <c r="BO76" s="2">
        <v>102.2</v>
      </c>
      <c r="BQ76" s="2" t="s">
        <v>82</v>
      </c>
      <c r="BR76" s="2" t="s">
        <v>83</v>
      </c>
      <c r="BS76" s="3">
        <v>43069</v>
      </c>
      <c r="BT76" s="4">
        <v>0.63888888888888895</v>
      </c>
      <c r="BU76" s="2" t="s">
        <v>307</v>
      </c>
      <c r="BV76" s="2" t="s">
        <v>85</v>
      </c>
      <c r="BY76" s="2">
        <v>34691.97</v>
      </c>
      <c r="CA76" s="2" t="s">
        <v>308</v>
      </c>
      <c r="CC76" s="2" t="s">
        <v>305</v>
      </c>
      <c r="CD76" s="2">
        <v>1028</v>
      </c>
      <c r="CE76" s="2" t="s">
        <v>95</v>
      </c>
      <c r="CF76" s="3">
        <v>43073</v>
      </c>
      <c r="CI76" s="2">
        <v>2</v>
      </c>
      <c r="CJ76" s="2">
        <v>2</v>
      </c>
      <c r="CK76" s="2" t="s">
        <v>88</v>
      </c>
      <c r="CL76" s="2" t="s">
        <v>89</v>
      </c>
    </row>
    <row r="77" spans="1:90">
      <c r="A77" s="2" t="s">
        <v>71</v>
      </c>
      <c r="B77" s="2" t="s">
        <v>72</v>
      </c>
      <c r="C77" s="2" t="s">
        <v>73</v>
      </c>
      <c r="E77" s="2" t="str">
        <f>"FES1162592416"</f>
        <v>FES1162592416</v>
      </c>
      <c r="F77" s="3">
        <v>43068</v>
      </c>
      <c r="G77" s="2">
        <v>201806</v>
      </c>
      <c r="H77" s="2" t="s">
        <v>74</v>
      </c>
      <c r="I77" s="2" t="s">
        <v>75</v>
      </c>
      <c r="J77" s="2" t="s">
        <v>97</v>
      </c>
      <c r="K77" s="2" t="s">
        <v>77</v>
      </c>
      <c r="L77" s="2" t="s">
        <v>285</v>
      </c>
      <c r="M77" s="2" t="s">
        <v>159</v>
      </c>
      <c r="N77" s="2" t="s">
        <v>309</v>
      </c>
      <c r="O77" s="2" t="s">
        <v>81</v>
      </c>
      <c r="P77" s="2" t="str">
        <f>"217060432                     "</f>
        <v xml:space="preserve">217060432 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38.24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75</v>
      </c>
      <c r="BJ77" s="2">
        <v>109.2</v>
      </c>
      <c r="BK77" s="2">
        <v>110</v>
      </c>
      <c r="BL77" s="2">
        <v>310.63</v>
      </c>
      <c r="BM77" s="2">
        <v>43.49</v>
      </c>
      <c r="BN77" s="2">
        <v>354.12</v>
      </c>
      <c r="BO77" s="2">
        <v>354.12</v>
      </c>
      <c r="BQ77" s="2" t="s">
        <v>142</v>
      </c>
      <c r="BR77" s="2" t="s">
        <v>103</v>
      </c>
      <c r="BS77" s="3">
        <v>43069</v>
      </c>
      <c r="BT77" s="4">
        <v>0.67708333333333337</v>
      </c>
      <c r="BU77" s="2" t="s">
        <v>310</v>
      </c>
      <c r="BY77" s="2">
        <v>545751</v>
      </c>
      <c r="CC77" s="2" t="s">
        <v>159</v>
      </c>
      <c r="CD77" s="2">
        <v>82</v>
      </c>
      <c r="CE77" s="2" t="s">
        <v>311</v>
      </c>
      <c r="CF77" s="3">
        <v>43073</v>
      </c>
      <c r="CI77" s="2">
        <v>0</v>
      </c>
      <c r="CJ77" s="2">
        <v>0</v>
      </c>
      <c r="CK77" s="2" t="s">
        <v>289</v>
      </c>
      <c r="CL77" s="2" t="s">
        <v>89</v>
      </c>
    </row>
    <row r="78" spans="1:90">
      <c r="A78" s="2" t="s">
        <v>71</v>
      </c>
      <c r="B78" s="2" t="s">
        <v>72</v>
      </c>
      <c r="C78" s="2" t="s">
        <v>73</v>
      </c>
      <c r="E78" s="2" t="str">
        <f>"FES1162592119"</f>
        <v>FES1162592119</v>
      </c>
      <c r="F78" s="3">
        <v>43067</v>
      </c>
      <c r="G78" s="2">
        <v>201806</v>
      </c>
      <c r="H78" s="2" t="s">
        <v>74</v>
      </c>
      <c r="I78" s="2" t="s">
        <v>75</v>
      </c>
      <c r="J78" s="2" t="s">
        <v>97</v>
      </c>
      <c r="K78" s="2" t="s">
        <v>77</v>
      </c>
      <c r="L78" s="2" t="s">
        <v>136</v>
      </c>
      <c r="M78" s="2" t="s">
        <v>137</v>
      </c>
      <c r="N78" s="2" t="s">
        <v>138</v>
      </c>
      <c r="O78" s="2" t="s">
        <v>81</v>
      </c>
      <c r="P78" s="2" t="str">
        <f>"2170597423                    "</f>
        <v xml:space="preserve">2170597423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21.46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3</v>
      </c>
      <c r="BI78" s="2">
        <v>35</v>
      </c>
      <c r="BJ78" s="2">
        <v>26.1</v>
      </c>
      <c r="BK78" s="2">
        <v>35</v>
      </c>
      <c r="BL78" s="2">
        <v>176.52</v>
      </c>
      <c r="BM78" s="2">
        <v>24.71</v>
      </c>
      <c r="BN78" s="2">
        <v>201.23</v>
      </c>
      <c r="BO78" s="2">
        <v>201.23</v>
      </c>
      <c r="BQ78" s="2" t="s">
        <v>82</v>
      </c>
      <c r="BR78" s="2" t="s">
        <v>103</v>
      </c>
      <c r="BS78" s="3">
        <v>43070</v>
      </c>
      <c r="BT78" s="4">
        <v>0.59097222222222223</v>
      </c>
      <c r="BU78" s="2" t="s">
        <v>312</v>
      </c>
      <c r="BV78" s="2" t="s">
        <v>89</v>
      </c>
      <c r="BW78" s="2" t="s">
        <v>313</v>
      </c>
      <c r="BX78" s="2" t="s">
        <v>314</v>
      </c>
      <c r="BY78" s="2">
        <v>130542.68</v>
      </c>
      <c r="CA78" s="2" t="s">
        <v>315</v>
      </c>
      <c r="CC78" s="2" t="s">
        <v>137</v>
      </c>
      <c r="CD78" s="2">
        <v>6001</v>
      </c>
      <c r="CE78" s="2" t="s">
        <v>316</v>
      </c>
      <c r="CF78" s="3">
        <v>43073</v>
      </c>
      <c r="CI78" s="2">
        <v>2</v>
      </c>
      <c r="CJ78" s="2">
        <v>3</v>
      </c>
      <c r="CK78" s="2" t="s">
        <v>271</v>
      </c>
      <c r="CL78" s="2" t="s">
        <v>89</v>
      </c>
    </row>
    <row r="79" spans="1:90">
      <c r="A79" s="2" t="s">
        <v>71</v>
      </c>
      <c r="B79" s="2" t="s">
        <v>72</v>
      </c>
      <c r="C79" s="2" t="s">
        <v>73</v>
      </c>
      <c r="E79" s="2" t="str">
        <f>"FES1162594893"</f>
        <v>FES1162594893</v>
      </c>
      <c r="F79" s="3">
        <v>43080</v>
      </c>
      <c r="G79" s="2">
        <v>201806</v>
      </c>
      <c r="H79" s="2" t="s">
        <v>74</v>
      </c>
      <c r="I79" s="2" t="s">
        <v>75</v>
      </c>
      <c r="J79" s="2" t="s">
        <v>97</v>
      </c>
      <c r="K79" s="2" t="s">
        <v>77</v>
      </c>
      <c r="L79" s="2" t="s">
        <v>136</v>
      </c>
      <c r="M79" s="2" t="s">
        <v>137</v>
      </c>
      <c r="N79" s="2" t="s">
        <v>138</v>
      </c>
      <c r="O79" s="2" t="s">
        <v>101</v>
      </c>
      <c r="P79" s="2" t="str">
        <f>"2170606241                    "</f>
        <v xml:space="preserve">2170606241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6.43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45.93</v>
      </c>
      <c r="BM79" s="2">
        <v>6.43</v>
      </c>
      <c r="BN79" s="2">
        <v>52.36</v>
      </c>
      <c r="BO79" s="2">
        <v>52.36</v>
      </c>
      <c r="BQ79" s="2" t="s">
        <v>82</v>
      </c>
      <c r="BR79" s="2" t="s">
        <v>103</v>
      </c>
      <c r="BS79" s="3">
        <v>43081</v>
      </c>
      <c r="BT79" s="4">
        <v>0.35416666666666669</v>
      </c>
      <c r="BU79" s="2" t="s">
        <v>139</v>
      </c>
      <c r="BV79" s="2" t="s">
        <v>85</v>
      </c>
      <c r="BY79" s="2">
        <v>1200</v>
      </c>
      <c r="CA79" s="2" t="s">
        <v>140</v>
      </c>
      <c r="CC79" s="2" t="s">
        <v>137</v>
      </c>
      <c r="CD79" s="2">
        <v>6001</v>
      </c>
      <c r="CE79" s="2" t="s">
        <v>120</v>
      </c>
      <c r="CF79" s="3">
        <v>43083</v>
      </c>
      <c r="CI79" s="2">
        <v>1</v>
      </c>
      <c r="CJ79" s="2">
        <v>1</v>
      </c>
      <c r="CK79" s="2">
        <v>21</v>
      </c>
      <c r="CL79" s="2" t="s">
        <v>89</v>
      </c>
    </row>
    <row r="80" spans="1:90">
      <c r="A80" s="2" t="s">
        <v>71</v>
      </c>
      <c r="B80" s="2" t="s">
        <v>72</v>
      </c>
      <c r="C80" s="2" t="s">
        <v>73</v>
      </c>
      <c r="E80" s="2" t="str">
        <f>"FES1162594618"</f>
        <v>FES1162594618</v>
      </c>
      <c r="F80" s="3">
        <v>43080</v>
      </c>
      <c r="G80" s="2">
        <v>201806</v>
      </c>
      <c r="H80" s="2" t="s">
        <v>74</v>
      </c>
      <c r="I80" s="2" t="s">
        <v>75</v>
      </c>
      <c r="J80" s="2" t="s">
        <v>97</v>
      </c>
      <c r="K80" s="2" t="s">
        <v>77</v>
      </c>
      <c r="L80" s="2" t="s">
        <v>277</v>
      </c>
      <c r="M80" s="2" t="s">
        <v>278</v>
      </c>
      <c r="N80" s="2" t="s">
        <v>317</v>
      </c>
      <c r="O80" s="2" t="s">
        <v>101</v>
      </c>
      <c r="P80" s="2" t="str">
        <f>"2170606451                    "</f>
        <v xml:space="preserve">2170606451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5.03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1.7</v>
      </c>
      <c r="BJ80" s="2">
        <v>1.8</v>
      </c>
      <c r="BK80" s="2">
        <v>2</v>
      </c>
      <c r="BL80" s="2">
        <v>35.89</v>
      </c>
      <c r="BM80" s="2">
        <v>5.0199999999999996</v>
      </c>
      <c r="BN80" s="2">
        <v>40.909999999999997</v>
      </c>
      <c r="BO80" s="2">
        <v>40.909999999999997</v>
      </c>
      <c r="BQ80" s="2" t="s">
        <v>318</v>
      </c>
      <c r="BR80" s="2" t="s">
        <v>103</v>
      </c>
      <c r="BS80" s="3">
        <v>43081</v>
      </c>
      <c r="BT80" s="4">
        <v>0.4375</v>
      </c>
      <c r="BU80" s="2" t="s">
        <v>319</v>
      </c>
      <c r="BV80" s="2" t="s">
        <v>85</v>
      </c>
      <c r="BY80" s="2">
        <v>8842.93</v>
      </c>
      <c r="CA80" s="2" t="s">
        <v>320</v>
      </c>
      <c r="CC80" s="2" t="s">
        <v>278</v>
      </c>
      <c r="CD80" s="2">
        <v>2163</v>
      </c>
      <c r="CE80" s="2" t="s">
        <v>95</v>
      </c>
      <c r="CF80" s="3">
        <v>43083</v>
      </c>
      <c r="CI80" s="2">
        <v>1</v>
      </c>
      <c r="CJ80" s="2">
        <v>1</v>
      </c>
      <c r="CK80" s="2">
        <v>22</v>
      </c>
      <c r="CL80" s="2" t="s">
        <v>89</v>
      </c>
    </row>
    <row r="81" spans="1:90">
      <c r="A81" s="2" t="s">
        <v>71</v>
      </c>
      <c r="B81" s="2" t="s">
        <v>72</v>
      </c>
      <c r="C81" s="2" t="s">
        <v>73</v>
      </c>
      <c r="E81" s="2" t="str">
        <f>"FES1162594850"</f>
        <v>FES1162594850</v>
      </c>
      <c r="F81" s="3">
        <v>43080</v>
      </c>
      <c r="G81" s="2">
        <v>201806</v>
      </c>
      <c r="H81" s="2" t="s">
        <v>74</v>
      </c>
      <c r="I81" s="2" t="s">
        <v>75</v>
      </c>
      <c r="J81" s="2" t="s">
        <v>97</v>
      </c>
      <c r="K81" s="2" t="s">
        <v>77</v>
      </c>
      <c r="L81" s="2" t="s">
        <v>158</v>
      </c>
      <c r="M81" s="2" t="s">
        <v>159</v>
      </c>
      <c r="N81" s="2" t="s">
        <v>186</v>
      </c>
      <c r="O81" s="2" t="s">
        <v>101</v>
      </c>
      <c r="P81" s="2" t="str">
        <f>"2170606739                    "</f>
        <v xml:space="preserve">2170606739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6.43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45.93</v>
      </c>
      <c r="BM81" s="2">
        <v>6.43</v>
      </c>
      <c r="BN81" s="2">
        <v>52.36</v>
      </c>
      <c r="BO81" s="2">
        <v>52.36</v>
      </c>
      <c r="BQ81" s="2" t="s">
        <v>187</v>
      </c>
      <c r="BR81" s="2" t="s">
        <v>103</v>
      </c>
      <c r="BS81" s="3">
        <v>43081</v>
      </c>
      <c r="BT81" s="4">
        <v>0.4152777777777778</v>
      </c>
      <c r="BU81" s="2" t="s">
        <v>321</v>
      </c>
      <c r="BV81" s="2" t="s">
        <v>85</v>
      </c>
      <c r="BY81" s="2">
        <v>1200</v>
      </c>
      <c r="CA81" s="2" t="s">
        <v>322</v>
      </c>
      <c r="CC81" s="2" t="s">
        <v>159</v>
      </c>
      <c r="CD81" s="2">
        <v>159</v>
      </c>
      <c r="CE81" s="2" t="s">
        <v>120</v>
      </c>
      <c r="CF81" s="3">
        <v>43082</v>
      </c>
      <c r="CI81" s="2">
        <v>1</v>
      </c>
      <c r="CJ81" s="2">
        <v>1</v>
      </c>
      <c r="CK81" s="2">
        <v>21</v>
      </c>
      <c r="CL81" s="2" t="s">
        <v>89</v>
      </c>
    </row>
    <row r="82" spans="1:90">
      <c r="A82" s="2" t="s">
        <v>71</v>
      </c>
      <c r="B82" s="2" t="s">
        <v>72</v>
      </c>
      <c r="C82" s="2" t="s">
        <v>73</v>
      </c>
      <c r="E82" s="2" t="str">
        <f>"FES1162595019"</f>
        <v>FES1162595019</v>
      </c>
      <c r="F82" s="3">
        <v>43080</v>
      </c>
      <c r="G82" s="2">
        <v>201806</v>
      </c>
      <c r="H82" s="2" t="s">
        <v>74</v>
      </c>
      <c r="I82" s="2" t="s">
        <v>75</v>
      </c>
      <c r="J82" s="2" t="s">
        <v>97</v>
      </c>
      <c r="K82" s="2" t="s">
        <v>77</v>
      </c>
      <c r="L82" s="2" t="s">
        <v>173</v>
      </c>
      <c r="M82" s="2" t="s">
        <v>174</v>
      </c>
      <c r="N82" s="2" t="s">
        <v>323</v>
      </c>
      <c r="O82" s="2" t="s">
        <v>101</v>
      </c>
      <c r="P82" s="2" t="str">
        <f>"217601452                     "</f>
        <v xml:space="preserve">217601452 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6.43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</v>
      </c>
      <c r="BJ82" s="2">
        <v>1.9</v>
      </c>
      <c r="BK82" s="2">
        <v>2</v>
      </c>
      <c r="BL82" s="2">
        <v>45.93</v>
      </c>
      <c r="BM82" s="2">
        <v>6.43</v>
      </c>
      <c r="BN82" s="2">
        <v>52.36</v>
      </c>
      <c r="BO82" s="2">
        <v>52.36</v>
      </c>
      <c r="BQ82" s="2" t="s">
        <v>82</v>
      </c>
      <c r="BR82" s="2" t="s">
        <v>103</v>
      </c>
      <c r="BS82" s="3">
        <v>43081</v>
      </c>
      <c r="BT82" s="4">
        <v>0.41666666666666669</v>
      </c>
      <c r="BU82" s="2" t="s">
        <v>324</v>
      </c>
      <c r="BV82" s="2" t="s">
        <v>85</v>
      </c>
      <c r="BY82" s="2">
        <v>9440</v>
      </c>
      <c r="CA82" s="2" t="s">
        <v>177</v>
      </c>
      <c r="CC82" s="2" t="s">
        <v>174</v>
      </c>
      <c r="CD82" s="2">
        <v>7405</v>
      </c>
      <c r="CE82" s="2" t="s">
        <v>95</v>
      </c>
      <c r="CF82" s="3">
        <v>43082</v>
      </c>
      <c r="CI82" s="2">
        <v>1</v>
      </c>
      <c r="CJ82" s="2">
        <v>1</v>
      </c>
      <c r="CK82" s="2">
        <v>21</v>
      </c>
      <c r="CL82" s="2" t="s">
        <v>89</v>
      </c>
    </row>
    <row r="83" spans="1:90">
      <c r="A83" s="2" t="s">
        <v>71</v>
      </c>
      <c r="B83" s="2" t="s">
        <v>72</v>
      </c>
      <c r="C83" s="2" t="s">
        <v>73</v>
      </c>
      <c r="E83" s="2" t="str">
        <f>"FES1162594935"</f>
        <v>FES1162594935</v>
      </c>
      <c r="F83" s="3">
        <v>43080</v>
      </c>
      <c r="G83" s="2">
        <v>201806</v>
      </c>
      <c r="H83" s="2" t="s">
        <v>74</v>
      </c>
      <c r="I83" s="2" t="s">
        <v>75</v>
      </c>
      <c r="J83" s="2" t="s">
        <v>97</v>
      </c>
      <c r="K83" s="2" t="s">
        <v>77</v>
      </c>
      <c r="L83" s="2" t="s">
        <v>325</v>
      </c>
      <c r="M83" s="2" t="s">
        <v>326</v>
      </c>
      <c r="N83" s="2" t="s">
        <v>327</v>
      </c>
      <c r="O83" s="2" t="s">
        <v>101</v>
      </c>
      <c r="P83" s="2" t="str">
        <f>"2170606845                    "</f>
        <v xml:space="preserve">2170606845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6.43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45.93</v>
      </c>
      <c r="BM83" s="2">
        <v>6.43</v>
      </c>
      <c r="BN83" s="2">
        <v>52.36</v>
      </c>
      <c r="BO83" s="2">
        <v>52.36</v>
      </c>
      <c r="BQ83" s="2" t="s">
        <v>102</v>
      </c>
      <c r="BR83" s="2" t="s">
        <v>103</v>
      </c>
      <c r="BS83" s="3">
        <v>43081</v>
      </c>
      <c r="BT83" s="4">
        <v>0.58472222222222225</v>
      </c>
      <c r="BU83" s="2" t="s">
        <v>328</v>
      </c>
      <c r="BV83" s="2" t="s">
        <v>89</v>
      </c>
      <c r="BY83" s="2">
        <v>1200</v>
      </c>
      <c r="CA83" s="2" t="s">
        <v>329</v>
      </c>
      <c r="CC83" s="2" t="s">
        <v>326</v>
      </c>
      <c r="CD83" s="2">
        <v>1873</v>
      </c>
      <c r="CE83" s="2" t="s">
        <v>120</v>
      </c>
      <c r="CF83" s="3">
        <v>43082</v>
      </c>
      <c r="CI83" s="2">
        <v>1</v>
      </c>
      <c r="CJ83" s="2">
        <v>1</v>
      </c>
      <c r="CK83" s="2">
        <v>21</v>
      </c>
      <c r="CL83" s="2" t="s">
        <v>89</v>
      </c>
    </row>
    <row r="84" spans="1:90">
      <c r="A84" s="2" t="s">
        <v>71</v>
      </c>
      <c r="B84" s="2" t="s">
        <v>72</v>
      </c>
      <c r="C84" s="2" t="s">
        <v>73</v>
      </c>
      <c r="E84" s="2" t="str">
        <f>"FES1162594642"</f>
        <v>FES1162594642</v>
      </c>
      <c r="F84" s="3">
        <v>43080</v>
      </c>
      <c r="G84" s="2">
        <v>201806</v>
      </c>
      <c r="H84" s="2" t="s">
        <v>74</v>
      </c>
      <c r="I84" s="2" t="s">
        <v>75</v>
      </c>
      <c r="J84" s="2" t="s">
        <v>97</v>
      </c>
      <c r="K84" s="2" t="s">
        <v>77</v>
      </c>
      <c r="L84" s="2" t="s">
        <v>189</v>
      </c>
      <c r="M84" s="2" t="s">
        <v>190</v>
      </c>
      <c r="N84" s="2" t="s">
        <v>330</v>
      </c>
      <c r="O84" s="2" t="s">
        <v>101</v>
      </c>
      <c r="P84" s="2" t="str">
        <f>"2170606484                    "</f>
        <v xml:space="preserve">2170606484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6.43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1</v>
      </c>
      <c r="BJ84" s="2">
        <v>0.2</v>
      </c>
      <c r="BK84" s="2">
        <v>1</v>
      </c>
      <c r="BL84" s="2">
        <v>45.93</v>
      </c>
      <c r="BM84" s="2">
        <v>6.43</v>
      </c>
      <c r="BN84" s="2">
        <v>52.36</v>
      </c>
      <c r="BO84" s="2">
        <v>52.36</v>
      </c>
      <c r="BQ84" s="2" t="s">
        <v>331</v>
      </c>
      <c r="BR84" s="2" t="s">
        <v>103</v>
      </c>
      <c r="BS84" s="3">
        <v>43081</v>
      </c>
      <c r="BT84" s="4">
        <v>0.4375</v>
      </c>
      <c r="BU84" s="2" t="s">
        <v>332</v>
      </c>
      <c r="BV84" s="2" t="s">
        <v>85</v>
      </c>
      <c r="BY84" s="2">
        <v>1200</v>
      </c>
      <c r="CC84" s="2" t="s">
        <v>190</v>
      </c>
      <c r="CD84" s="2">
        <v>157</v>
      </c>
      <c r="CE84" s="2" t="s">
        <v>120</v>
      </c>
      <c r="CF84" s="3">
        <v>43082</v>
      </c>
      <c r="CI84" s="2">
        <v>1</v>
      </c>
      <c r="CJ84" s="2">
        <v>1</v>
      </c>
      <c r="CK84" s="2">
        <v>21</v>
      </c>
      <c r="CL84" s="2" t="s">
        <v>89</v>
      </c>
    </row>
    <row r="85" spans="1:90">
      <c r="A85" s="2" t="s">
        <v>71</v>
      </c>
      <c r="B85" s="2" t="s">
        <v>72</v>
      </c>
      <c r="C85" s="2" t="s">
        <v>73</v>
      </c>
      <c r="E85" s="2" t="str">
        <f>"FES1162594844"</f>
        <v>FES1162594844</v>
      </c>
      <c r="F85" s="3">
        <v>43080</v>
      </c>
      <c r="G85" s="2">
        <v>201806</v>
      </c>
      <c r="H85" s="2" t="s">
        <v>74</v>
      </c>
      <c r="I85" s="2" t="s">
        <v>75</v>
      </c>
      <c r="J85" s="2" t="s">
        <v>97</v>
      </c>
      <c r="K85" s="2" t="s">
        <v>77</v>
      </c>
      <c r="L85" s="2" t="s">
        <v>136</v>
      </c>
      <c r="M85" s="2" t="s">
        <v>137</v>
      </c>
      <c r="N85" s="2" t="s">
        <v>333</v>
      </c>
      <c r="O85" s="2" t="s">
        <v>101</v>
      </c>
      <c r="P85" s="2" t="str">
        <f>"21706067373                   "</f>
        <v xml:space="preserve">21706067373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6.43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45.93</v>
      </c>
      <c r="BM85" s="2">
        <v>6.43</v>
      </c>
      <c r="BN85" s="2">
        <v>52.36</v>
      </c>
      <c r="BO85" s="2">
        <v>52.36</v>
      </c>
      <c r="BQ85" s="2" t="s">
        <v>334</v>
      </c>
      <c r="BR85" s="2" t="s">
        <v>103</v>
      </c>
      <c r="BS85" s="3">
        <v>43081</v>
      </c>
      <c r="BT85" s="4">
        <v>0.3125</v>
      </c>
      <c r="BU85" s="2" t="s">
        <v>335</v>
      </c>
      <c r="BV85" s="2" t="s">
        <v>85</v>
      </c>
      <c r="BY85" s="2">
        <v>1200</v>
      </c>
      <c r="CA85" s="2" t="s">
        <v>140</v>
      </c>
      <c r="CC85" s="2" t="s">
        <v>137</v>
      </c>
      <c r="CD85" s="2">
        <v>6012</v>
      </c>
      <c r="CE85" s="2" t="s">
        <v>120</v>
      </c>
      <c r="CF85" s="3">
        <v>43083</v>
      </c>
      <c r="CI85" s="2">
        <v>1</v>
      </c>
      <c r="CJ85" s="2">
        <v>1</v>
      </c>
      <c r="CK85" s="2">
        <v>21</v>
      </c>
      <c r="CL85" s="2" t="s">
        <v>89</v>
      </c>
    </row>
    <row r="86" spans="1:90">
      <c r="A86" s="2" t="s">
        <v>71</v>
      </c>
      <c r="B86" s="2" t="s">
        <v>72</v>
      </c>
      <c r="C86" s="2" t="s">
        <v>73</v>
      </c>
      <c r="E86" s="2" t="str">
        <f>"FES1162594848"</f>
        <v>FES1162594848</v>
      </c>
      <c r="F86" s="3">
        <v>43080</v>
      </c>
      <c r="G86" s="2">
        <v>201806</v>
      </c>
      <c r="H86" s="2" t="s">
        <v>74</v>
      </c>
      <c r="I86" s="2" t="s">
        <v>75</v>
      </c>
      <c r="J86" s="2" t="s">
        <v>97</v>
      </c>
      <c r="K86" s="2" t="s">
        <v>77</v>
      </c>
      <c r="L86" s="2" t="s">
        <v>152</v>
      </c>
      <c r="M86" s="2" t="s">
        <v>153</v>
      </c>
      <c r="N86" s="2" t="s">
        <v>336</v>
      </c>
      <c r="O86" s="2" t="s">
        <v>101</v>
      </c>
      <c r="P86" s="2" t="str">
        <f>"2170606690                    "</f>
        <v xml:space="preserve">2170606690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5.03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6.5</v>
      </c>
      <c r="BJ86" s="2">
        <v>1.9</v>
      </c>
      <c r="BK86" s="2">
        <v>7</v>
      </c>
      <c r="BL86" s="2">
        <v>35.89</v>
      </c>
      <c r="BM86" s="2">
        <v>5.0199999999999996</v>
      </c>
      <c r="BN86" s="2">
        <v>40.909999999999997</v>
      </c>
      <c r="BO86" s="2">
        <v>40.909999999999997</v>
      </c>
      <c r="BR86" s="2" t="s">
        <v>103</v>
      </c>
      <c r="BS86" s="3">
        <v>43081</v>
      </c>
      <c r="BT86" s="4">
        <v>0.27916666666666667</v>
      </c>
      <c r="BU86" s="2" t="s">
        <v>205</v>
      </c>
      <c r="BV86" s="2" t="s">
        <v>85</v>
      </c>
      <c r="BY86" s="2">
        <v>9362.92</v>
      </c>
      <c r="CA86" s="2" t="s">
        <v>337</v>
      </c>
      <c r="CC86" s="2" t="s">
        <v>153</v>
      </c>
      <c r="CD86" s="2">
        <v>1400</v>
      </c>
      <c r="CE86" s="2" t="s">
        <v>95</v>
      </c>
      <c r="CF86" s="3">
        <v>43082</v>
      </c>
      <c r="CI86" s="2">
        <v>1</v>
      </c>
      <c r="CJ86" s="2">
        <v>1</v>
      </c>
      <c r="CK86" s="2">
        <v>22</v>
      </c>
      <c r="CL86" s="2" t="s">
        <v>89</v>
      </c>
    </row>
    <row r="87" spans="1:90">
      <c r="A87" s="2" t="s">
        <v>71</v>
      </c>
      <c r="B87" s="2" t="s">
        <v>72</v>
      </c>
      <c r="C87" s="2" t="s">
        <v>73</v>
      </c>
      <c r="E87" s="2" t="str">
        <f>"FES1162594606"</f>
        <v>FES1162594606</v>
      </c>
      <c r="F87" s="3">
        <v>43080</v>
      </c>
      <c r="G87" s="2">
        <v>201806</v>
      </c>
      <c r="H87" s="2" t="s">
        <v>74</v>
      </c>
      <c r="I87" s="2" t="s">
        <v>75</v>
      </c>
      <c r="J87" s="2" t="s">
        <v>97</v>
      </c>
      <c r="K87" s="2" t="s">
        <v>77</v>
      </c>
      <c r="L87" s="2" t="s">
        <v>106</v>
      </c>
      <c r="M87" s="2" t="s">
        <v>107</v>
      </c>
      <c r="N87" s="2" t="s">
        <v>338</v>
      </c>
      <c r="O87" s="2" t="s">
        <v>339</v>
      </c>
      <c r="P87" s="2" t="str">
        <f>"2170606029                    "</f>
        <v xml:space="preserve">2170606029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10.66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18</v>
      </c>
      <c r="BJ87" s="2">
        <v>7</v>
      </c>
      <c r="BK87" s="2">
        <v>18</v>
      </c>
      <c r="BL87" s="2">
        <v>76.12</v>
      </c>
      <c r="BM87" s="2">
        <v>10.66</v>
      </c>
      <c r="BN87" s="2">
        <v>86.78</v>
      </c>
      <c r="BO87" s="2">
        <v>86.78</v>
      </c>
      <c r="BQ87" s="2" t="s">
        <v>82</v>
      </c>
      <c r="BR87" s="2" t="s">
        <v>103</v>
      </c>
      <c r="BS87" s="3">
        <v>43081</v>
      </c>
      <c r="BT87" s="4">
        <v>0.41388888888888892</v>
      </c>
      <c r="BU87" s="2" t="s">
        <v>205</v>
      </c>
      <c r="BV87" s="2" t="s">
        <v>85</v>
      </c>
      <c r="BY87" s="2">
        <v>34992</v>
      </c>
      <c r="CA87" s="2" t="s">
        <v>110</v>
      </c>
      <c r="CC87" s="2" t="s">
        <v>107</v>
      </c>
      <c r="CD87" s="2">
        <v>2001</v>
      </c>
      <c r="CE87" s="2" t="s">
        <v>95</v>
      </c>
      <c r="CF87" s="3">
        <v>43082</v>
      </c>
      <c r="CI87" s="2">
        <v>1</v>
      </c>
      <c r="CJ87" s="2">
        <v>1</v>
      </c>
      <c r="CK87" s="2">
        <v>32</v>
      </c>
      <c r="CL87" s="2" t="s">
        <v>89</v>
      </c>
    </row>
    <row r="88" spans="1:90">
      <c r="A88" s="2" t="s">
        <v>71</v>
      </c>
      <c r="B88" s="2" t="s">
        <v>72</v>
      </c>
      <c r="C88" s="2" t="s">
        <v>73</v>
      </c>
      <c r="E88" s="2" t="str">
        <f>"FES1162594667"</f>
        <v>FES1162594667</v>
      </c>
      <c r="F88" s="3">
        <v>43080</v>
      </c>
      <c r="G88" s="2">
        <v>201806</v>
      </c>
      <c r="H88" s="2" t="s">
        <v>74</v>
      </c>
      <c r="I88" s="2" t="s">
        <v>75</v>
      </c>
      <c r="J88" s="2" t="s">
        <v>97</v>
      </c>
      <c r="K88" s="2" t="s">
        <v>77</v>
      </c>
      <c r="L88" s="2" t="s">
        <v>340</v>
      </c>
      <c r="M88" s="2" t="s">
        <v>341</v>
      </c>
      <c r="N88" s="2" t="s">
        <v>342</v>
      </c>
      <c r="O88" s="2" t="s">
        <v>101</v>
      </c>
      <c r="P88" s="2" t="str">
        <f>"2170606522                    "</f>
        <v xml:space="preserve">2170606522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12.47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89</v>
      </c>
      <c r="BM88" s="2">
        <v>12.46</v>
      </c>
      <c r="BN88" s="2">
        <v>101.46</v>
      </c>
      <c r="BO88" s="2">
        <v>101.46</v>
      </c>
      <c r="BQ88" s="2" t="s">
        <v>343</v>
      </c>
      <c r="BR88" s="2" t="s">
        <v>103</v>
      </c>
      <c r="BS88" s="3">
        <v>43081</v>
      </c>
      <c r="BT88" s="4">
        <v>0.54166666666666663</v>
      </c>
      <c r="BU88" s="2" t="s">
        <v>344</v>
      </c>
      <c r="BV88" s="2" t="s">
        <v>85</v>
      </c>
      <c r="BY88" s="2">
        <v>1200</v>
      </c>
      <c r="CC88" s="2" t="s">
        <v>341</v>
      </c>
      <c r="CD88" s="2">
        <v>6139</v>
      </c>
      <c r="CE88" s="2" t="s">
        <v>120</v>
      </c>
      <c r="CI88" s="2">
        <v>3</v>
      </c>
      <c r="CJ88" s="2">
        <v>1</v>
      </c>
      <c r="CK88" s="2">
        <v>23</v>
      </c>
      <c r="CL88" s="2" t="s">
        <v>89</v>
      </c>
    </row>
    <row r="89" spans="1:90">
      <c r="A89" s="2" t="s">
        <v>71</v>
      </c>
      <c r="B89" s="2" t="s">
        <v>72</v>
      </c>
      <c r="C89" s="2" t="s">
        <v>73</v>
      </c>
      <c r="E89" s="2" t="str">
        <f>"FES1162594936"</f>
        <v>FES1162594936</v>
      </c>
      <c r="F89" s="3">
        <v>43080</v>
      </c>
      <c r="G89" s="2">
        <v>201806</v>
      </c>
      <c r="H89" s="2" t="s">
        <v>74</v>
      </c>
      <c r="I89" s="2" t="s">
        <v>75</v>
      </c>
      <c r="J89" s="2" t="s">
        <v>97</v>
      </c>
      <c r="K89" s="2" t="s">
        <v>77</v>
      </c>
      <c r="L89" s="2" t="s">
        <v>325</v>
      </c>
      <c r="M89" s="2" t="s">
        <v>326</v>
      </c>
      <c r="N89" s="2" t="s">
        <v>327</v>
      </c>
      <c r="O89" s="2" t="s">
        <v>101</v>
      </c>
      <c r="P89" s="2" t="str">
        <f>"2170606847                    "</f>
        <v xml:space="preserve">2170606847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6.43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</v>
      </c>
      <c r="BJ89" s="2">
        <v>0.2</v>
      </c>
      <c r="BK89" s="2">
        <v>1</v>
      </c>
      <c r="BL89" s="2">
        <v>45.93</v>
      </c>
      <c r="BM89" s="2">
        <v>6.43</v>
      </c>
      <c r="BN89" s="2">
        <v>52.36</v>
      </c>
      <c r="BO89" s="2">
        <v>52.36</v>
      </c>
      <c r="BQ89" s="2" t="s">
        <v>102</v>
      </c>
      <c r="BR89" s="2" t="s">
        <v>103</v>
      </c>
      <c r="BS89" s="3">
        <v>43081</v>
      </c>
      <c r="BT89" s="4">
        <v>0.59791666666666665</v>
      </c>
      <c r="BU89" s="2" t="s">
        <v>345</v>
      </c>
      <c r="BV89" s="2" t="s">
        <v>89</v>
      </c>
      <c r="BY89" s="2">
        <v>1200</v>
      </c>
      <c r="CC89" s="2" t="s">
        <v>326</v>
      </c>
      <c r="CD89" s="2">
        <v>1873</v>
      </c>
      <c r="CE89" s="2" t="s">
        <v>120</v>
      </c>
      <c r="CF89" s="3">
        <v>43082</v>
      </c>
      <c r="CI89" s="2">
        <v>1</v>
      </c>
      <c r="CJ89" s="2">
        <v>1</v>
      </c>
      <c r="CK89" s="2">
        <v>21</v>
      </c>
      <c r="CL89" s="2" t="s">
        <v>89</v>
      </c>
    </row>
    <row r="90" spans="1:90">
      <c r="A90" s="2" t="s">
        <v>71</v>
      </c>
      <c r="B90" s="2" t="s">
        <v>72</v>
      </c>
      <c r="C90" s="2" t="s">
        <v>73</v>
      </c>
      <c r="E90" s="2" t="str">
        <f>"FES1162594959"</f>
        <v>FES1162594959</v>
      </c>
      <c r="F90" s="3">
        <v>43080</v>
      </c>
      <c r="G90" s="2">
        <v>201806</v>
      </c>
      <c r="H90" s="2" t="s">
        <v>74</v>
      </c>
      <c r="I90" s="2" t="s">
        <v>75</v>
      </c>
      <c r="J90" s="2" t="s">
        <v>97</v>
      </c>
      <c r="K90" s="2" t="s">
        <v>77</v>
      </c>
      <c r="L90" s="2" t="s">
        <v>90</v>
      </c>
      <c r="M90" s="2" t="s">
        <v>91</v>
      </c>
      <c r="N90" s="2" t="s">
        <v>92</v>
      </c>
      <c r="O90" s="2" t="s">
        <v>101</v>
      </c>
      <c r="P90" s="2" t="str">
        <f>"2170605443                    "</f>
        <v xml:space="preserve">2170605443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5.03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35.89</v>
      </c>
      <c r="BM90" s="2">
        <v>5.0199999999999996</v>
      </c>
      <c r="BN90" s="2">
        <v>40.909999999999997</v>
      </c>
      <c r="BO90" s="2">
        <v>40.909999999999997</v>
      </c>
      <c r="BQ90" s="2" t="s">
        <v>102</v>
      </c>
      <c r="BR90" s="2" t="s">
        <v>103</v>
      </c>
      <c r="BS90" s="3">
        <v>43081</v>
      </c>
      <c r="BT90" s="4">
        <v>0.41666666666666669</v>
      </c>
      <c r="BU90" s="2" t="s">
        <v>346</v>
      </c>
      <c r="BV90" s="2" t="s">
        <v>85</v>
      </c>
      <c r="BY90" s="2">
        <v>1200</v>
      </c>
      <c r="CA90" s="2" t="s">
        <v>347</v>
      </c>
      <c r="CC90" s="2" t="s">
        <v>91</v>
      </c>
      <c r="CD90" s="2">
        <v>1559</v>
      </c>
      <c r="CE90" s="2" t="s">
        <v>120</v>
      </c>
      <c r="CF90" s="3">
        <v>43082</v>
      </c>
      <c r="CI90" s="2">
        <v>1</v>
      </c>
      <c r="CJ90" s="2">
        <v>1</v>
      </c>
      <c r="CK90" s="2">
        <v>22</v>
      </c>
      <c r="CL90" s="2" t="s">
        <v>89</v>
      </c>
    </row>
    <row r="91" spans="1:90">
      <c r="A91" s="2" t="s">
        <v>71</v>
      </c>
      <c r="B91" s="2" t="s">
        <v>72</v>
      </c>
      <c r="C91" s="2" t="s">
        <v>73</v>
      </c>
      <c r="E91" s="2" t="str">
        <f>"FES1162594890"</f>
        <v>FES1162594890</v>
      </c>
      <c r="F91" s="3">
        <v>43080</v>
      </c>
      <c r="G91" s="2">
        <v>201806</v>
      </c>
      <c r="H91" s="2" t="s">
        <v>74</v>
      </c>
      <c r="I91" s="2" t="s">
        <v>75</v>
      </c>
      <c r="J91" s="2" t="s">
        <v>97</v>
      </c>
      <c r="K91" s="2" t="s">
        <v>77</v>
      </c>
      <c r="L91" s="2" t="s">
        <v>136</v>
      </c>
      <c r="M91" s="2" t="s">
        <v>137</v>
      </c>
      <c r="N91" s="2" t="s">
        <v>178</v>
      </c>
      <c r="O91" s="2" t="s">
        <v>101</v>
      </c>
      <c r="P91" s="2" t="str">
        <f>"2170606785                    "</f>
        <v xml:space="preserve">2170606785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51.45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15.8</v>
      </c>
      <c r="BJ91" s="2">
        <v>3.6</v>
      </c>
      <c r="BK91" s="2">
        <v>16</v>
      </c>
      <c r="BL91" s="2">
        <v>367.31</v>
      </c>
      <c r="BM91" s="2">
        <v>51.42</v>
      </c>
      <c r="BN91" s="2">
        <v>418.73</v>
      </c>
      <c r="BO91" s="2">
        <v>418.73</v>
      </c>
      <c r="BQ91" s="2" t="s">
        <v>102</v>
      </c>
      <c r="BR91" s="2" t="s">
        <v>103</v>
      </c>
      <c r="BS91" s="3">
        <v>43081</v>
      </c>
      <c r="BT91" s="4">
        <v>0.32083333333333336</v>
      </c>
      <c r="BU91" s="2" t="s">
        <v>348</v>
      </c>
      <c r="BV91" s="2" t="s">
        <v>85</v>
      </c>
      <c r="BY91" s="2">
        <v>18177</v>
      </c>
      <c r="CA91" s="2" t="s">
        <v>180</v>
      </c>
      <c r="CC91" s="2" t="s">
        <v>137</v>
      </c>
      <c r="CD91" s="2">
        <v>6001</v>
      </c>
      <c r="CE91" s="2" t="s">
        <v>95</v>
      </c>
      <c r="CF91" s="3">
        <v>43083</v>
      </c>
      <c r="CI91" s="2">
        <v>1</v>
      </c>
      <c r="CJ91" s="2">
        <v>1</v>
      </c>
      <c r="CK91" s="2">
        <v>21</v>
      </c>
      <c r="CL91" s="2" t="s">
        <v>89</v>
      </c>
    </row>
    <row r="92" spans="1:90">
      <c r="A92" s="2" t="s">
        <v>71</v>
      </c>
      <c r="B92" s="2" t="s">
        <v>72</v>
      </c>
      <c r="C92" s="2" t="s">
        <v>73</v>
      </c>
      <c r="E92" s="2" t="str">
        <f>"FES1162595147"</f>
        <v>FES1162595147</v>
      </c>
      <c r="F92" s="3">
        <v>43080</v>
      </c>
      <c r="G92" s="2">
        <v>201806</v>
      </c>
      <c r="H92" s="2" t="s">
        <v>74</v>
      </c>
      <c r="I92" s="2" t="s">
        <v>75</v>
      </c>
      <c r="J92" s="2" t="s">
        <v>97</v>
      </c>
      <c r="K92" s="2" t="s">
        <v>77</v>
      </c>
      <c r="L92" s="2" t="s">
        <v>173</v>
      </c>
      <c r="M92" s="2" t="s">
        <v>174</v>
      </c>
      <c r="N92" s="2" t="s">
        <v>349</v>
      </c>
      <c r="O92" s="2" t="s">
        <v>101</v>
      </c>
      <c r="P92" s="2" t="str">
        <f>"2170605845                    "</f>
        <v xml:space="preserve">2170605845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30.55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8.6999999999999993</v>
      </c>
      <c r="BJ92" s="2">
        <v>9.1</v>
      </c>
      <c r="BK92" s="2">
        <v>9.5</v>
      </c>
      <c r="BL92" s="2">
        <v>218.1</v>
      </c>
      <c r="BM92" s="2">
        <v>30.53</v>
      </c>
      <c r="BN92" s="2">
        <v>248.63</v>
      </c>
      <c r="BO92" s="2">
        <v>248.63</v>
      </c>
      <c r="BQ92" s="2" t="s">
        <v>82</v>
      </c>
      <c r="BR92" s="2" t="s">
        <v>103</v>
      </c>
      <c r="BS92" s="3">
        <v>43081</v>
      </c>
      <c r="BT92" s="4">
        <v>0.41666666666666669</v>
      </c>
      <c r="BU92" s="2" t="s">
        <v>350</v>
      </c>
      <c r="BV92" s="2" t="s">
        <v>85</v>
      </c>
      <c r="BY92" s="2">
        <v>45717.56</v>
      </c>
      <c r="CC92" s="2" t="s">
        <v>174</v>
      </c>
      <c r="CD92" s="2">
        <v>7800</v>
      </c>
      <c r="CE92" s="2" t="s">
        <v>95</v>
      </c>
      <c r="CF92" s="3">
        <v>43082</v>
      </c>
      <c r="CI92" s="2">
        <v>1</v>
      </c>
      <c r="CJ92" s="2">
        <v>1</v>
      </c>
      <c r="CK92" s="2">
        <v>21</v>
      </c>
      <c r="CL92" s="2" t="s">
        <v>89</v>
      </c>
    </row>
    <row r="93" spans="1:90">
      <c r="A93" s="2" t="s">
        <v>71</v>
      </c>
      <c r="B93" s="2" t="s">
        <v>72</v>
      </c>
      <c r="C93" s="2" t="s">
        <v>73</v>
      </c>
      <c r="E93" s="2" t="str">
        <f>"FES1162594817"</f>
        <v>FES1162594817</v>
      </c>
      <c r="F93" s="3">
        <v>43082</v>
      </c>
      <c r="G93" s="2">
        <v>201806</v>
      </c>
      <c r="H93" s="2" t="s">
        <v>74</v>
      </c>
      <c r="I93" s="2" t="s">
        <v>75</v>
      </c>
      <c r="J93" s="2" t="s">
        <v>97</v>
      </c>
      <c r="K93" s="2" t="s">
        <v>77</v>
      </c>
      <c r="L93" s="2" t="s">
        <v>168</v>
      </c>
      <c r="M93" s="2" t="s">
        <v>169</v>
      </c>
      <c r="N93" s="2" t="s">
        <v>351</v>
      </c>
      <c r="O93" s="2" t="s">
        <v>81</v>
      </c>
      <c r="P93" s="2" t="str">
        <f>"2170606707                    "</f>
        <v xml:space="preserve">2170606707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10.96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19.2</v>
      </c>
      <c r="BJ93" s="2">
        <v>9</v>
      </c>
      <c r="BK93" s="2">
        <v>20</v>
      </c>
      <c r="BL93" s="2">
        <v>83.21</v>
      </c>
      <c r="BM93" s="2">
        <v>11.65</v>
      </c>
      <c r="BN93" s="2">
        <v>94.86</v>
      </c>
      <c r="BO93" s="2">
        <v>94.86</v>
      </c>
      <c r="BP93" s="2" t="s">
        <v>302</v>
      </c>
      <c r="BQ93" s="2" t="s">
        <v>102</v>
      </c>
      <c r="BR93" s="2" t="s">
        <v>103</v>
      </c>
      <c r="BS93" s="3">
        <v>43083</v>
      </c>
      <c r="BT93" s="4">
        <v>0.5</v>
      </c>
      <c r="BU93" s="2" t="s">
        <v>114</v>
      </c>
      <c r="BV93" s="2" t="s">
        <v>85</v>
      </c>
      <c r="BY93" s="2">
        <v>45169.61</v>
      </c>
      <c r="CC93" s="2" t="s">
        <v>169</v>
      </c>
      <c r="CD93" s="2">
        <v>3610</v>
      </c>
      <c r="CE93" s="2" t="s">
        <v>95</v>
      </c>
      <c r="CF93" s="3">
        <v>43087</v>
      </c>
      <c r="CI93" s="2">
        <v>1</v>
      </c>
      <c r="CJ93" s="2">
        <v>1</v>
      </c>
      <c r="CK93" s="2" t="s">
        <v>352</v>
      </c>
      <c r="CL93" s="2" t="s">
        <v>89</v>
      </c>
    </row>
    <row r="94" spans="1:90">
      <c r="A94" s="2" t="s">
        <v>71</v>
      </c>
      <c r="B94" s="2" t="s">
        <v>72</v>
      </c>
      <c r="C94" s="2" t="s">
        <v>73</v>
      </c>
      <c r="E94" s="2" t="str">
        <f>"FES1162594918"</f>
        <v>FES1162594918</v>
      </c>
      <c r="F94" s="3">
        <v>43080</v>
      </c>
      <c r="G94" s="2">
        <v>201806</v>
      </c>
      <c r="H94" s="2" t="s">
        <v>74</v>
      </c>
      <c r="I94" s="2" t="s">
        <v>75</v>
      </c>
      <c r="J94" s="2" t="s">
        <v>97</v>
      </c>
      <c r="K94" s="2" t="s">
        <v>77</v>
      </c>
      <c r="L94" s="2" t="s">
        <v>74</v>
      </c>
      <c r="M94" s="2" t="s">
        <v>75</v>
      </c>
      <c r="N94" s="2" t="s">
        <v>353</v>
      </c>
      <c r="O94" s="2" t="s">
        <v>101</v>
      </c>
      <c r="P94" s="2" t="str">
        <f>"2170606820                    "</f>
        <v xml:space="preserve">2170606820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5.03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5.0999999999999996</v>
      </c>
      <c r="BJ94" s="2">
        <v>6.9</v>
      </c>
      <c r="BK94" s="2">
        <v>7</v>
      </c>
      <c r="BL94" s="2">
        <v>35.89</v>
      </c>
      <c r="BM94" s="2">
        <v>5.0199999999999996</v>
      </c>
      <c r="BN94" s="2">
        <v>40.909999999999997</v>
      </c>
      <c r="BO94" s="2">
        <v>40.909999999999997</v>
      </c>
      <c r="BQ94" s="2" t="s">
        <v>102</v>
      </c>
      <c r="BR94" s="2" t="s">
        <v>103</v>
      </c>
      <c r="BS94" s="3">
        <v>43081</v>
      </c>
      <c r="BT94" s="4">
        <v>0.31458333333333333</v>
      </c>
      <c r="BU94" s="2" t="s">
        <v>354</v>
      </c>
      <c r="BV94" s="2" t="s">
        <v>85</v>
      </c>
      <c r="BY94" s="2">
        <v>34315.519999999997</v>
      </c>
      <c r="CA94" s="2" t="s">
        <v>355</v>
      </c>
      <c r="CC94" s="2" t="s">
        <v>75</v>
      </c>
      <c r="CD94" s="2">
        <v>1600</v>
      </c>
      <c r="CE94" s="2" t="s">
        <v>356</v>
      </c>
      <c r="CF94" s="3">
        <v>43083</v>
      </c>
      <c r="CI94" s="2">
        <v>1</v>
      </c>
      <c r="CJ94" s="2">
        <v>1</v>
      </c>
      <c r="CK94" s="2">
        <v>22</v>
      </c>
      <c r="CL94" s="2" t="s">
        <v>89</v>
      </c>
    </row>
    <row r="95" spans="1:90">
      <c r="A95" s="2" t="s">
        <v>71</v>
      </c>
      <c r="B95" s="2" t="s">
        <v>72</v>
      </c>
      <c r="C95" s="2" t="s">
        <v>73</v>
      </c>
      <c r="E95" s="2" t="str">
        <f>"FES1162595084"</f>
        <v>FES1162595084</v>
      </c>
      <c r="F95" s="3">
        <v>43080</v>
      </c>
      <c r="G95" s="2">
        <v>201806</v>
      </c>
      <c r="H95" s="2" t="s">
        <v>74</v>
      </c>
      <c r="I95" s="2" t="s">
        <v>75</v>
      </c>
      <c r="J95" s="2" t="s">
        <v>97</v>
      </c>
      <c r="K95" s="2" t="s">
        <v>77</v>
      </c>
      <c r="L95" s="2" t="s">
        <v>173</v>
      </c>
      <c r="M95" s="2" t="s">
        <v>174</v>
      </c>
      <c r="N95" s="2" t="s">
        <v>357</v>
      </c>
      <c r="O95" s="2" t="s">
        <v>101</v>
      </c>
      <c r="P95" s="2" t="str">
        <f>"2170604806                    "</f>
        <v xml:space="preserve">2170604806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12.87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3.7</v>
      </c>
      <c r="BJ95" s="2">
        <v>2.4</v>
      </c>
      <c r="BK95" s="2">
        <v>4</v>
      </c>
      <c r="BL95" s="2">
        <v>91.85</v>
      </c>
      <c r="BM95" s="2">
        <v>12.86</v>
      </c>
      <c r="BN95" s="2">
        <v>104.71</v>
      </c>
      <c r="BO95" s="2">
        <v>104.71</v>
      </c>
      <c r="BQ95" s="2" t="s">
        <v>358</v>
      </c>
      <c r="BR95" s="2" t="s">
        <v>103</v>
      </c>
      <c r="BS95" s="3">
        <v>43081</v>
      </c>
      <c r="BT95" s="4">
        <v>0.4861111111111111</v>
      </c>
      <c r="BU95" s="2" t="s">
        <v>359</v>
      </c>
      <c r="BV95" s="2" t="s">
        <v>89</v>
      </c>
      <c r="BW95" s="2" t="s">
        <v>149</v>
      </c>
      <c r="BX95" s="2" t="s">
        <v>246</v>
      </c>
      <c r="BY95" s="2">
        <v>11802.53</v>
      </c>
      <c r="CA95" s="2" t="s">
        <v>360</v>
      </c>
      <c r="CC95" s="2" t="s">
        <v>174</v>
      </c>
      <c r="CD95" s="2">
        <v>7405</v>
      </c>
      <c r="CE95" s="2" t="s">
        <v>95</v>
      </c>
      <c r="CF95" s="3">
        <v>43082</v>
      </c>
      <c r="CI95" s="2">
        <v>1</v>
      </c>
      <c r="CJ95" s="2">
        <v>1</v>
      </c>
      <c r="CK95" s="2">
        <v>21</v>
      </c>
      <c r="CL95" s="2" t="s">
        <v>89</v>
      </c>
    </row>
    <row r="96" spans="1:90">
      <c r="A96" s="2" t="s">
        <v>71</v>
      </c>
      <c r="B96" s="2" t="s">
        <v>72</v>
      </c>
      <c r="C96" s="2" t="s">
        <v>73</v>
      </c>
      <c r="E96" s="2" t="str">
        <f>"FES1162595222"</f>
        <v>FES1162595222</v>
      </c>
      <c r="F96" s="3">
        <v>43080</v>
      </c>
      <c r="G96" s="2">
        <v>201806</v>
      </c>
      <c r="H96" s="2" t="s">
        <v>74</v>
      </c>
      <c r="I96" s="2" t="s">
        <v>75</v>
      </c>
      <c r="J96" s="2" t="s">
        <v>97</v>
      </c>
      <c r="K96" s="2" t="s">
        <v>77</v>
      </c>
      <c r="L96" s="2" t="s">
        <v>173</v>
      </c>
      <c r="M96" s="2" t="s">
        <v>174</v>
      </c>
      <c r="N96" s="2" t="s">
        <v>323</v>
      </c>
      <c r="O96" s="2" t="s">
        <v>101</v>
      </c>
      <c r="P96" s="2" t="str">
        <f>"2170606180                    "</f>
        <v xml:space="preserve">2170606180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12.87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4</v>
      </c>
      <c r="BJ96" s="2">
        <v>2.9</v>
      </c>
      <c r="BK96" s="2">
        <v>4</v>
      </c>
      <c r="BL96" s="2">
        <v>91.85</v>
      </c>
      <c r="BM96" s="2">
        <v>12.86</v>
      </c>
      <c r="BN96" s="2">
        <v>104.71</v>
      </c>
      <c r="BO96" s="2">
        <v>104.71</v>
      </c>
      <c r="BQ96" s="2" t="s">
        <v>82</v>
      </c>
      <c r="BR96" s="2" t="s">
        <v>103</v>
      </c>
      <c r="BS96" s="3">
        <v>43081</v>
      </c>
      <c r="BT96" s="4">
        <v>0.41666666666666669</v>
      </c>
      <c r="BU96" s="2" t="s">
        <v>324</v>
      </c>
      <c r="BV96" s="2" t="s">
        <v>85</v>
      </c>
      <c r="BY96" s="2">
        <v>14450</v>
      </c>
      <c r="CA96" s="2" t="s">
        <v>177</v>
      </c>
      <c r="CC96" s="2" t="s">
        <v>174</v>
      </c>
      <c r="CD96" s="2">
        <v>7405</v>
      </c>
      <c r="CE96" s="2" t="s">
        <v>95</v>
      </c>
      <c r="CF96" s="3">
        <v>43082</v>
      </c>
      <c r="CI96" s="2">
        <v>1</v>
      </c>
      <c r="CJ96" s="2">
        <v>1</v>
      </c>
      <c r="CK96" s="2">
        <v>21</v>
      </c>
      <c r="CL96" s="2" t="s">
        <v>89</v>
      </c>
    </row>
    <row r="97" spans="1:90">
      <c r="A97" s="2" t="s">
        <v>71</v>
      </c>
      <c r="B97" s="2" t="s">
        <v>72</v>
      </c>
      <c r="C97" s="2" t="s">
        <v>73</v>
      </c>
      <c r="E97" s="2" t="str">
        <f>"FES1162594801"</f>
        <v>FES1162594801</v>
      </c>
      <c r="F97" s="3">
        <v>43080</v>
      </c>
      <c r="G97" s="2">
        <v>201806</v>
      </c>
      <c r="H97" s="2" t="s">
        <v>74</v>
      </c>
      <c r="I97" s="2" t="s">
        <v>75</v>
      </c>
      <c r="J97" s="2" t="s">
        <v>97</v>
      </c>
      <c r="K97" s="2" t="s">
        <v>77</v>
      </c>
      <c r="L97" s="2" t="s">
        <v>158</v>
      </c>
      <c r="M97" s="2" t="s">
        <v>159</v>
      </c>
      <c r="N97" s="2" t="s">
        <v>164</v>
      </c>
      <c r="O97" s="2" t="s">
        <v>101</v>
      </c>
      <c r="P97" s="2" t="str">
        <f>"2170606366                    "</f>
        <v xml:space="preserve">2170606366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6.43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45.93</v>
      </c>
      <c r="BM97" s="2">
        <v>6.43</v>
      </c>
      <c r="BN97" s="2">
        <v>52.36</v>
      </c>
      <c r="BO97" s="2">
        <v>52.36</v>
      </c>
      <c r="BQ97" s="2" t="s">
        <v>102</v>
      </c>
      <c r="BR97" s="2" t="s">
        <v>103</v>
      </c>
      <c r="BS97" s="3">
        <v>43081</v>
      </c>
      <c r="BT97" s="4">
        <v>0.43958333333333338</v>
      </c>
      <c r="BU97" s="2" t="s">
        <v>361</v>
      </c>
      <c r="BV97" s="2" t="s">
        <v>85</v>
      </c>
      <c r="BY97" s="2">
        <v>1200</v>
      </c>
      <c r="CA97" s="2" t="s">
        <v>362</v>
      </c>
      <c r="CC97" s="2" t="s">
        <v>159</v>
      </c>
      <c r="CD97" s="2">
        <v>200</v>
      </c>
      <c r="CE97" s="2" t="s">
        <v>120</v>
      </c>
      <c r="CF97" s="3">
        <v>43083</v>
      </c>
      <c r="CI97" s="2">
        <v>1</v>
      </c>
      <c r="CJ97" s="2">
        <v>1</v>
      </c>
      <c r="CK97" s="2">
        <v>21</v>
      </c>
      <c r="CL97" s="2" t="s">
        <v>89</v>
      </c>
    </row>
    <row r="98" spans="1:90">
      <c r="A98" s="2" t="s">
        <v>71</v>
      </c>
      <c r="B98" s="2" t="s">
        <v>72</v>
      </c>
      <c r="C98" s="2" t="s">
        <v>73</v>
      </c>
      <c r="E98" s="2" t="str">
        <f>"019911070601"</f>
        <v>019911070601</v>
      </c>
      <c r="F98" s="3">
        <v>43080</v>
      </c>
      <c r="G98" s="2">
        <v>201806</v>
      </c>
      <c r="H98" s="2" t="s">
        <v>212</v>
      </c>
      <c r="I98" s="2" t="s">
        <v>212</v>
      </c>
      <c r="J98" s="2" t="s">
        <v>363</v>
      </c>
      <c r="K98" s="2" t="s">
        <v>77</v>
      </c>
      <c r="L98" s="2" t="s">
        <v>74</v>
      </c>
      <c r="M98" s="2" t="s">
        <v>75</v>
      </c>
      <c r="N98" s="2" t="s">
        <v>76</v>
      </c>
      <c r="O98" s="2" t="s">
        <v>101</v>
      </c>
      <c r="P98" s="2" t="str">
        <f>"                              "</f>
        <v xml:space="preserve">          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6.43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45.93</v>
      </c>
      <c r="BM98" s="2">
        <v>6.43</v>
      </c>
      <c r="BN98" s="2">
        <v>52.36</v>
      </c>
      <c r="BO98" s="2">
        <v>52.36</v>
      </c>
      <c r="BQ98" s="2" t="s">
        <v>364</v>
      </c>
      <c r="BR98" s="2" t="s">
        <v>364</v>
      </c>
      <c r="BS98" s="3">
        <v>43081</v>
      </c>
      <c r="BT98" s="4">
        <v>0.44513888888888892</v>
      </c>
      <c r="BU98" s="2" t="s">
        <v>365</v>
      </c>
      <c r="BV98" s="2" t="s">
        <v>85</v>
      </c>
      <c r="BY98" s="2">
        <v>1200</v>
      </c>
      <c r="BZ98" s="2" t="s">
        <v>27</v>
      </c>
      <c r="CA98" s="2" t="s">
        <v>366</v>
      </c>
      <c r="CC98" s="2" t="s">
        <v>75</v>
      </c>
      <c r="CD98" s="2">
        <v>1600</v>
      </c>
      <c r="CE98" s="2" t="s">
        <v>95</v>
      </c>
      <c r="CF98" s="3">
        <v>43083</v>
      </c>
      <c r="CI98" s="2">
        <v>1</v>
      </c>
      <c r="CJ98" s="2">
        <v>1</v>
      </c>
      <c r="CK98" s="2">
        <v>21</v>
      </c>
      <c r="CL98" s="2" t="s">
        <v>89</v>
      </c>
    </row>
    <row r="99" spans="1:90">
      <c r="A99" s="2" t="s">
        <v>71</v>
      </c>
      <c r="B99" s="2" t="s">
        <v>72</v>
      </c>
      <c r="C99" s="2" t="s">
        <v>73</v>
      </c>
      <c r="E99" s="2" t="str">
        <f>"FES1162594689"</f>
        <v>FES1162594689</v>
      </c>
      <c r="F99" s="3">
        <v>43080</v>
      </c>
      <c r="G99" s="2">
        <v>201806</v>
      </c>
      <c r="H99" s="2" t="s">
        <v>74</v>
      </c>
      <c r="I99" s="2" t="s">
        <v>75</v>
      </c>
      <c r="J99" s="2" t="s">
        <v>97</v>
      </c>
      <c r="K99" s="2" t="s">
        <v>77</v>
      </c>
      <c r="L99" s="2" t="s">
        <v>173</v>
      </c>
      <c r="M99" s="2" t="s">
        <v>174</v>
      </c>
      <c r="N99" s="2" t="s">
        <v>175</v>
      </c>
      <c r="O99" s="2" t="s">
        <v>101</v>
      </c>
      <c r="P99" s="2" t="str">
        <f>"2170606556                    "</f>
        <v xml:space="preserve">2170606556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20.9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2</v>
      </c>
      <c r="BI99" s="2">
        <v>6.2</v>
      </c>
      <c r="BJ99" s="2">
        <v>3.6</v>
      </c>
      <c r="BK99" s="2">
        <v>6.5</v>
      </c>
      <c r="BL99" s="2">
        <v>149.22999999999999</v>
      </c>
      <c r="BM99" s="2">
        <v>20.89</v>
      </c>
      <c r="BN99" s="2">
        <v>170.12</v>
      </c>
      <c r="BO99" s="2">
        <v>170.12</v>
      </c>
      <c r="BQ99" s="2" t="s">
        <v>102</v>
      </c>
      <c r="BR99" s="2" t="s">
        <v>103</v>
      </c>
      <c r="BS99" s="3">
        <v>43081</v>
      </c>
      <c r="BT99" s="4">
        <v>0.65694444444444444</v>
      </c>
      <c r="BU99" s="2" t="s">
        <v>367</v>
      </c>
      <c r="BV99" s="2" t="s">
        <v>89</v>
      </c>
      <c r="BW99" s="2" t="s">
        <v>149</v>
      </c>
      <c r="BX99" s="2" t="s">
        <v>368</v>
      </c>
      <c r="BY99" s="2">
        <v>17987.349999999999</v>
      </c>
      <c r="CA99" s="2" t="s">
        <v>177</v>
      </c>
      <c r="CC99" s="2" t="s">
        <v>174</v>
      </c>
      <c r="CD99" s="2">
        <v>7405</v>
      </c>
      <c r="CE99" s="2" t="s">
        <v>95</v>
      </c>
      <c r="CF99" s="3">
        <v>43082</v>
      </c>
      <c r="CI99" s="2">
        <v>1</v>
      </c>
      <c r="CJ99" s="2">
        <v>1</v>
      </c>
      <c r="CK99" s="2">
        <v>21</v>
      </c>
      <c r="CL99" s="2" t="s">
        <v>89</v>
      </c>
    </row>
    <row r="100" spans="1:90">
      <c r="A100" s="2" t="s">
        <v>71</v>
      </c>
      <c r="B100" s="2" t="s">
        <v>72</v>
      </c>
      <c r="C100" s="2" t="s">
        <v>73</v>
      </c>
      <c r="E100" s="2" t="str">
        <f>"FES1162594771"</f>
        <v>FES1162594771</v>
      </c>
      <c r="F100" s="3">
        <v>43080</v>
      </c>
      <c r="G100" s="2">
        <v>201806</v>
      </c>
      <c r="H100" s="2" t="s">
        <v>74</v>
      </c>
      <c r="I100" s="2" t="s">
        <v>75</v>
      </c>
      <c r="J100" s="2" t="s">
        <v>97</v>
      </c>
      <c r="K100" s="2" t="s">
        <v>77</v>
      </c>
      <c r="L100" s="2" t="s">
        <v>106</v>
      </c>
      <c r="M100" s="2" t="s">
        <v>107</v>
      </c>
      <c r="N100" s="2" t="s">
        <v>108</v>
      </c>
      <c r="O100" s="2" t="s">
        <v>101</v>
      </c>
      <c r="P100" s="2" t="str">
        <f>"2170606676                    "</f>
        <v xml:space="preserve">2170606676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5.03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7.3</v>
      </c>
      <c r="BJ100" s="2">
        <v>2.6</v>
      </c>
      <c r="BK100" s="2">
        <v>8</v>
      </c>
      <c r="BL100" s="2">
        <v>35.89</v>
      </c>
      <c r="BM100" s="2">
        <v>5.0199999999999996</v>
      </c>
      <c r="BN100" s="2">
        <v>40.909999999999997</v>
      </c>
      <c r="BO100" s="2">
        <v>40.909999999999997</v>
      </c>
      <c r="BQ100" s="2" t="s">
        <v>82</v>
      </c>
      <c r="BR100" s="2" t="s">
        <v>103</v>
      </c>
      <c r="BS100" s="3">
        <v>43081</v>
      </c>
      <c r="BT100" s="4">
        <v>0.4069444444444445</v>
      </c>
      <c r="BU100" s="2" t="s">
        <v>369</v>
      </c>
      <c r="BV100" s="2" t="s">
        <v>85</v>
      </c>
      <c r="BY100" s="2">
        <v>12759.08</v>
      </c>
      <c r="CA100" s="2" t="s">
        <v>110</v>
      </c>
      <c r="CC100" s="2" t="s">
        <v>107</v>
      </c>
      <c r="CD100" s="2">
        <v>2094</v>
      </c>
      <c r="CE100" s="2" t="s">
        <v>356</v>
      </c>
      <c r="CF100" s="3">
        <v>43082</v>
      </c>
      <c r="CI100" s="2">
        <v>1</v>
      </c>
      <c r="CJ100" s="2">
        <v>1</v>
      </c>
      <c r="CK100" s="2">
        <v>22</v>
      </c>
      <c r="CL100" s="2" t="s">
        <v>89</v>
      </c>
    </row>
    <row r="101" spans="1:90">
      <c r="A101" s="2" t="s">
        <v>71</v>
      </c>
      <c r="B101" s="2" t="s">
        <v>72</v>
      </c>
      <c r="C101" s="2" t="s">
        <v>73</v>
      </c>
      <c r="E101" s="2" t="str">
        <f>"FES1162594755"</f>
        <v>FES1162594755</v>
      </c>
      <c r="F101" s="3">
        <v>43080</v>
      </c>
      <c r="G101" s="2">
        <v>201806</v>
      </c>
      <c r="H101" s="2" t="s">
        <v>74</v>
      </c>
      <c r="I101" s="2" t="s">
        <v>75</v>
      </c>
      <c r="J101" s="2" t="s">
        <v>97</v>
      </c>
      <c r="K101" s="2" t="s">
        <v>77</v>
      </c>
      <c r="L101" s="2" t="s">
        <v>173</v>
      </c>
      <c r="M101" s="2" t="s">
        <v>174</v>
      </c>
      <c r="N101" s="2" t="s">
        <v>175</v>
      </c>
      <c r="O101" s="2" t="s">
        <v>101</v>
      </c>
      <c r="P101" s="2" t="str">
        <f>"2170606642                    "</f>
        <v xml:space="preserve">2170606642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38.590000000000003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2</v>
      </c>
      <c r="BI101" s="2">
        <v>7.8</v>
      </c>
      <c r="BJ101" s="2">
        <v>11.8</v>
      </c>
      <c r="BK101" s="2">
        <v>12</v>
      </c>
      <c r="BL101" s="2">
        <v>275.49</v>
      </c>
      <c r="BM101" s="2">
        <v>38.57</v>
      </c>
      <c r="BN101" s="2">
        <v>314.06</v>
      </c>
      <c r="BO101" s="2">
        <v>314.06</v>
      </c>
      <c r="BQ101" s="2" t="s">
        <v>102</v>
      </c>
      <c r="BR101" s="2" t="s">
        <v>103</v>
      </c>
      <c r="BS101" s="3">
        <v>43081</v>
      </c>
      <c r="BT101" s="4">
        <v>0.41666666666666669</v>
      </c>
      <c r="BU101" s="2" t="s">
        <v>367</v>
      </c>
      <c r="BV101" s="2" t="s">
        <v>85</v>
      </c>
      <c r="BY101" s="2">
        <v>59209.16</v>
      </c>
      <c r="CA101" s="2" t="s">
        <v>177</v>
      </c>
      <c r="CC101" s="2" t="s">
        <v>174</v>
      </c>
      <c r="CD101" s="2">
        <v>7405</v>
      </c>
      <c r="CE101" s="2" t="s">
        <v>95</v>
      </c>
      <c r="CF101" s="3">
        <v>43082</v>
      </c>
      <c r="CI101" s="2">
        <v>1</v>
      </c>
      <c r="CJ101" s="2">
        <v>1</v>
      </c>
      <c r="CK101" s="2">
        <v>21</v>
      </c>
      <c r="CL101" s="2" t="s">
        <v>89</v>
      </c>
    </row>
    <row r="102" spans="1:90">
      <c r="A102" s="2" t="s">
        <v>71</v>
      </c>
      <c r="B102" s="2" t="s">
        <v>72</v>
      </c>
      <c r="C102" s="2" t="s">
        <v>73</v>
      </c>
      <c r="E102" s="2" t="str">
        <f>"FES1162594895"</f>
        <v>FES1162594895</v>
      </c>
      <c r="F102" s="3">
        <v>43080</v>
      </c>
      <c r="G102" s="2">
        <v>201806</v>
      </c>
      <c r="H102" s="2" t="s">
        <v>74</v>
      </c>
      <c r="I102" s="2" t="s">
        <v>75</v>
      </c>
      <c r="J102" s="2" t="s">
        <v>97</v>
      </c>
      <c r="K102" s="2" t="s">
        <v>77</v>
      </c>
      <c r="L102" s="2" t="s">
        <v>106</v>
      </c>
      <c r="M102" s="2" t="s">
        <v>107</v>
      </c>
      <c r="N102" s="2" t="s">
        <v>108</v>
      </c>
      <c r="O102" s="2" t="s">
        <v>101</v>
      </c>
      <c r="P102" s="2" t="str">
        <f>"2170606792                    "</f>
        <v xml:space="preserve">2170606792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5.03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35.89</v>
      </c>
      <c r="BM102" s="2">
        <v>5.0199999999999996</v>
      </c>
      <c r="BN102" s="2">
        <v>40.909999999999997</v>
      </c>
      <c r="BO102" s="2">
        <v>40.909999999999997</v>
      </c>
      <c r="BQ102" s="2" t="s">
        <v>82</v>
      </c>
      <c r="BR102" s="2" t="s">
        <v>103</v>
      </c>
      <c r="BS102" s="3">
        <v>43081</v>
      </c>
      <c r="BT102" s="4">
        <v>0.40486111111111112</v>
      </c>
      <c r="BU102" s="2" t="s">
        <v>369</v>
      </c>
      <c r="BV102" s="2" t="s">
        <v>85</v>
      </c>
      <c r="BY102" s="2">
        <v>1200</v>
      </c>
      <c r="CA102" s="2" t="s">
        <v>110</v>
      </c>
      <c r="CC102" s="2" t="s">
        <v>107</v>
      </c>
      <c r="CD102" s="2">
        <v>2094</v>
      </c>
      <c r="CE102" s="2" t="s">
        <v>120</v>
      </c>
      <c r="CF102" s="3">
        <v>43082</v>
      </c>
      <c r="CI102" s="2">
        <v>1</v>
      </c>
      <c r="CJ102" s="2">
        <v>1</v>
      </c>
      <c r="CK102" s="2">
        <v>22</v>
      </c>
      <c r="CL102" s="2" t="s">
        <v>89</v>
      </c>
    </row>
    <row r="103" spans="1:90">
      <c r="A103" s="2" t="s">
        <v>71</v>
      </c>
      <c r="B103" s="2" t="s">
        <v>72</v>
      </c>
      <c r="C103" s="2" t="s">
        <v>73</v>
      </c>
      <c r="E103" s="2" t="str">
        <f>"FES1162594682"</f>
        <v>FES1162594682</v>
      </c>
      <c r="F103" s="3">
        <v>43080</v>
      </c>
      <c r="G103" s="2">
        <v>201806</v>
      </c>
      <c r="H103" s="2" t="s">
        <v>74</v>
      </c>
      <c r="I103" s="2" t="s">
        <v>75</v>
      </c>
      <c r="J103" s="2" t="s">
        <v>97</v>
      </c>
      <c r="K103" s="2" t="s">
        <v>77</v>
      </c>
      <c r="L103" s="2" t="s">
        <v>212</v>
      </c>
      <c r="M103" s="2" t="s">
        <v>212</v>
      </c>
      <c r="N103" s="2" t="s">
        <v>370</v>
      </c>
      <c r="O103" s="2" t="s">
        <v>101</v>
      </c>
      <c r="P103" s="2" t="str">
        <f>"2170606550                    "</f>
        <v xml:space="preserve">2170606550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9.65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2</v>
      </c>
      <c r="BI103" s="2">
        <v>2</v>
      </c>
      <c r="BJ103" s="2">
        <v>2.9</v>
      </c>
      <c r="BK103" s="2">
        <v>3</v>
      </c>
      <c r="BL103" s="2">
        <v>68.89</v>
      </c>
      <c r="BM103" s="2">
        <v>9.64</v>
      </c>
      <c r="BN103" s="2">
        <v>78.53</v>
      </c>
      <c r="BO103" s="2">
        <v>78.53</v>
      </c>
      <c r="BQ103" s="2" t="s">
        <v>102</v>
      </c>
      <c r="BR103" s="2" t="s">
        <v>103</v>
      </c>
      <c r="BS103" s="3">
        <v>43081</v>
      </c>
      <c r="BT103" s="4">
        <v>0.63194444444444442</v>
      </c>
      <c r="BU103" s="2" t="s">
        <v>371</v>
      </c>
      <c r="BV103" s="2" t="s">
        <v>89</v>
      </c>
      <c r="BW103" s="2" t="s">
        <v>313</v>
      </c>
      <c r="BX103" s="2" t="s">
        <v>368</v>
      </c>
      <c r="BY103" s="2">
        <v>14575.34</v>
      </c>
      <c r="CC103" s="2" t="s">
        <v>212</v>
      </c>
      <c r="CD103" s="2">
        <v>7646</v>
      </c>
      <c r="CE103" s="2" t="s">
        <v>95</v>
      </c>
      <c r="CF103" s="3">
        <v>43082</v>
      </c>
      <c r="CI103" s="2">
        <v>1</v>
      </c>
      <c r="CJ103" s="2">
        <v>1</v>
      </c>
      <c r="CK103" s="2">
        <v>21</v>
      </c>
      <c r="CL103" s="2" t="s">
        <v>89</v>
      </c>
    </row>
    <row r="104" spans="1:90">
      <c r="A104" s="2" t="s">
        <v>71</v>
      </c>
      <c r="B104" s="2" t="s">
        <v>72</v>
      </c>
      <c r="C104" s="2" t="s">
        <v>73</v>
      </c>
      <c r="E104" s="2" t="str">
        <f>"019910884458"</f>
        <v>019910884458</v>
      </c>
      <c r="F104" s="3">
        <v>43080</v>
      </c>
      <c r="G104" s="2">
        <v>201806</v>
      </c>
      <c r="H104" s="2" t="s">
        <v>173</v>
      </c>
      <c r="I104" s="2" t="s">
        <v>174</v>
      </c>
      <c r="J104" s="2" t="s">
        <v>372</v>
      </c>
      <c r="K104" s="2" t="s">
        <v>77</v>
      </c>
      <c r="L104" s="2" t="s">
        <v>74</v>
      </c>
      <c r="M104" s="2" t="s">
        <v>75</v>
      </c>
      <c r="N104" s="2" t="s">
        <v>76</v>
      </c>
      <c r="O104" s="2" t="s">
        <v>339</v>
      </c>
      <c r="P104" s="2" t="str">
        <f>"                              "</f>
        <v xml:space="preserve">          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12.06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0.4</v>
      </c>
      <c r="BJ104" s="2">
        <v>2.2999999999999998</v>
      </c>
      <c r="BK104" s="2">
        <v>3</v>
      </c>
      <c r="BL104" s="2">
        <v>86.12</v>
      </c>
      <c r="BM104" s="2">
        <v>12.06</v>
      </c>
      <c r="BN104" s="2">
        <v>98.18</v>
      </c>
      <c r="BO104" s="2">
        <v>98.18</v>
      </c>
      <c r="BQ104" s="2" t="s">
        <v>373</v>
      </c>
      <c r="BR104" s="2" t="s">
        <v>374</v>
      </c>
      <c r="BS104" s="3">
        <v>43081</v>
      </c>
      <c r="BT104" s="4">
        <v>0.44513888888888892</v>
      </c>
      <c r="BU104" s="2" t="s">
        <v>375</v>
      </c>
      <c r="BV104" s="2" t="s">
        <v>85</v>
      </c>
      <c r="BY104" s="2">
        <v>11393.2</v>
      </c>
      <c r="BZ104" s="2" t="s">
        <v>27</v>
      </c>
      <c r="CA104" s="2" t="s">
        <v>366</v>
      </c>
      <c r="CC104" s="2" t="s">
        <v>75</v>
      </c>
      <c r="CD104" s="2">
        <v>1600</v>
      </c>
      <c r="CE104" s="2" t="s">
        <v>95</v>
      </c>
      <c r="CF104" s="3">
        <v>43083</v>
      </c>
      <c r="CI104" s="2">
        <v>1</v>
      </c>
      <c r="CJ104" s="2">
        <v>1</v>
      </c>
      <c r="CK104" s="2">
        <v>31</v>
      </c>
      <c r="CL104" s="2" t="s">
        <v>89</v>
      </c>
    </row>
    <row r="105" spans="1:90">
      <c r="A105" s="2" t="s">
        <v>71</v>
      </c>
      <c r="B105" s="2" t="s">
        <v>72</v>
      </c>
      <c r="C105" s="2" t="s">
        <v>73</v>
      </c>
      <c r="E105" s="2" t="str">
        <f>"FES1162593778"</f>
        <v>FES1162593778</v>
      </c>
      <c r="F105" s="3">
        <v>43074</v>
      </c>
      <c r="G105" s="2">
        <v>201806</v>
      </c>
      <c r="H105" s="2" t="s">
        <v>74</v>
      </c>
      <c r="I105" s="2" t="s">
        <v>75</v>
      </c>
      <c r="J105" s="2" t="s">
        <v>97</v>
      </c>
      <c r="K105" s="2" t="s">
        <v>77</v>
      </c>
      <c r="L105" s="2" t="s">
        <v>173</v>
      </c>
      <c r="M105" s="2" t="s">
        <v>174</v>
      </c>
      <c r="N105" s="2" t="s">
        <v>376</v>
      </c>
      <c r="O105" s="2" t="s">
        <v>101</v>
      </c>
      <c r="P105" s="2" t="str">
        <f>"2170603404                    "</f>
        <v xml:space="preserve">2170603404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5.65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1</v>
      </c>
      <c r="BJ105" s="2">
        <v>0.2</v>
      </c>
      <c r="BK105" s="2">
        <v>1</v>
      </c>
      <c r="BL105" s="2">
        <v>45.15</v>
      </c>
      <c r="BM105" s="2">
        <v>6.32</v>
      </c>
      <c r="BN105" s="2">
        <v>51.47</v>
      </c>
      <c r="BO105" s="2">
        <v>51.47</v>
      </c>
      <c r="BQ105" s="2" t="s">
        <v>102</v>
      </c>
      <c r="BR105" s="2" t="s">
        <v>103</v>
      </c>
      <c r="BS105" s="3">
        <v>43075</v>
      </c>
      <c r="BT105" s="4">
        <v>0.5</v>
      </c>
      <c r="BU105" s="2" t="s">
        <v>377</v>
      </c>
      <c r="BV105" s="2" t="s">
        <v>89</v>
      </c>
      <c r="BW105" s="2" t="s">
        <v>149</v>
      </c>
      <c r="BX105" s="2" t="s">
        <v>368</v>
      </c>
      <c r="BY105" s="2">
        <v>1200</v>
      </c>
      <c r="CA105" s="2" t="s">
        <v>378</v>
      </c>
      <c r="CC105" s="2" t="s">
        <v>174</v>
      </c>
      <c r="CD105" s="2">
        <v>7490</v>
      </c>
      <c r="CE105" s="2" t="s">
        <v>120</v>
      </c>
      <c r="CF105" s="3">
        <v>43076</v>
      </c>
      <c r="CI105" s="2">
        <v>1</v>
      </c>
      <c r="CJ105" s="2">
        <v>1</v>
      </c>
      <c r="CK105" s="2">
        <v>21</v>
      </c>
      <c r="CL105" s="2" t="s">
        <v>89</v>
      </c>
    </row>
    <row r="106" spans="1:90">
      <c r="A106" s="2" t="s">
        <v>71</v>
      </c>
      <c r="B106" s="2" t="s">
        <v>72</v>
      </c>
      <c r="C106" s="2" t="s">
        <v>73</v>
      </c>
      <c r="E106" s="2" t="str">
        <f>"FES1162593885"</f>
        <v>FES1162593885</v>
      </c>
      <c r="F106" s="3">
        <v>43074</v>
      </c>
      <c r="G106" s="2">
        <v>201806</v>
      </c>
      <c r="H106" s="2" t="s">
        <v>74</v>
      </c>
      <c r="I106" s="2" t="s">
        <v>75</v>
      </c>
      <c r="J106" s="2" t="s">
        <v>97</v>
      </c>
      <c r="K106" s="2" t="s">
        <v>77</v>
      </c>
      <c r="L106" s="2" t="s">
        <v>131</v>
      </c>
      <c r="M106" s="2" t="s">
        <v>132</v>
      </c>
      <c r="N106" s="2" t="s">
        <v>133</v>
      </c>
      <c r="O106" s="2" t="s">
        <v>101</v>
      </c>
      <c r="P106" s="2" t="str">
        <f>"2170605904                    "</f>
        <v xml:space="preserve">2170605904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5.65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1</v>
      </c>
      <c r="BJ106" s="2">
        <v>0.2</v>
      </c>
      <c r="BK106" s="2">
        <v>1</v>
      </c>
      <c r="BL106" s="2">
        <v>45.15</v>
      </c>
      <c r="BM106" s="2">
        <v>6.32</v>
      </c>
      <c r="BN106" s="2">
        <v>51.47</v>
      </c>
      <c r="BO106" s="2">
        <v>51.47</v>
      </c>
      <c r="BQ106" s="2" t="s">
        <v>102</v>
      </c>
      <c r="BR106" s="2" t="s">
        <v>103</v>
      </c>
      <c r="BS106" s="3">
        <v>43075</v>
      </c>
      <c r="BT106" s="4">
        <v>0.38611111111111113</v>
      </c>
      <c r="BU106" s="2" t="s">
        <v>134</v>
      </c>
      <c r="BV106" s="2" t="s">
        <v>85</v>
      </c>
      <c r="BY106" s="2">
        <v>1200</v>
      </c>
      <c r="CA106" s="2" t="s">
        <v>135</v>
      </c>
      <c r="CC106" s="2" t="s">
        <v>132</v>
      </c>
      <c r="CD106" s="2">
        <v>4302</v>
      </c>
      <c r="CE106" s="2" t="s">
        <v>120</v>
      </c>
      <c r="CF106" s="3">
        <v>43076</v>
      </c>
      <c r="CI106" s="2">
        <v>1</v>
      </c>
      <c r="CJ106" s="2">
        <v>1</v>
      </c>
      <c r="CK106" s="2">
        <v>21</v>
      </c>
      <c r="CL106" s="2" t="s">
        <v>89</v>
      </c>
    </row>
    <row r="107" spans="1:90">
      <c r="A107" s="2" t="s">
        <v>71</v>
      </c>
      <c r="B107" s="2" t="s">
        <v>72</v>
      </c>
      <c r="C107" s="2" t="s">
        <v>73</v>
      </c>
      <c r="E107" s="2" t="str">
        <f>"FES1162593733"</f>
        <v>FES1162593733</v>
      </c>
      <c r="F107" s="3">
        <v>43073</v>
      </c>
      <c r="G107" s="2">
        <v>201806</v>
      </c>
      <c r="H107" s="2" t="s">
        <v>74</v>
      </c>
      <c r="I107" s="2" t="s">
        <v>75</v>
      </c>
      <c r="J107" s="2" t="s">
        <v>97</v>
      </c>
      <c r="K107" s="2" t="s">
        <v>77</v>
      </c>
      <c r="L107" s="2" t="s">
        <v>74</v>
      </c>
      <c r="M107" s="2" t="s">
        <v>75</v>
      </c>
      <c r="N107" s="2" t="s">
        <v>379</v>
      </c>
      <c r="O107" s="2" t="s">
        <v>101</v>
      </c>
      <c r="P107" s="2" t="str">
        <f>"2170593462                    "</f>
        <v xml:space="preserve">2170593462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4.41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35.270000000000003</v>
      </c>
      <c r="BM107" s="2">
        <v>4.9400000000000004</v>
      </c>
      <c r="BN107" s="2">
        <v>40.21</v>
      </c>
      <c r="BO107" s="2">
        <v>40.21</v>
      </c>
      <c r="BQ107" s="2" t="s">
        <v>102</v>
      </c>
      <c r="BR107" s="2" t="s">
        <v>103</v>
      </c>
      <c r="BS107" s="3">
        <v>43074</v>
      </c>
      <c r="BT107" s="4">
        <v>0.40277777777777773</v>
      </c>
      <c r="BU107" s="2" t="s">
        <v>380</v>
      </c>
      <c r="BV107" s="2" t="s">
        <v>85</v>
      </c>
      <c r="BY107" s="2">
        <v>1200</v>
      </c>
      <c r="CA107" s="2" t="s">
        <v>366</v>
      </c>
      <c r="CC107" s="2" t="s">
        <v>75</v>
      </c>
      <c r="CD107" s="2">
        <v>1600</v>
      </c>
      <c r="CE107" s="2" t="s">
        <v>120</v>
      </c>
      <c r="CF107" s="3">
        <v>43077</v>
      </c>
      <c r="CI107" s="2">
        <v>1</v>
      </c>
      <c r="CJ107" s="2">
        <v>1</v>
      </c>
      <c r="CK107" s="2">
        <v>22</v>
      </c>
      <c r="CL107" s="2" t="s">
        <v>89</v>
      </c>
    </row>
    <row r="108" spans="1:90">
      <c r="A108" s="2" t="s">
        <v>71</v>
      </c>
      <c r="B108" s="2" t="s">
        <v>72</v>
      </c>
      <c r="C108" s="2" t="s">
        <v>73</v>
      </c>
      <c r="E108" s="2" t="str">
        <f>"FES1162593718"</f>
        <v>FES1162593718</v>
      </c>
      <c r="F108" s="3">
        <v>43073</v>
      </c>
      <c r="G108" s="2">
        <v>201806</v>
      </c>
      <c r="H108" s="2" t="s">
        <v>74</v>
      </c>
      <c r="I108" s="2" t="s">
        <v>75</v>
      </c>
      <c r="J108" s="2" t="s">
        <v>97</v>
      </c>
      <c r="K108" s="2" t="s">
        <v>77</v>
      </c>
      <c r="L108" s="2" t="s">
        <v>173</v>
      </c>
      <c r="M108" s="2" t="s">
        <v>174</v>
      </c>
      <c r="N108" s="2" t="s">
        <v>381</v>
      </c>
      <c r="O108" s="2" t="s">
        <v>101</v>
      </c>
      <c r="P108" s="2" t="str">
        <f>"2170605792                    "</f>
        <v xml:space="preserve">2170605792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5.65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1</v>
      </c>
      <c r="BJ108" s="2">
        <v>0.2</v>
      </c>
      <c r="BK108" s="2">
        <v>1</v>
      </c>
      <c r="BL108" s="2">
        <v>45.15</v>
      </c>
      <c r="BM108" s="2">
        <v>6.32</v>
      </c>
      <c r="BN108" s="2">
        <v>51.47</v>
      </c>
      <c r="BO108" s="2">
        <v>51.47</v>
      </c>
      <c r="BQ108" s="2" t="s">
        <v>382</v>
      </c>
      <c r="BR108" s="2" t="s">
        <v>103</v>
      </c>
      <c r="BS108" s="3">
        <v>43074</v>
      </c>
      <c r="BT108" s="4">
        <v>0.44305555555555554</v>
      </c>
      <c r="BU108" s="2" t="s">
        <v>176</v>
      </c>
      <c r="BV108" s="2" t="s">
        <v>85</v>
      </c>
      <c r="BY108" s="2">
        <v>1200</v>
      </c>
      <c r="BZ108" s="2" t="s">
        <v>27</v>
      </c>
      <c r="CA108" s="2" t="s">
        <v>177</v>
      </c>
      <c r="CC108" s="2" t="s">
        <v>174</v>
      </c>
      <c r="CD108" s="2">
        <v>7405</v>
      </c>
      <c r="CE108" s="2" t="s">
        <v>383</v>
      </c>
      <c r="CF108" s="3">
        <v>43075</v>
      </c>
      <c r="CI108" s="2">
        <v>1</v>
      </c>
      <c r="CJ108" s="2">
        <v>1</v>
      </c>
      <c r="CK108" s="2">
        <v>21</v>
      </c>
      <c r="CL108" s="2" t="s">
        <v>89</v>
      </c>
    </row>
    <row r="109" spans="1:90">
      <c r="A109" s="2" t="s">
        <v>71</v>
      </c>
      <c r="B109" s="2" t="s">
        <v>72</v>
      </c>
      <c r="C109" s="2" t="s">
        <v>73</v>
      </c>
      <c r="E109" s="2" t="str">
        <f>"FES1162593688"</f>
        <v>FES1162593688</v>
      </c>
      <c r="F109" s="3">
        <v>43073</v>
      </c>
      <c r="G109" s="2">
        <v>201806</v>
      </c>
      <c r="H109" s="2" t="s">
        <v>74</v>
      </c>
      <c r="I109" s="2" t="s">
        <v>75</v>
      </c>
      <c r="J109" s="2" t="s">
        <v>97</v>
      </c>
      <c r="K109" s="2" t="s">
        <v>77</v>
      </c>
      <c r="L109" s="2" t="s">
        <v>115</v>
      </c>
      <c r="M109" s="2" t="s">
        <v>116</v>
      </c>
      <c r="N109" s="2" t="s">
        <v>384</v>
      </c>
      <c r="O109" s="2" t="s">
        <v>101</v>
      </c>
      <c r="P109" s="2" t="str">
        <f>"2170605006                    "</f>
        <v xml:space="preserve">2170605006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4.41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35.270000000000003</v>
      </c>
      <c r="BM109" s="2">
        <v>4.9400000000000004</v>
      </c>
      <c r="BN109" s="2">
        <v>40.21</v>
      </c>
      <c r="BO109" s="2">
        <v>40.21</v>
      </c>
      <c r="BQ109" s="2" t="s">
        <v>102</v>
      </c>
      <c r="BR109" s="2" t="s">
        <v>103</v>
      </c>
      <c r="BS109" s="3">
        <v>43074</v>
      </c>
      <c r="BT109" s="4">
        <v>0.33680555555555558</v>
      </c>
      <c r="BU109" s="2" t="s">
        <v>385</v>
      </c>
      <c r="BV109" s="2" t="s">
        <v>85</v>
      </c>
      <c r="BY109" s="2">
        <v>1200</v>
      </c>
      <c r="BZ109" s="2" t="s">
        <v>27</v>
      </c>
      <c r="CA109" s="2" t="s">
        <v>386</v>
      </c>
      <c r="CC109" s="2" t="s">
        <v>116</v>
      </c>
      <c r="CD109" s="2">
        <v>1459</v>
      </c>
      <c r="CE109" s="2" t="s">
        <v>120</v>
      </c>
      <c r="CF109" s="3">
        <v>43077</v>
      </c>
      <c r="CI109" s="2">
        <v>1</v>
      </c>
      <c r="CJ109" s="2">
        <v>1</v>
      </c>
      <c r="CK109" s="2">
        <v>22</v>
      </c>
      <c r="CL109" s="2" t="s">
        <v>89</v>
      </c>
    </row>
    <row r="110" spans="1:90">
      <c r="A110" s="2" t="s">
        <v>71</v>
      </c>
      <c r="B110" s="2" t="s">
        <v>72</v>
      </c>
      <c r="C110" s="2" t="s">
        <v>73</v>
      </c>
      <c r="E110" s="2" t="str">
        <f>"FES1162593651"</f>
        <v>FES1162593651</v>
      </c>
      <c r="F110" s="3">
        <v>43073</v>
      </c>
      <c r="G110" s="2">
        <v>201806</v>
      </c>
      <c r="H110" s="2" t="s">
        <v>74</v>
      </c>
      <c r="I110" s="2" t="s">
        <v>75</v>
      </c>
      <c r="J110" s="2" t="s">
        <v>97</v>
      </c>
      <c r="K110" s="2" t="s">
        <v>77</v>
      </c>
      <c r="L110" s="2" t="s">
        <v>272</v>
      </c>
      <c r="M110" s="2" t="s">
        <v>272</v>
      </c>
      <c r="N110" s="2" t="s">
        <v>387</v>
      </c>
      <c r="O110" s="2" t="s">
        <v>101</v>
      </c>
      <c r="P110" s="2" t="str">
        <f>"21706057857                   "</f>
        <v xml:space="preserve">21706057857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7.94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0.2</v>
      </c>
      <c r="BK110" s="2">
        <v>1</v>
      </c>
      <c r="BL110" s="2">
        <v>63.49</v>
      </c>
      <c r="BM110" s="2">
        <v>8.89</v>
      </c>
      <c r="BN110" s="2">
        <v>72.38</v>
      </c>
      <c r="BO110" s="2">
        <v>72.38</v>
      </c>
      <c r="BR110" s="2" t="s">
        <v>103</v>
      </c>
      <c r="BS110" s="3">
        <v>43074</v>
      </c>
      <c r="BT110" s="4">
        <v>0.4375</v>
      </c>
      <c r="BU110" s="2" t="s">
        <v>388</v>
      </c>
      <c r="BV110" s="2" t="s">
        <v>85</v>
      </c>
      <c r="BY110" s="2">
        <v>1200</v>
      </c>
      <c r="BZ110" s="2" t="s">
        <v>27</v>
      </c>
      <c r="CA110" s="2" t="s">
        <v>389</v>
      </c>
      <c r="CC110" s="2" t="s">
        <v>272</v>
      </c>
      <c r="CD110" s="2">
        <v>1491</v>
      </c>
      <c r="CE110" s="2" t="s">
        <v>120</v>
      </c>
      <c r="CF110" s="3">
        <v>43077</v>
      </c>
      <c r="CI110" s="2">
        <v>1</v>
      </c>
      <c r="CJ110" s="2">
        <v>1</v>
      </c>
      <c r="CK110" s="2">
        <v>24</v>
      </c>
      <c r="CL110" s="2" t="s">
        <v>89</v>
      </c>
    </row>
    <row r="111" spans="1:90">
      <c r="A111" s="2" t="s">
        <v>71</v>
      </c>
      <c r="B111" s="2" t="s">
        <v>72</v>
      </c>
      <c r="C111" s="2" t="s">
        <v>73</v>
      </c>
      <c r="E111" s="2" t="str">
        <f>"FES1162593576"</f>
        <v>FES1162593576</v>
      </c>
      <c r="F111" s="3">
        <v>43073</v>
      </c>
      <c r="G111" s="2">
        <v>201806</v>
      </c>
      <c r="H111" s="2" t="s">
        <v>74</v>
      </c>
      <c r="I111" s="2" t="s">
        <v>75</v>
      </c>
      <c r="J111" s="2" t="s">
        <v>97</v>
      </c>
      <c r="K111" s="2" t="s">
        <v>77</v>
      </c>
      <c r="L111" s="2" t="s">
        <v>152</v>
      </c>
      <c r="M111" s="2" t="s">
        <v>153</v>
      </c>
      <c r="N111" s="2" t="s">
        <v>309</v>
      </c>
      <c r="O111" s="2" t="s">
        <v>101</v>
      </c>
      <c r="P111" s="2" t="str">
        <f>"2170605686                    "</f>
        <v xml:space="preserve">2170605686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4.41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35.270000000000003</v>
      </c>
      <c r="BM111" s="2">
        <v>4.9400000000000004</v>
      </c>
      <c r="BN111" s="2">
        <v>40.21</v>
      </c>
      <c r="BO111" s="2">
        <v>40.21</v>
      </c>
      <c r="BQ111" s="2" t="s">
        <v>390</v>
      </c>
      <c r="BR111" s="2" t="s">
        <v>103</v>
      </c>
      <c r="BS111" s="3">
        <v>43074</v>
      </c>
      <c r="BT111" s="4">
        <v>0.3972222222222222</v>
      </c>
      <c r="BU111" s="2" t="s">
        <v>391</v>
      </c>
      <c r="BV111" s="2" t="s">
        <v>85</v>
      </c>
      <c r="BY111" s="2">
        <v>1200</v>
      </c>
      <c r="BZ111" s="2" t="s">
        <v>27</v>
      </c>
      <c r="CA111" s="2" t="s">
        <v>392</v>
      </c>
      <c r="CC111" s="2" t="s">
        <v>153</v>
      </c>
      <c r="CD111" s="2">
        <v>1406</v>
      </c>
      <c r="CE111" s="2" t="s">
        <v>120</v>
      </c>
      <c r="CF111" s="3">
        <v>43077</v>
      </c>
      <c r="CI111" s="2">
        <v>1</v>
      </c>
      <c r="CJ111" s="2">
        <v>1</v>
      </c>
      <c r="CK111" s="2">
        <v>22</v>
      </c>
      <c r="CL111" s="2" t="s">
        <v>89</v>
      </c>
    </row>
    <row r="112" spans="1:90">
      <c r="A112" s="2" t="s">
        <v>71</v>
      </c>
      <c r="B112" s="2" t="s">
        <v>72</v>
      </c>
      <c r="C112" s="2" t="s">
        <v>73</v>
      </c>
      <c r="E112" s="2" t="str">
        <f>"FES1162593582"</f>
        <v>FES1162593582</v>
      </c>
      <c r="F112" s="3">
        <v>43073</v>
      </c>
      <c r="G112" s="2">
        <v>201806</v>
      </c>
      <c r="H112" s="2" t="s">
        <v>74</v>
      </c>
      <c r="I112" s="2" t="s">
        <v>75</v>
      </c>
      <c r="J112" s="2" t="s">
        <v>97</v>
      </c>
      <c r="K112" s="2" t="s">
        <v>77</v>
      </c>
      <c r="L112" s="2" t="s">
        <v>173</v>
      </c>
      <c r="M112" s="2" t="s">
        <v>174</v>
      </c>
      <c r="N112" s="2" t="s">
        <v>393</v>
      </c>
      <c r="O112" s="2" t="s">
        <v>101</v>
      </c>
      <c r="P112" s="2" t="str">
        <f>"2170605553                    "</f>
        <v xml:space="preserve">2170605553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11.29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0.6</v>
      </c>
      <c r="BJ112" s="2">
        <v>3.7</v>
      </c>
      <c r="BK112" s="2">
        <v>4</v>
      </c>
      <c r="BL112" s="2">
        <v>90.27</v>
      </c>
      <c r="BM112" s="2">
        <v>12.64</v>
      </c>
      <c r="BN112" s="2">
        <v>102.91</v>
      </c>
      <c r="BO112" s="2">
        <v>102.91</v>
      </c>
      <c r="BQ112" s="2" t="s">
        <v>102</v>
      </c>
      <c r="BR112" s="2" t="s">
        <v>103</v>
      </c>
      <c r="BS112" s="3">
        <v>43074</v>
      </c>
      <c r="BT112" s="4">
        <v>0.41666666666666669</v>
      </c>
      <c r="BU112" s="2" t="s">
        <v>394</v>
      </c>
      <c r="BV112" s="2" t="s">
        <v>85</v>
      </c>
      <c r="BY112" s="2">
        <v>18386.759999999998</v>
      </c>
      <c r="BZ112" s="2" t="s">
        <v>27</v>
      </c>
      <c r="CA112" s="2" t="s">
        <v>395</v>
      </c>
      <c r="CC112" s="2" t="s">
        <v>174</v>
      </c>
      <c r="CD112" s="2">
        <v>7441</v>
      </c>
      <c r="CE112" s="2" t="s">
        <v>383</v>
      </c>
      <c r="CF112" s="3">
        <v>43074</v>
      </c>
      <c r="CI112" s="2">
        <v>1</v>
      </c>
      <c r="CJ112" s="2">
        <v>1</v>
      </c>
      <c r="CK112" s="2">
        <v>21</v>
      </c>
      <c r="CL112" s="2" t="s">
        <v>89</v>
      </c>
    </row>
    <row r="113" spans="1:90">
      <c r="A113" s="2" t="s">
        <v>71</v>
      </c>
      <c r="B113" s="2" t="s">
        <v>72</v>
      </c>
      <c r="C113" s="2" t="s">
        <v>73</v>
      </c>
      <c r="E113" s="2" t="str">
        <f>"FES1162593623"</f>
        <v>FES1162593623</v>
      </c>
      <c r="F113" s="3">
        <v>43073</v>
      </c>
      <c r="G113" s="2">
        <v>201806</v>
      </c>
      <c r="H113" s="2" t="s">
        <v>74</v>
      </c>
      <c r="I113" s="2" t="s">
        <v>75</v>
      </c>
      <c r="J113" s="2" t="s">
        <v>97</v>
      </c>
      <c r="K113" s="2" t="s">
        <v>77</v>
      </c>
      <c r="L113" s="2" t="s">
        <v>74</v>
      </c>
      <c r="M113" s="2" t="s">
        <v>75</v>
      </c>
      <c r="N113" s="2" t="s">
        <v>396</v>
      </c>
      <c r="O113" s="2" t="s">
        <v>101</v>
      </c>
      <c r="P113" s="2" t="str">
        <f>"2170602525                    "</f>
        <v xml:space="preserve">2170602525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4.41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0.2</v>
      </c>
      <c r="BK113" s="2">
        <v>1</v>
      </c>
      <c r="BL113" s="2">
        <v>35.270000000000003</v>
      </c>
      <c r="BM113" s="2">
        <v>4.9400000000000004</v>
      </c>
      <c r="BN113" s="2">
        <v>40.21</v>
      </c>
      <c r="BO113" s="2">
        <v>40.21</v>
      </c>
      <c r="BQ113" s="2" t="s">
        <v>102</v>
      </c>
      <c r="BR113" s="2" t="s">
        <v>103</v>
      </c>
      <c r="BS113" s="3">
        <v>43074</v>
      </c>
      <c r="BT113" s="4">
        <v>0.39999999999999997</v>
      </c>
      <c r="BU113" s="2" t="s">
        <v>397</v>
      </c>
      <c r="BV113" s="2" t="s">
        <v>85</v>
      </c>
      <c r="BY113" s="2">
        <v>1200</v>
      </c>
      <c r="BZ113" s="2" t="s">
        <v>27</v>
      </c>
      <c r="CA113" s="2" t="s">
        <v>355</v>
      </c>
      <c r="CC113" s="2" t="s">
        <v>75</v>
      </c>
      <c r="CD113" s="2">
        <v>1600</v>
      </c>
      <c r="CE113" s="2" t="s">
        <v>120</v>
      </c>
      <c r="CF113" s="3">
        <v>43077</v>
      </c>
      <c r="CI113" s="2">
        <v>1</v>
      </c>
      <c r="CJ113" s="2">
        <v>1</v>
      </c>
      <c r="CK113" s="2">
        <v>22</v>
      </c>
      <c r="CL113" s="2" t="s">
        <v>89</v>
      </c>
    </row>
    <row r="114" spans="1:90">
      <c r="A114" s="2" t="s">
        <v>71</v>
      </c>
      <c r="B114" s="2" t="s">
        <v>72</v>
      </c>
      <c r="C114" s="2" t="s">
        <v>73</v>
      </c>
      <c r="E114" s="2" t="str">
        <f>"FES1162593698"</f>
        <v>FES1162593698</v>
      </c>
      <c r="F114" s="3">
        <v>43073</v>
      </c>
      <c r="G114" s="2">
        <v>201806</v>
      </c>
      <c r="H114" s="2" t="s">
        <v>74</v>
      </c>
      <c r="I114" s="2" t="s">
        <v>75</v>
      </c>
      <c r="J114" s="2" t="s">
        <v>97</v>
      </c>
      <c r="K114" s="2" t="s">
        <v>77</v>
      </c>
      <c r="L114" s="2" t="s">
        <v>162</v>
      </c>
      <c r="M114" s="2" t="s">
        <v>163</v>
      </c>
      <c r="N114" s="2" t="s">
        <v>398</v>
      </c>
      <c r="O114" s="2" t="s">
        <v>101</v>
      </c>
      <c r="P114" s="2" t="str">
        <f>"2170605379                    "</f>
        <v xml:space="preserve">2170605379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4.41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35.270000000000003</v>
      </c>
      <c r="BM114" s="2">
        <v>4.9400000000000004</v>
      </c>
      <c r="BN114" s="2">
        <v>40.21</v>
      </c>
      <c r="BO114" s="2">
        <v>40.21</v>
      </c>
      <c r="BQ114" s="2" t="s">
        <v>142</v>
      </c>
      <c r="BR114" s="2" t="s">
        <v>103</v>
      </c>
      <c r="BS114" s="3">
        <v>43074</v>
      </c>
      <c r="BT114" s="4">
        <v>0.41666666666666669</v>
      </c>
      <c r="BU114" s="2" t="s">
        <v>399</v>
      </c>
      <c r="BV114" s="2" t="s">
        <v>85</v>
      </c>
      <c r="BY114" s="2">
        <v>1200</v>
      </c>
      <c r="BZ114" s="2" t="s">
        <v>27</v>
      </c>
      <c r="CA114" s="2" t="s">
        <v>400</v>
      </c>
      <c r="CC114" s="2" t="s">
        <v>163</v>
      </c>
      <c r="CD114" s="2">
        <v>1449</v>
      </c>
      <c r="CE114" s="2" t="s">
        <v>383</v>
      </c>
      <c r="CF114" s="3">
        <v>43077</v>
      </c>
      <c r="CI114" s="2">
        <v>1</v>
      </c>
      <c r="CJ114" s="2">
        <v>1</v>
      </c>
      <c r="CK114" s="2">
        <v>22</v>
      </c>
      <c r="CL114" s="2" t="s">
        <v>89</v>
      </c>
    </row>
    <row r="115" spans="1:90">
      <c r="A115" s="2" t="s">
        <v>71</v>
      </c>
      <c r="B115" s="2" t="s">
        <v>72</v>
      </c>
      <c r="C115" s="2" t="s">
        <v>73</v>
      </c>
      <c r="E115" s="2" t="str">
        <f>"FES1162593676"</f>
        <v>FES1162593676</v>
      </c>
      <c r="F115" s="3">
        <v>43073</v>
      </c>
      <c r="G115" s="2">
        <v>201806</v>
      </c>
      <c r="H115" s="2" t="s">
        <v>74</v>
      </c>
      <c r="I115" s="2" t="s">
        <v>75</v>
      </c>
      <c r="J115" s="2" t="s">
        <v>97</v>
      </c>
      <c r="K115" s="2" t="s">
        <v>77</v>
      </c>
      <c r="L115" s="2" t="s">
        <v>401</v>
      </c>
      <c r="M115" s="2" t="s">
        <v>402</v>
      </c>
      <c r="N115" s="2" t="s">
        <v>403</v>
      </c>
      <c r="O115" s="2" t="s">
        <v>101</v>
      </c>
      <c r="P115" s="2" t="str">
        <f>"2170604475                    "</f>
        <v xml:space="preserve">2170604475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10.94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1</v>
      </c>
      <c r="BJ115" s="2">
        <v>0.2</v>
      </c>
      <c r="BK115" s="2">
        <v>1</v>
      </c>
      <c r="BL115" s="2">
        <v>87.47</v>
      </c>
      <c r="BM115" s="2">
        <v>12.25</v>
      </c>
      <c r="BN115" s="2">
        <v>99.72</v>
      </c>
      <c r="BO115" s="2">
        <v>99.72</v>
      </c>
      <c r="BR115" s="2" t="s">
        <v>103</v>
      </c>
      <c r="BS115" s="3">
        <v>43074</v>
      </c>
      <c r="BT115" s="4">
        <v>0.41666666666666669</v>
      </c>
      <c r="BU115" s="2" t="s">
        <v>404</v>
      </c>
      <c r="BV115" s="2" t="s">
        <v>85</v>
      </c>
      <c r="BY115" s="2">
        <v>1200</v>
      </c>
      <c r="BZ115" s="2" t="s">
        <v>27</v>
      </c>
      <c r="CC115" s="2" t="s">
        <v>402</v>
      </c>
      <c r="CD115" s="2">
        <v>9499</v>
      </c>
      <c r="CE115" s="2" t="s">
        <v>383</v>
      </c>
      <c r="CF115" s="3">
        <v>43077</v>
      </c>
      <c r="CI115" s="2">
        <v>1</v>
      </c>
      <c r="CJ115" s="2">
        <v>1</v>
      </c>
      <c r="CK115" s="2">
        <v>23</v>
      </c>
      <c r="CL115" s="2" t="s">
        <v>89</v>
      </c>
    </row>
    <row r="116" spans="1:90">
      <c r="A116" s="2" t="s">
        <v>71</v>
      </c>
      <c r="B116" s="2" t="s">
        <v>72</v>
      </c>
      <c r="C116" s="2" t="s">
        <v>73</v>
      </c>
      <c r="E116" s="2" t="str">
        <f>"FES1162593574"</f>
        <v>FES1162593574</v>
      </c>
      <c r="F116" s="3">
        <v>43073</v>
      </c>
      <c r="G116" s="2">
        <v>201806</v>
      </c>
      <c r="H116" s="2" t="s">
        <v>74</v>
      </c>
      <c r="I116" s="2" t="s">
        <v>75</v>
      </c>
      <c r="J116" s="2" t="s">
        <v>97</v>
      </c>
      <c r="K116" s="2" t="s">
        <v>77</v>
      </c>
      <c r="L116" s="2" t="s">
        <v>277</v>
      </c>
      <c r="M116" s="2" t="s">
        <v>278</v>
      </c>
      <c r="N116" s="2" t="s">
        <v>405</v>
      </c>
      <c r="O116" s="2" t="s">
        <v>101</v>
      </c>
      <c r="P116" s="2" t="str">
        <f>"21706205593                   "</f>
        <v xml:space="preserve">21706205593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4.41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1</v>
      </c>
      <c r="BJ116" s="2">
        <v>0.2</v>
      </c>
      <c r="BK116" s="2">
        <v>1</v>
      </c>
      <c r="BL116" s="2">
        <v>35.270000000000003</v>
      </c>
      <c r="BM116" s="2">
        <v>4.9400000000000004</v>
      </c>
      <c r="BN116" s="2">
        <v>40.21</v>
      </c>
      <c r="BO116" s="2">
        <v>40.21</v>
      </c>
      <c r="BQ116" s="2" t="s">
        <v>406</v>
      </c>
      <c r="BR116" s="2" t="s">
        <v>103</v>
      </c>
      <c r="BS116" s="3">
        <v>43074</v>
      </c>
      <c r="BT116" s="4">
        <v>0.4152777777777778</v>
      </c>
      <c r="BU116" s="2" t="s">
        <v>407</v>
      </c>
      <c r="BV116" s="2" t="s">
        <v>85</v>
      </c>
      <c r="BY116" s="2">
        <v>1200</v>
      </c>
      <c r="BZ116" s="2" t="s">
        <v>27</v>
      </c>
      <c r="CA116" s="2" t="s">
        <v>408</v>
      </c>
      <c r="CC116" s="2" t="s">
        <v>278</v>
      </c>
      <c r="CD116" s="2">
        <v>2170</v>
      </c>
      <c r="CE116" s="2" t="s">
        <v>120</v>
      </c>
      <c r="CF116" s="3">
        <v>43077</v>
      </c>
      <c r="CI116" s="2">
        <v>1</v>
      </c>
      <c r="CJ116" s="2">
        <v>1</v>
      </c>
      <c r="CK116" s="2">
        <v>22</v>
      </c>
      <c r="CL116" s="2" t="s">
        <v>89</v>
      </c>
    </row>
    <row r="117" spans="1:90">
      <c r="A117" s="2" t="s">
        <v>71</v>
      </c>
      <c r="B117" s="2" t="s">
        <v>72</v>
      </c>
      <c r="C117" s="2" t="s">
        <v>73</v>
      </c>
      <c r="E117" s="2" t="str">
        <f>"FES1162593581"</f>
        <v>FES1162593581</v>
      </c>
      <c r="F117" s="3">
        <v>43073</v>
      </c>
      <c r="G117" s="2">
        <v>201806</v>
      </c>
      <c r="H117" s="2" t="s">
        <v>74</v>
      </c>
      <c r="I117" s="2" t="s">
        <v>75</v>
      </c>
      <c r="J117" s="2" t="s">
        <v>97</v>
      </c>
      <c r="K117" s="2" t="s">
        <v>77</v>
      </c>
      <c r="L117" s="2" t="s">
        <v>173</v>
      </c>
      <c r="M117" s="2" t="s">
        <v>174</v>
      </c>
      <c r="N117" s="2" t="s">
        <v>393</v>
      </c>
      <c r="O117" s="2" t="s">
        <v>101</v>
      </c>
      <c r="P117" s="2" t="str">
        <f>"2170605584                    "</f>
        <v xml:space="preserve">2170605584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5.65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45.15</v>
      </c>
      <c r="BM117" s="2">
        <v>6.32</v>
      </c>
      <c r="BN117" s="2">
        <v>51.47</v>
      </c>
      <c r="BO117" s="2">
        <v>51.47</v>
      </c>
      <c r="BQ117" s="2" t="s">
        <v>102</v>
      </c>
      <c r="BR117" s="2" t="s">
        <v>103</v>
      </c>
      <c r="BS117" s="3">
        <v>43074</v>
      </c>
      <c r="BT117" s="4">
        <v>0.44305555555555554</v>
      </c>
      <c r="BU117" s="2" t="s">
        <v>394</v>
      </c>
      <c r="BV117" s="2" t="s">
        <v>85</v>
      </c>
      <c r="BY117" s="2">
        <v>1200</v>
      </c>
      <c r="BZ117" s="2" t="s">
        <v>27</v>
      </c>
      <c r="CA117" s="2" t="s">
        <v>395</v>
      </c>
      <c r="CC117" s="2" t="s">
        <v>174</v>
      </c>
      <c r="CD117" s="2">
        <v>7441</v>
      </c>
      <c r="CE117" s="2" t="s">
        <v>383</v>
      </c>
      <c r="CF117" s="3">
        <v>43074</v>
      </c>
      <c r="CI117" s="2">
        <v>1</v>
      </c>
      <c r="CJ117" s="2">
        <v>1</v>
      </c>
      <c r="CK117" s="2">
        <v>21</v>
      </c>
      <c r="CL117" s="2" t="s">
        <v>89</v>
      </c>
    </row>
    <row r="118" spans="1:90">
      <c r="A118" s="2" t="s">
        <v>71</v>
      </c>
      <c r="B118" s="2" t="s">
        <v>72</v>
      </c>
      <c r="C118" s="2" t="s">
        <v>73</v>
      </c>
      <c r="E118" s="2" t="str">
        <f>"FES1162593652"</f>
        <v>FES1162593652</v>
      </c>
      <c r="F118" s="3">
        <v>43073</v>
      </c>
      <c r="G118" s="2">
        <v>201806</v>
      </c>
      <c r="H118" s="2" t="s">
        <v>74</v>
      </c>
      <c r="I118" s="2" t="s">
        <v>75</v>
      </c>
      <c r="J118" s="2" t="s">
        <v>97</v>
      </c>
      <c r="K118" s="2" t="s">
        <v>77</v>
      </c>
      <c r="L118" s="2" t="s">
        <v>173</v>
      </c>
      <c r="M118" s="2" t="s">
        <v>174</v>
      </c>
      <c r="N118" s="2" t="s">
        <v>409</v>
      </c>
      <c r="O118" s="2" t="s">
        <v>101</v>
      </c>
      <c r="P118" s="2" t="str">
        <f>"2170605765                    "</f>
        <v xml:space="preserve">2170605765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5.65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1</v>
      </c>
      <c r="BJ118" s="2">
        <v>2</v>
      </c>
      <c r="BK118" s="2">
        <v>2</v>
      </c>
      <c r="BL118" s="2">
        <v>45.15</v>
      </c>
      <c r="BM118" s="2">
        <v>6.32</v>
      </c>
      <c r="BN118" s="2">
        <v>51.47</v>
      </c>
      <c r="BO118" s="2">
        <v>51.47</v>
      </c>
      <c r="BR118" s="2" t="s">
        <v>103</v>
      </c>
      <c r="BS118" s="3">
        <v>43075</v>
      </c>
      <c r="BT118" s="4">
        <v>0.58333333333333337</v>
      </c>
      <c r="BU118" s="2" t="s">
        <v>410</v>
      </c>
      <c r="BV118" s="2" t="s">
        <v>89</v>
      </c>
      <c r="BW118" s="2" t="s">
        <v>156</v>
      </c>
      <c r="BX118" s="2" t="s">
        <v>411</v>
      </c>
      <c r="BY118" s="2">
        <v>10228.76</v>
      </c>
      <c r="BZ118" s="2" t="s">
        <v>27</v>
      </c>
      <c r="CA118" s="2" t="s">
        <v>412</v>
      </c>
      <c r="CC118" s="2" t="s">
        <v>174</v>
      </c>
      <c r="CD118" s="2">
        <v>7800</v>
      </c>
      <c r="CE118" s="2" t="s">
        <v>383</v>
      </c>
      <c r="CF118" s="3">
        <v>43075</v>
      </c>
      <c r="CI118" s="2">
        <v>1</v>
      </c>
      <c r="CJ118" s="2">
        <v>2</v>
      </c>
      <c r="CK118" s="2">
        <v>21</v>
      </c>
      <c r="CL118" s="2" t="s">
        <v>89</v>
      </c>
    </row>
    <row r="119" spans="1:90">
      <c r="A119" s="2" t="s">
        <v>71</v>
      </c>
      <c r="B119" s="2" t="s">
        <v>72</v>
      </c>
      <c r="C119" s="2" t="s">
        <v>73</v>
      </c>
      <c r="E119" s="2" t="str">
        <f>"FES1162593627"</f>
        <v>FES1162593627</v>
      </c>
      <c r="F119" s="3">
        <v>43073</v>
      </c>
      <c r="G119" s="2">
        <v>201806</v>
      </c>
      <c r="H119" s="2" t="s">
        <v>74</v>
      </c>
      <c r="I119" s="2" t="s">
        <v>75</v>
      </c>
      <c r="J119" s="2" t="s">
        <v>97</v>
      </c>
      <c r="K119" s="2" t="s">
        <v>77</v>
      </c>
      <c r="L119" s="2" t="s">
        <v>173</v>
      </c>
      <c r="M119" s="2" t="s">
        <v>174</v>
      </c>
      <c r="N119" s="2" t="s">
        <v>393</v>
      </c>
      <c r="O119" s="2" t="s">
        <v>101</v>
      </c>
      <c r="P119" s="2" t="str">
        <f>"21706057673                   "</f>
        <v xml:space="preserve">21706057673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5.65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</v>
      </c>
      <c r="BJ119" s="2">
        <v>0.2</v>
      </c>
      <c r="BK119" s="2">
        <v>1</v>
      </c>
      <c r="BL119" s="2">
        <v>45.15</v>
      </c>
      <c r="BM119" s="2">
        <v>6.32</v>
      </c>
      <c r="BN119" s="2">
        <v>51.47</v>
      </c>
      <c r="BO119" s="2">
        <v>51.47</v>
      </c>
      <c r="BQ119" s="2" t="s">
        <v>102</v>
      </c>
      <c r="BR119" s="2" t="s">
        <v>103</v>
      </c>
      <c r="BS119" s="3">
        <v>43074</v>
      </c>
      <c r="BT119" s="4">
        <v>0.44305555555555554</v>
      </c>
      <c r="BU119" s="2" t="s">
        <v>394</v>
      </c>
      <c r="BV119" s="2" t="s">
        <v>85</v>
      </c>
      <c r="BY119" s="2">
        <v>1200</v>
      </c>
      <c r="BZ119" s="2" t="s">
        <v>27</v>
      </c>
      <c r="CA119" s="2">
        <v>80001818577</v>
      </c>
      <c r="CC119" s="2" t="s">
        <v>174</v>
      </c>
      <c r="CD119" s="2">
        <v>7441</v>
      </c>
      <c r="CE119" s="2" t="s">
        <v>383</v>
      </c>
      <c r="CF119" s="3">
        <v>43074</v>
      </c>
      <c r="CI119" s="2">
        <v>1</v>
      </c>
      <c r="CJ119" s="2">
        <v>1</v>
      </c>
      <c r="CK119" s="2">
        <v>21</v>
      </c>
      <c r="CL119" s="2" t="s">
        <v>89</v>
      </c>
    </row>
    <row r="120" spans="1:90">
      <c r="A120" s="2" t="s">
        <v>71</v>
      </c>
      <c r="B120" s="2" t="s">
        <v>72</v>
      </c>
      <c r="C120" s="2" t="s">
        <v>73</v>
      </c>
      <c r="E120" s="2" t="str">
        <f>"FES1162593488"</f>
        <v>FES1162593488</v>
      </c>
      <c r="F120" s="3">
        <v>43073</v>
      </c>
      <c r="G120" s="2">
        <v>201806</v>
      </c>
      <c r="H120" s="2" t="s">
        <v>74</v>
      </c>
      <c r="I120" s="2" t="s">
        <v>75</v>
      </c>
      <c r="J120" s="2" t="s">
        <v>97</v>
      </c>
      <c r="K120" s="2" t="s">
        <v>77</v>
      </c>
      <c r="L120" s="2" t="s">
        <v>325</v>
      </c>
      <c r="M120" s="2" t="s">
        <v>326</v>
      </c>
      <c r="N120" s="2" t="s">
        <v>413</v>
      </c>
      <c r="O120" s="2" t="s">
        <v>101</v>
      </c>
      <c r="P120" s="2" t="str">
        <f>"2170605074                    "</f>
        <v xml:space="preserve">2170605074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5.65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1</v>
      </c>
      <c r="BJ120" s="2">
        <v>0.2</v>
      </c>
      <c r="BK120" s="2">
        <v>1</v>
      </c>
      <c r="BL120" s="2">
        <v>45.15</v>
      </c>
      <c r="BM120" s="2">
        <v>6.32</v>
      </c>
      <c r="BN120" s="2">
        <v>51.47</v>
      </c>
      <c r="BO120" s="2">
        <v>51.47</v>
      </c>
      <c r="BQ120" s="2" t="s">
        <v>102</v>
      </c>
      <c r="BR120" s="2" t="s">
        <v>103</v>
      </c>
      <c r="BS120" s="3">
        <v>43075</v>
      </c>
      <c r="BT120" s="4">
        <v>0.53333333333333333</v>
      </c>
      <c r="BU120" s="2" t="s">
        <v>414</v>
      </c>
      <c r="BV120" s="2" t="s">
        <v>89</v>
      </c>
      <c r="BY120" s="2">
        <v>1200</v>
      </c>
      <c r="BZ120" s="2" t="s">
        <v>27</v>
      </c>
      <c r="CA120" s="2" t="s">
        <v>329</v>
      </c>
      <c r="CC120" s="2" t="s">
        <v>326</v>
      </c>
      <c r="CD120" s="2">
        <v>1939</v>
      </c>
      <c r="CE120" s="2" t="s">
        <v>383</v>
      </c>
      <c r="CF120" s="3">
        <v>43077</v>
      </c>
      <c r="CI120" s="2">
        <v>1</v>
      </c>
      <c r="CJ120" s="2">
        <v>2</v>
      </c>
      <c r="CK120" s="2">
        <v>21</v>
      </c>
      <c r="CL120" s="2" t="s">
        <v>89</v>
      </c>
    </row>
    <row r="121" spans="1:90">
      <c r="A121" s="2" t="s">
        <v>71</v>
      </c>
      <c r="B121" s="2" t="s">
        <v>72</v>
      </c>
      <c r="C121" s="2" t="s">
        <v>73</v>
      </c>
      <c r="E121" s="2" t="str">
        <f>"FES1162593549"</f>
        <v>FES1162593549</v>
      </c>
      <c r="F121" s="3">
        <v>43073</v>
      </c>
      <c r="G121" s="2">
        <v>201806</v>
      </c>
      <c r="H121" s="2" t="s">
        <v>74</v>
      </c>
      <c r="I121" s="2" t="s">
        <v>75</v>
      </c>
      <c r="J121" s="2" t="s">
        <v>97</v>
      </c>
      <c r="K121" s="2" t="s">
        <v>77</v>
      </c>
      <c r="L121" s="2" t="s">
        <v>415</v>
      </c>
      <c r="M121" s="2" t="s">
        <v>416</v>
      </c>
      <c r="N121" s="2" t="s">
        <v>417</v>
      </c>
      <c r="O121" s="2" t="s">
        <v>101</v>
      </c>
      <c r="P121" s="2" t="str">
        <f>"2170606563                    "</f>
        <v xml:space="preserve">2170606563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11.29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2</v>
      </c>
      <c r="BJ121" s="2">
        <v>3.7</v>
      </c>
      <c r="BK121" s="2">
        <v>4</v>
      </c>
      <c r="BL121" s="2">
        <v>90.27</v>
      </c>
      <c r="BM121" s="2">
        <v>12.64</v>
      </c>
      <c r="BN121" s="2">
        <v>102.91</v>
      </c>
      <c r="BO121" s="2">
        <v>102.91</v>
      </c>
      <c r="BQ121" s="2" t="s">
        <v>102</v>
      </c>
      <c r="BR121" s="2" t="s">
        <v>103</v>
      </c>
      <c r="BS121" s="3">
        <v>43075</v>
      </c>
      <c r="BT121" s="4">
        <v>0.41666666666666669</v>
      </c>
      <c r="BU121" s="2" t="s">
        <v>418</v>
      </c>
      <c r="BV121" s="2" t="s">
        <v>85</v>
      </c>
      <c r="BY121" s="2">
        <v>18648</v>
      </c>
      <c r="BZ121" s="2" t="s">
        <v>27</v>
      </c>
      <c r="CA121" s="2" t="s">
        <v>293</v>
      </c>
      <c r="CC121" s="2" t="s">
        <v>416</v>
      </c>
      <c r="CD121" s="2">
        <v>6715</v>
      </c>
      <c r="CE121" s="2" t="s">
        <v>282</v>
      </c>
      <c r="CF121" s="3">
        <v>43076</v>
      </c>
      <c r="CI121" s="2">
        <v>3</v>
      </c>
      <c r="CJ121" s="2">
        <v>2</v>
      </c>
      <c r="CK121" s="2">
        <v>21</v>
      </c>
      <c r="CL121" s="2" t="s">
        <v>89</v>
      </c>
    </row>
    <row r="122" spans="1:90">
      <c r="A122" s="2" t="s">
        <v>71</v>
      </c>
      <c r="B122" s="2" t="s">
        <v>72</v>
      </c>
      <c r="C122" s="2" t="s">
        <v>73</v>
      </c>
      <c r="E122" s="2" t="str">
        <f>"FES1162593712"</f>
        <v>FES1162593712</v>
      </c>
      <c r="F122" s="3">
        <v>43073</v>
      </c>
      <c r="G122" s="2">
        <v>201806</v>
      </c>
      <c r="H122" s="2" t="s">
        <v>74</v>
      </c>
      <c r="I122" s="2" t="s">
        <v>75</v>
      </c>
      <c r="J122" s="2" t="s">
        <v>97</v>
      </c>
      <c r="K122" s="2" t="s">
        <v>77</v>
      </c>
      <c r="L122" s="2" t="s">
        <v>173</v>
      </c>
      <c r="M122" s="2" t="s">
        <v>174</v>
      </c>
      <c r="N122" s="2" t="s">
        <v>419</v>
      </c>
      <c r="O122" s="2" t="s">
        <v>101</v>
      </c>
      <c r="P122" s="2" t="str">
        <f>"2170605786                    "</f>
        <v xml:space="preserve">2170605786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9.8800000000000008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2.2999999999999998</v>
      </c>
      <c r="BJ122" s="2">
        <v>3.4</v>
      </c>
      <c r="BK122" s="2">
        <v>3.5</v>
      </c>
      <c r="BL122" s="2">
        <v>78.989999999999995</v>
      </c>
      <c r="BM122" s="2">
        <v>11.06</v>
      </c>
      <c r="BN122" s="2">
        <v>90.05</v>
      </c>
      <c r="BO122" s="2">
        <v>90.05</v>
      </c>
      <c r="BQ122" s="2" t="s">
        <v>102</v>
      </c>
      <c r="BR122" s="2" t="s">
        <v>103</v>
      </c>
      <c r="BS122" s="3">
        <v>43074</v>
      </c>
      <c r="BT122" s="4">
        <v>0.41666666666666669</v>
      </c>
      <c r="BU122" s="2" t="s">
        <v>420</v>
      </c>
      <c r="BV122" s="2" t="s">
        <v>85</v>
      </c>
      <c r="BY122" s="2">
        <v>16949.650000000001</v>
      </c>
      <c r="BZ122" s="2" t="s">
        <v>27</v>
      </c>
      <c r="CA122" s="2" t="s">
        <v>421</v>
      </c>
      <c r="CC122" s="2" t="s">
        <v>174</v>
      </c>
      <c r="CD122" s="2">
        <v>7945</v>
      </c>
      <c r="CE122" s="2" t="s">
        <v>288</v>
      </c>
      <c r="CF122" s="3">
        <v>43074</v>
      </c>
      <c r="CI122" s="2">
        <v>1</v>
      </c>
      <c r="CJ122" s="2">
        <v>1</v>
      </c>
      <c r="CK122" s="2">
        <v>21</v>
      </c>
      <c r="CL122" s="2" t="s">
        <v>89</v>
      </c>
    </row>
    <row r="123" spans="1:90">
      <c r="A123" s="2" t="s">
        <v>71</v>
      </c>
      <c r="B123" s="2" t="s">
        <v>72</v>
      </c>
      <c r="C123" s="2" t="s">
        <v>73</v>
      </c>
      <c r="E123" s="2" t="str">
        <f>"FES1162593719"</f>
        <v>FES1162593719</v>
      </c>
      <c r="F123" s="3">
        <v>43073</v>
      </c>
      <c r="G123" s="2">
        <v>201806</v>
      </c>
      <c r="H123" s="2" t="s">
        <v>74</v>
      </c>
      <c r="I123" s="2" t="s">
        <v>75</v>
      </c>
      <c r="J123" s="2" t="s">
        <v>97</v>
      </c>
      <c r="K123" s="2" t="s">
        <v>77</v>
      </c>
      <c r="L123" s="2" t="s">
        <v>422</v>
      </c>
      <c r="M123" s="2" t="s">
        <v>423</v>
      </c>
      <c r="N123" s="2" t="s">
        <v>424</v>
      </c>
      <c r="O123" s="2" t="s">
        <v>101</v>
      </c>
      <c r="P123" s="2" t="str">
        <f>"2170605793                    "</f>
        <v xml:space="preserve">2170605793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4.41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35.270000000000003</v>
      </c>
      <c r="BM123" s="2">
        <v>4.9400000000000004</v>
      </c>
      <c r="BN123" s="2">
        <v>40.21</v>
      </c>
      <c r="BO123" s="2">
        <v>40.21</v>
      </c>
      <c r="BQ123" s="2" t="s">
        <v>102</v>
      </c>
      <c r="BR123" s="2" t="s">
        <v>103</v>
      </c>
      <c r="BS123" s="3">
        <v>43074</v>
      </c>
      <c r="BT123" s="4">
        <v>0.39583333333333331</v>
      </c>
      <c r="BU123" s="2" t="s">
        <v>425</v>
      </c>
      <c r="BV123" s="2" t="s">
        <v>85</v>
      </c>
      <c r="BY123" s="2">
        <v>1200</v>
      </c>
      <c r="BZ123" s="2" t="s">
        <v>27</v>
      </c>
      <c r="CA123" s="2" t="s">
        <v>426</v>
      </c>
      <c r="CC123" s="2" t="s">
        <v>423</v>
      </c>
      <c r="CD123" s="2">
        <v>1540</v>
      </c>
      <c r="CE123" s="2" t="s">
        <v>120</v>
      </c>
      <c r="CF123" s="3">
        <v>43077</v>
      </c>
      <c r="CI123" s="2">
        <v>1</v>
      </c>
      <c r="CJ123" s="2">
        <v>1</v>
      </c>
      <c r="CK123" s="2">
        <v>22</v>
      </c>
      <c r="CL123" s="2" t="s">
        <v>89</v>
      </c>
    </row>
    <row r="124" spans="1:90">
      <c r="A124" s="2" t="s">
        <v>71</v>
      </c>
      <c r="B124" s="2" t="s">
        <v>72</v>
      </c>
      <c r="C124" s="2" t="s">
        <v>73</v>
      </c>
      <c r="E124" s="2" t="str">
        <f>"FES1162593755"</f>
        <v>FES1162593755</v>
      </c>
      <c r="F124" s="3">
        <v>43073</v>
      </c>
      <c r="G124" s="2">
        <v>201806</v>
      </c>
      <c r="H124" s="2" t="s">
        <v>74</v>
      </c>
      <c r="I124" s="2" t="s">
        <v>75</v>
      </c>
      <c r="J124" s="2" t="s">
        <v>97</v>
      </c>
      <c r="K124" s="2" t="s">
        <v>77</v>
      </c>
      <c r="L124" s="2" t="s">
        <v>173</v>
      </c>
      <c r="M124" s="2" t="s">
        <v>174</v>
      </c>
      <c r="N124" s="2" t="s">
        <v>381</v>
      </c>
      <c r="O124" s="2" t="s">
        <v>101</v>
      </c>
      <c r="P124" s="2" t="str">
        <f>"2170605847                    "</f>
        <v xml:space="preserve">2170605847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5.65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</v>
      </c>
      <c r="BJ124" s="2">
        <v>1.4</v>
      </c>
      <c r="BK124" s="2">
        <v>1.5</v>
      </c>
      <c r="BL124" s="2">
        <v>45.15</v>
      </c>
      <c r="BM124" s="2">
        <v>6.32</v>
      </c>
      <c r="BN124" s="2">
        <v>51.47</v>
      </c>
      <c r="BO124" s="2">
        <v>51.47</v>
      </c>
      <c r="BQ124" s="2" t="s">
        <v>102</v>
      </c>
      <c r="BR124" s="2" t="s">
        <v>103</v>
      </c>
      <c r="BS124" s="3">
        <v>43074</v>
      </c>
      <c r="BT124" s="4">
        <v>0.44305555555555554</v>
      </c>
      <c r="BU124" s="2" t="s">
        <v>176</v>
      </c>
      <c r="BV124" s="2" t="s">
        <v>85</v>
      </c>
      <c r="BY124" s="2">
        <v>7082.88</v>
      </c>
      <c r="BZ124" s="2" t="s">
        <v>27</v>
      </c>
      <c r="CA124" s="2" t="s">
        <v>177</v>
      </c>
      <c r="CC124" s="2" t="s">
        <v>174</v>
      </c>
      <c r="CD124" s="2">
        <v>7405</v>
      </c>
      <c r="CE124" s="2" t="s">
        <v>288</v>
      </c>
      <c r="CF124" s="3">
        <v>43075</v>
      </c>
      <c r="CI124" s="2">
        <v>1</v>
      </c>
      <c r="CJ124" s="2">
        <v>1</v>
      </c>
      <c r="CK124" s="2">
        <v>21</v>
      </c>
      <c r="CL124" s="2" t="s">
        <v>89</v>
      </c>
    </row>
    <row r="125" spans="1:90">
      <c r="A125" s="2" t="s">
        <v>71</v>
      </c>
      <c r="B125" s="2" t="s">
        <v>72</v>
      </c>
      <c r="C125" s="2" t="s">
        <v>73</v>
      </c>
      <c r="E125" s="2" t="str">
        <f>"FES1162593628"</f>
        <v>FES1162593628</v>
      </c>
      <c r="F125" s="3">
        <v>43073</v>
      </c>
      <c r="G125" s="2">
        <v>201806</v>
      </c>
      <c r="H125" s="2" t="s">
        <v>74</v>
      </c>
      <c r="I125" s="2" t="s">
        <v>75</v>
      </c>
      <c r="J125" s="2" t="s">
        <v>97</v>
      </c>
      <c r="K125" s="2" t="s">
        <v>77</v>
      </c>
      <c r="L125" s="2" t="s">
        <v>106</v>
      </c>
      <c r="M125" s="2" t="s">
        <v>107</v>
      </c>
      <c r="N125" s="2" t="s">
        <v>427</v>
      </c>
      <c r="O125" s="2" t="s">
        <v>101</v>
      </c>
      <c r="P125" s="2" t="str">
        <f>"2170605741                    "</f>
        <v xml:space="preserve">2170605741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4.41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2.4</v>
      </c>
      <c r="BJ125" s="2">
        <v>1.4</v>
      </c>
      <c r="BK125" s="2">
        <v>3</v>
      </c>
      <c r="BL125" s="2">
        <v>35.270000000000003</v>
      </c>
      <c r="BM125" s="2">
        <v>4.9400000000000004</v>
      </c>
      <c r="BN125" s="2">
        <v>40.21</v>
      </c>
      <c r="BO125" s="2">
        <v>40.21</v>
      </c>
      <c r="BQ125" s="2" t="s">
        <v>102</v>
      </c>
      <c r="BR125" s="2" t="s">
        <v>103</v>
      </c>
      <c r="BS125" s="3">
        <v>43074</v>
      </c>
      <c r="BT125" s="4">
        <v>0.4375</v>
      </c>
      <c r="BU125" s="2" t="s">
        <v>428</v>
      </c>
      <c r="BV125" s="2" t="s">
        <v>85</v>
      </c>
      <c r="BY125" s="2">
        <v>6916</v>
      </c>
      <c r="BZ125" s="2" t="s">
        <v>27</v>
      </c>
      <c r="CA125" s="2" t="s">
        <v>429</v>
      </c>
      <c r="CC125" s="2" t="s">
        <v>107</v>
      </c>
      <c r="CD125" s="2">
        <v>2091</v>
      </c>
      <c r="CE125" s="2" t="s">
        <v>95</v>
      </c>
      <c r="CF125" s="3">
        <v>43077</v>
      </c>
      <c r="CI125" s="2">
        <v>1</v>
      </c>
      <c r="CJ125" s="2">
        <v>1</v>
      </c>
      <c r="CK125" s="2">
        <v>22</v>
      </c>
      <c r="CL125" s="2" t="s">
        <v>89</v>
      </c>
    </row>
    <row r="126" spans="1:90">
      <c r="A126" s="2" t="s">
        <v>71</v>
      </c>
      <c r="B126" s="2" t="s">
        <v>72</v>
      </c>
      <c r="C126" s="2" t="s">
        <v>73</v>
      </c>
      <c r="E126" s="2" t="str">
        <f>"FES1162593571"</f>
        <v>FES1162593571</v>
      </c>
      <c r="F126" s="3">
        <v>43073</v>
      </c>
      <c r="G126" s="2">
        <v>201806</v>
      </c>
      <c r="H126" s="2" t="s">
        <v>74</v>
      </c>
      <c r="I126" s="2" t="s">
        <v>75</v>
      </c>
      <c r="J126" s="2" t="s">
        <v>97</v>
      </c>
      <c r="K126" s="2" t="s">
        <v>77</v>
      </c>
      <c r="L126" s="2" t="s">
        <v>106</v>
      </c>
      <c r="M126" s="2" t="s">
        <v>107</v>
      </c>
      <c r="N126" s="2" t="s">
        <v>430</v>
      </c>
      <c r="O126" s="2" t="s">
        <v>101</v>
      </c>
      <c r="P126" s="2" t="str">
        <f>"2170605680                    "</f>
        <v xml:space="preserve">2170605680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4.41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4.4000000000000004</v>
      </c>
      <c r="BJ126" s="2">
        <v>5.7</v>
      </c>
      <c r="BK126" s="2">
        <v>6</v>
      </c>
      <c r="BL126" s="2">
        <v>35.270000000000003</v>
      </c>
      <c r="BM126" s="2">
        <v>4.9400000000000004</v>
      </c>
      <c r="BN126" s="2">
        <v>40.21</v>
      </c>
      <c r="BO126" s="2">
        <v>40.21</v>
      </c>
      <c r="BQ126" s="2" t="s">
        <v>431</v>
      </c>
      <c r="BR126" s="2" t="s">
        <v>103</v>
      </c>
      <c r="BS126" s="3">
        <v>43074</v>
      </c>
      <c r="BT126" s="4">
        <v>0.3888888888888889</v>
      </c>
      <c r="BU126" s="2" t="s">
        <v>432</v>
      </c>
      <c r="BV126" s="2" t="s">
        <v>85</v>
      </c>
      <c r="BY126" s="2">
        <v>28396.799999999999</v>
      </c>
      <c r="BZ126" s="2" t="s">
        <v>27</v>
      </c>
      <c r="CA126" s="2" t="s">
        <v>408</v>
      </c>
      <c r="CC126" s="2" t="s">
        <v>107</v>
      </c>
      <c r="CD126" s="2">
        <v>2040</v>
      </c>
      <c r="CE126" s="2" t="s">
        <v>87</v>
      </c>
      <c r="CF126" s="3">
        <v>43077</v>
      </c>
      <c r="CI126" s="2">
        <v>1</v>
      </c>
      <c r="CJ126" s="2">
        <v>1</v>
      </c>
      <c r="CK126" s="2">
        <v>22</v>
      </c>
      <c r="CL126" s="2" t="s">
        <v>89</v>
      </c>
    </row>
    <row r="127" spans="1:90">
      <c r="A127" s="2" t="s">
        <v>71</v>
      </c>
      <c r="B127" s="2" t="s">
        <v>72</v>
      </c>
      <c r="C127" s="2" t="s">
        <v>73</v>
      </c>
      <c r="E127" s="2" t="str">
        <f>"FES1162593722"</f>
        <v>FES1162593722</v>
      </c>
      <c r="F127" s="3">
        <v>43073</v>
      </c>
      <c r="G127" s="2">
        <v>201806</v>
      </c>
      <c r="H127" s="2" t="s">
        <v>74</v>
      </c>
      <c r="I127" s="2" t="s">
        <v>75</v>
      </c>
      <c r="J127" s="2" t="s">
        <v>97</v>
      </c>
      <c r="K127" s="2" t="s">
        <v>77</v>
      </c>
      <c r="L127" s="2" t="s">
        <v>173</v>
      </c>
      <c r="M127" s="2" t="s">
        <v>174</v>
      </c>
      <c r="N127" s="2" t="s">
        <v>433</v>
      </c>
      <c r="O127" s="2" t="s">
        <v>101</v>
      </c>
      <c r="P127" s="2" t="str">
        <f>"2170605487                    "</f>
        <v xml:space="preserve">2170605487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32.47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11.4</v>
      </c>
      <c r="BJ127" s="2">
        <v>3.7</v>
      </c>
      <c r="BK127" s="2">
        <v>11.5</v>
      </c>
      <c r="BL127" s="2">
        <v>259.5</v>
      </c>
      <c r="BM127" s="2">
        <v>36.33</v>
      </c>
      <c r="BN127" s="2">
        <v>295.83</v>
      </c>
      <c r="BO127" s="2">
        <v>295.83</v>
      </c>
      <c r="BQ127" s="2" t="s">
        <v>102</v>
      </c>
      <c r="BR127" s="2" t="s">
        <v>103</v>
      </c>
      <c r="BS127" s="3">
        <v>43074</v>
      </c>
      <c r="BT127" s="4">
        <v>0.69374999999999998</v>
      </c>
      <c r="BU127" s="2" t="s">
        <v>434</v>
      </c>
      <c r="BV127" s="2" t="s">
        <v>89</v>
      </c>
      <c r="BW127" s="2" t="s">
        <v>313</v>
      </c>
      <c r="BX127" s="2" t="s">
        <v>246</v>
      </c>
      <c r="BY127" s="2">
        <v>18463.95</v>
      </c>
      <c r="BZ127" s="2" t="s">
        <v>27</v>
      </c>
      <c r="CA127" s="2" t="s">
        <v>177</v>
      </c>
      <c r="CC127" s="2" t="s">
        <v>174</v>
      </c>
      <c r="CD127" s="2">
        <v>7441</v>
      </c>
      <c r="CE127" s="2" t="s">
        <v>282</v>
      </c>
      <c r="CF127" s="3">
        <v>43075</v>
      </c>
      <c r="CI127" s="2">
        <v>1</v>
      </c>
      <c r="CJ127" s="2">
        <v>1</v>
      </c>
      <c r="CK127" s="2">
        <v>21</v>
      </c>
      <c r="CL127" s="2" t="s">
        <v>89</v>
      </c>
    </row>
    <row r="128" spans="1:90">
      <c r="A128" s="2" t="s">
        <v>71</v>
      </c>
      <c r="B128" s="2" t="s">
        <v>72</v>
      </c>
      <c r="C128" s="2" t="s">
        <v>73</v>
      </c>
      <c r="E128" s="2" t="str">
        <f>"FES1162593491"</f>
        <v>FES1162593491</v>
      </c>
      <c r="F128" s="3">
        <v>43073</v>
      </c>
      <c r="G128" s="2">
        <v>201806</v>
      </c>
      <c r="H128" s="2" t="s">
        <v>74</v>
      </c>
      <c r="I128" s="2" t="s">
        <v>75</v>
      </c>
      <c r="J128" s="2" t="s">
        <v>97</v>
      </c>
      <c r="K128" s="2" t="s">
        <v>77</v>
      </c>
      <c r="L128" s="2" t="s">
        <v>152</v>
      </c>
      <c r="M128" s="2" t="s">
        <v>153</v>
      </c>
      <c r="N128" s="2" t="s">
        <v>435</v>
      </c>
      <c r="O128" s="2" t="s">
        <v>101</v>
      </c>
      <c r="P128" s="2" t="str">
        <f>"2170605167                    "</f>
        <v xml:space="preserve">2170605167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4.41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6.9</v>
      </c>
      <c r="BJ128" s="2">
        <v>3.3</v>
      </c>
      <c r="BK128" s="2">
        <v>7</v>
      </c>
      <c r="BL128" s="2">
        <v>35.270000000000003</v>
      </c>
      <c r="BM128" s="2">
        <v>4.9400000000000004</v>
      </c>
      <c r="BN128" s="2">
        <v>40.21</v>
      </c>
      <c r="BO128" s="2">
        <v>40.21</v>
      </c>
      <c r="BQ128" s="2" t="s">
        <v>102</v>
      </c>
      <c r="BR128" s="2" t="s">
        <v>103</v>
      </c>
      <c r="BS128" s="3">
        <v>43074</v>
      </c>
      <c r="BT128" s="4">
        <v>0.46388888888888885</v>
      </c>
      <c r="BU128" s="2" t="s">
        <v>436</v>
      </c>
      <c r="BV128" s="2" t="s">
        <v>89</v>
      </c>
      <c r="BW128" s="2" t="s">
        <v>437</v>
      </c>
      <c r="BX128" s="2" t="s">
        <v>438</v>
      </c>
      <c r="BY128" s="2">
        <v>16538.11</v>
      </c>
      <c r="BZ128" s="2" t="s">
        <v>27</v>
      </c>
      <c r="CA128" s="2" t="s">
        <v>439</v>
      </c>
      <c r="CC128" s="2" t="s">
        <v>153</v>
      </c>
      <c r="CD128" s="2">
        <v>1422</v>
      </c>
      <c r="CE128" s="2" t="s">
        <v>95</v>
      </c>
      <c r="CF128" s="3">
        <v>43077</v>
      </c>
      <c r="CI128" s="2">
        <v>1</v>
      </c>
      <c r="CJ128" s="2">
        <v>1</v>
      </c>
      <c r="CK128" s="2">
        <v>22</v>
      </c>
      <c r="CL128" s="2" t="s">
        <v>89</v>
      </c>
    </row>
    <row r="129" spans="1:90">
      <c r="A129" s="2" t="s">
        <v>71</v>
      </c>
      <c r="B129" s="2" t="s">
        <v>72</v>
      </c>
      <c r="C129" s="2" t="s">
        <v>73</v>
      </c>
      <c r="E129" s="2" t="str">
        <f>"FES1162593738"</f>
        <v>FES1162593738</v>
      </c>
      <c r="F129" s="3">
        <v>43073</v>
      </c>
      <c r="G129" s="2">
        <v>201806</v>
      </c>
      <c r="H129" s="2" t="s">
        <v>74</v>
      </c>
      <c r="I129" s="2" t="s">
        <v>75</v>
      </c>
      <c r="J129" s="2" t="s">
        <v>97</v>
      </c>
      <c r="K129" s="2" t="s">
        <v>77</v>
      </c>
      <c r="L129" s="2" t="s">
        <v>440</v>
      </c>
      <c r="M129" s="2" t="s">
        <v>441</v>
      </c>
      <c r="N129" s="2" t="s">
        <v>442</v>
      </c>
      <c r="O129" s="2" t="s">
        <v>101</v>
      </c>
      <c r="P129" s="2" t="str">
        <f>"2170605798                    "</f>
        <v xml:space="preserve">2170605798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7.94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63.49</v>
      </c>
      <c r="BM129" s="2">
        <v>8.89</v>
      </c>
      <c r="BN129" s="2">
        <v>72.38</v>
      </c>
      <c r="BO129" s="2">
        <v>72.38</v>
      </c>
      <c r="BQ129" s="2" t="s">
        <v>102</v>
      </c>
      <c r="BR129" s="2" t="s">
        <v>103</v>
      </c>
      <c r="BS129" s="3">
        <v>43074</v>
      </c>
      <c r="BT129" s="4">
        <v>0.45694444444444443</v>
      </c>
      <c r="BU129" s="2" t="s">
        <v>443</v>
      </c>
      <c r="BV129" s="2" t="s">
        <v>85</v>
      </c>
      <c r="BY129" s="2">
        <v>1200</v>
      </c>
      <c r="BZ129" s="2" t="s">
        <v>27</v>
      </c>
      <c r="CC129" s="2" t="s">
        <v>441</v>
      </c>
      <c r="CD129" s="2">
        <v>1759</v>
      </c>
      <c r="CE129" s="2" t="s">
        <v>120</v>
      </c>
      <c r="CF129" s="3">
        <v>43075</v>
      </c>
      <c r="CI129" s="2">
        <v>1</v>
      </c>
      <c r="CJ129" s="2">
        <v>1</v>
      </c>
      <c r="CK129" s="2">
        <v>24</v>
      </c>
      <c r="CL129" s="2" t="s">
        <v>89</v>
      </c>
    </row>
    <row r="130" spans="1:90">
      <c r="A130" s="2" t="s">
        <v>71</v>
      </c>
      <c r="B130" s="2" t="s">
        <v>72</v>
      </c>
      <c r="C130" s="2" t="s">
        <v>73</v>
      </c>
      <c r="E130" s="2" t="str">
        <f>"FES1162593645"</f>
        <v>FES1162593645</v>
      </c>
      <c r="F130" s="3">
        <v>43073</v>
      </c>
      <c r="G130" s="2">
        <v>201806</v>
      </c>
      <c r="H130" s="2" t="s">
        <v>74</v>
      </c>
      <c r="I130" s="2" t="s">
        <v>75</v>
      </c>
      <c r="J130" s="2" t="s">
        <v>97</v>
      </c>
      <c r="K130" s="2" t="s">
        <v>77</v>
      </c>
      <c r="L130" s="2" t="s">
        <v>115</v>
      </c>
      <c r="M130" s="2" t="s">
        <v>116</v>
      </c>
      <c r="N130" s="2" t="s">
        <v>384</v>
      </c>
      <c r="O130" s="2" t="s">
        <v>101</v>
      </c>
      <c r="P130" s="2" t="str">
        <f>"2170605006                    "</f>
        <v xml:space="preserve">2170605006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4.41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</v>
      </c>
      <c r="BJ130" s="2">
        <v>0.2</v>
      </c>
      <c r="BK130" s="2">
        <v>1</v>
      </c>
      <c r="BL130" s="2">
        <v>35.270000000000003</v>
      </c>
      <c r="BM130" s="2">
        <v>4.9400000000000004</v>
      </c>
      <c r="BN130" s="2">
        <v>40.21</v>
      </c>
      <c r="BO130" s="2">
        <v>40.21</v>
      </c>
      <c r="BQ130" s="2" t="s">
        <v>102</v>
      </c>
      <c r="BR130" s="2" t="s">
        <v>103</v>
      </c>
      <c r="BS130" s="3">
        <v>43074</v>
      </c>
      <c r="BT130" s="4">
        <v>0.33680555555555558</v>
      </c>
      <c r="BU130" s="2" t="s">
        <v>385</v>
      </c>
      <c r="BV130" s="2" t="s">
        <v>85</v>
      </c>
      <c r="BY130" s="2">
        <v>1200</v>
      </c>
      <c r="BZ130" s="2" t="s">
        <v>27</v>
      </c>
      <c r="CA130" s="2" t="s">
        <v>386</v>
      </c>
      <c r="CC130" s="2" t="s">
        <v>116</v>
      </c>
      <c r="CD130" s="2">
        <v>1459</v>
      </c>
      <c r="CE130" s="2" t="s">
        <v>120</v>
      </c>
      <c r="CF130" s="3">
        <v>43077</v>
      </c>
      <c r="CI130" s="2">
        <v>1</v>
      </c>
      <c r="CJ130" s="2">
        <v>1</v>
      </c>
      <c r="CK130" s="2">
        <v>22</v>
      </c>
      <c r="CL130" s="2" t="s">
        <v>89</v>
      </c>
    </row>
    <row r="131" spans="1:90">
      <c r="A131" s="2" t="s">
        <v>71</v>
      </c>
      <c r="B131" s="2" t="s">
        <v>72</v>
      </c>
      <c r="C131" s="2" t="s">
        <v>73</v>
      </c>
      <c r="E131" s="2" t="str">
        <f>"FES1162593736"</f>
        <v>FES1162593736</v>
      </c>
      <c r="F131" s="3">
        <v>43073</v>
      </c>
      <c r="G131" s="2">
        <v>201806</v>
      </c>
      <c r="H131" s="2" t="s">
        <v>74</v>
      </c>
      <c r="I131" s="2" t="s">
        <v>75</v>
      </c>
      <c r="J131" s="2" t="s">
        <v>97</v>
      </c>
      <c r="K131" s="2" t="s">
        <v>77</v>
      </c>
      <c r="L131" s="2" t="s">
        <v>272</v>
      </c>
      <c r="M131" s="2" t="s">
        <v>272</v>
      </c>
      <c r="N131" s="2" t="s">
        <v>444</v>
      </c>
      <c r="O131" s="2" t="s">
        <v>101</v>
      </c>
      <c r="P131" s="2" t="str">
        <f>"2170605790                    "</f>
        <v xml:space="preserve">2170605790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7.94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63.49</v>
      </c>
      <c r="BM131" s="2">
        <v>8.89</v>
      </c>
      <c r="BN131" s="2">
        <v>72.38</v>
      </c>
      <c r="BO131" s="2">
        <v>72.38</v>
      </c>
      <c r="BQ131" s="2" t="s">
        <v>102</v>
      </c>
      <c r="BR131" s="2" t="s">
        <v>103</v>
      </c>
      <c r="BS131" s="3">
        <v>43074</v>
      </c>
      <c r="BT131" s="4">
        <v>0.4375</v>
      </c>
      <c r="BU131" s="2" t="s">
        <v>445</v>
      </c>
      <c r="BV131" s="2" t="s">
        <v>85</v>
      </c>
      <c r="BY131" s="2">
        <v>1200</v>
      </c>
      <c r="BZ131" s="2" t="s">
        <v>27</v>
      </c>
      <c r="CA131" s="2" t="s">
        <v>389</v>
      </c>
      <c r="CC131" s="2" t="s">
        <v>272</v>
      </c>
      <c r="CD131" s="2">
        <v>1490</v>
      </c>
      <c r="CE131" s="2" t="s">
        <v>383</v>
      </c>
      <c r="CF131" s="3">
        <v>43077</v>
      </c>
      <c r="CI131" s="2">
        <v>1</v>
      </c>
      <c r="CJ131" s="2">
        <v>1</v>
      </c>
      <c r="CK131" s="2">
        <v>24</v>
      </c>
      <c r="CL131" s="2" t="s">
        <v>89</v>
      </c>
    </row>
    <row r="132" spans="1:90">
      <c r="A132" s="2" t="s">
        <v>71</v>
      </c>
      <c r="B132" s="2" t="s">
        <v>72</v>
      </c>
      <c r="C132" s="2" t="s">
        <v>73</v>
      </c>
      <c r="E132" s="2" t="str">
        <f>"FES1162593758"</f>
        <v>FES1162593758</v>
      </c>
      <c r="F132" s="3">
        <v>43073</v>
      </c>
      <c r="G132" s="2">
        <v>201806</v>
      </c>
      <c r="H132" s="2" t="s">
        <v>74</v>
      </c>
      <c r="I132" s="2" t="s">
        <v>75</v>
      </c>
      <c r="J132" s="2" t="s">
        <v>97</v>
      </c>
      <c r="K132" s="2" t="s">
        <v>77</v>
      </c>
      <c r="L132" s="2" t="s">
        <v>136</v>
      </c>
      <c r="M132" s="2" t="s">
        <v>137</v>
      </c>
      <c r="N132" s="2" t="s">
        <v>446</v>
      </c>
      <c r="O132" s="2" t="s">
        <v>101</v>
      </c>
      <c r="P132" s="2" t="str">
        <f>"2170605851                    "</f>
        <v xml:space="preserve">2170605851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5.65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1.2</v>
      </c>
      <c r="BJ132" s="2">
        <v>2</v>
      </c>
      <c r="BK132" s="2">
        <v>2</v>
      </c>
      <c r="BL132" s="2">
        <v>45.15</v>
      </c>
      <c r="BM132" s="2">
        <v>6.32</v>
      </c>
      <c r="BN132" s="2">
        <v>51.47</v>
      </c>
      <c r="BO132" s="2">
        <v>51.47</v>
      </c>
      <c r="BQ132" s="2" t="s">
        <v>102</v>
      </c>
      <c r="BR132" s="2" t="s">
        <v>103</v>
      </c>
      <c r="BS132" s="3">
        <v>43074</v>
      </c>
      <c r="BT132" s="4">
        <v>0.31944444444444448</v>
      </c>
      <c r="BU132" s="2" t="s">
        <v>447</v>
      </c>
      <c r="BV132" s="2" t="s">
        <v>85</v>
      </c>
      <c r="BY132" s="2">
        <v>9801.44</v>
      </c>
      <c r="BZ132" s="2" t="s">
        <v>27</v>
      </c>
      <c r="CA132" s="2" t="s">
        <v>448</v>
      </c>
      <c r="CC132" s="2" t="s">
        <v>137</v>
      </c>
      <c r="CD132" s="2">
        <v>6012</v>
      </c>
      <c r="CE132" s="2" t="s">
        <v>282</v>
      </c>
      <c r="CF132" s="3">
        <v>43075</v>
      </c>
      <c r="CI132" s="2">
        <v>1</v>
      </c>
      <c r="CJ132" s="2">
        <v>1</v>
      </c>
      <c r="CK132" s="2">
        <v>21</v>
      </c>
      <c r="CL132" s="2" t="s">
        <v>89</v>
      </c>
    </row>
    <row r="133" spans="1:90">
      <c r="A133" s="2" t="s">
        <v>71</v>
      </c>
      <c r="B133" s="2" t="s">
        <v>72</v>
      </c>
      <c r="C133" s="2" t="s">
        <v>73</v>
      </c>
      <c r="E133" s="2" t="str">
        <f>"FES1162593711"</f>
        <v>FES1162593711</v>
      </c>
      <c r="F133" s="3">
        <v>43073</v>
      </c>
      <c r="G133" s="2">
        <v>201806</v>
      </c>
      <c r="H133" s="2" t="s">
        <v>74</v>
      </c>
      <c r="I133" s="2" t="s">
        <v>75</v>
      </c>
      <c r="J133" s="2" t="s">
        <v>97</v>
      </c>
      <c r="K133" s="2" t="s">
        <v>77</v>
      </c>
      <c r="L133" s="2" t="s">
        <v>449</v>
      </c>
      <c r="M133" s="2" t="s">
        <v>450</v>
      </c>
      <c r="N133" s="2" t="s">
        <v>451</v>
      </c>
      <c r="O133" s="2" t="s">
        <v>101</v>
      </c>
      <c r="P133" s="2" t="str">
        <f>"                              "</f>
        <v xml:space="preserve">          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4.41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</v>
      </c>
      <c r="BJ133" s="2">
        <v>0.2</v>
      </c>
      <c r="BK133" s="2">
        <v>1</v>
      </c>
      <c r="BL133" s="2">
        <v>35.270000000000003</v>
      </c>
      <c r="BM133" s="2">
        <v>4.9400000000000004</v>
      </c>
      <c r="BN133" s="2">
        <v>40.21</v>
      </c>
      <c r="BO133" s="2">
        <v>40.21</v>
      </c>
      <c r="BP133" s="2">
        <v>2170605785</v>
      </c>
      <c r="BQ133" s="2" t="s">
        <v>102</v>
      </c>
      <c r="BR133" s="2" t="s">
        <v>103</v>
      </c>
      <c r="BS133" s="3">
        <v>43074</v>
      </c>
      <c r="BT133" s="4">
        <v>0.37847222222222227</v>
      </c>
      <c r="BU133" s="2" t="s">
        <v>452</v>
      </c>
      <c r="BV133" s="2" t="s">
        <v>85</v>
      </c>
      <c r="BY133" s="2">
        <v>1200</v>
      </c>
      <c r="BZ133" s="2" t="s">
        <v>27</v>
      </c>
      <c r="CA133" s="2" t="s">
        <v>453</v>
      </c>
      <c r="CC133" s="2" t="s">
        <v>450</v>
      </c>
      <c r="CD133" s="2">
        <v>1700</v>
      </c>
      <c r="CE133" s="2" t="s">
        <v>120</v>
      </c>
      <c r="CF133" s="3">
        <v>43075</v>
      </c>
      <c r="CI133" s="2">
        <v>1</v>
      </c>
      <c r="CJ133" s="2">
        <v>1</v>
      </c>
      <c r="CK133" s="2">
        <v>22</v>
      </c>
      <c r="CL133" s="2" t="s">
        <v>89</v>
      </c>
    </row>
    <row r="134" spans="1:90">
      <c r="A134" s="2" t="s">
        <v>71</v>
      </c>
      <c r="B134" s="2" t="s">
        <v>72</v>
      </c>
      <c r="C134" s="2" t="s">
        <v>73</v>
      </c>
      <c r="E134" s="2" t="str">
        <f>"FES1162593602"</f>
        <v>FES1162593602</v>
      </c>
      <c r="F134" s="3">
        <v>43073</v>
      </c>
      <c r="G134" s="2">
        <v>201806</v>
      </c>
      <c r="H134" s="2" t="s">
        <v>74</v>
      </c>
      <c r="I134" s="2" t="s">
        <v>75</v>
      </c>
      <c r="J134" s="2" t="s">
        <v>97</v>
      </c>
      <c r="K134" s="2" t="s">
        <v>77</v>
      </c>
      <c r="L134" s="2" t="s">
        <v>74</v>
      </c>
      <c r="M134" s="2" t="s">
        <v>75</v>
      </c>
      <c r="N134" s="2" t="s">
        <v>454</v>
      </c>
      <c r="O134" s="2" t="s">
        <v>101</v>
      </c>
      <c r="P134" s="2" t="str">
        <f>"2170601818                    "</f>
        <v xml:space="preserve">2170601818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4.41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35.270000000000003</v>
      </c>
      <c r="BM134" s="2">
        <v>4.9400000000000004</v>
      </c>
      <c r="BN134" s="2">
        <v>40.21</v>
      </c>
      <c r="BO134" s="2">
        <v>40.21</v>
      </c>
      <c r="BQ134" s="2" t="s">
        <v>102</v>
      </c>
      <c r="BR134" s="2" t="s">
        <v>103</v>
      </c>
      <c r="BS134" s="3">
        <v>43075</v>
      </c>
      <c r="BT134" s="4">
        <v>0.3611111111111111</v>
      </c>
      <c r="BU134" s="2" t="s">
        <v>455</v>
      </c>
      <c r="BV134" s="2" t="s">
        <v>89</v>
      </c>
      <c r="BW134" s="2" t="s">
        <v>149</v>
      </c>
      <c r="BX134" s="2" t="s">
        <v>456</v>
      </c>
      <c r="BY134" s="2">
        <v>1200</v>
      </c>
      <c r="BZ134" s="2" t="s">
        <v>27</v>
      </c>
      <c r="CA134" s="2" t="s">
        <v>457</v>
      </c>
      <c r="CC134" s="2" t="s">
        <v>75</v>
      </c>
      <c r="CD134" s="2">
        <v>1682</v>
      </c>
      <c r="CE134" s="2" t="s">
        <v>120</v>
      </c>
      <c r="CF134" s="3">
        <v>43077</v>
      </c>
      <c r="CI134" s="2">
        <v>1</v>
      </c>
      <c r="CJ134" s="2">
        <v>2</v>
      </c>
      <c r="CK134" s="2">
        <v>22</v>
      </c>
      <c r="CL134" s="2" t="s">
        <v>89</v>
      </c>
    </row>
    <row r="135" spans="1:90">
      <c r="A135" s="2" t="s">
        <v>71</v>
      </c>
      <c r="B135" s="2" t="s">
        <v>72</v>
      </c>
      <c r="C135" s="2" t="s">
        <v>73</v>
      </c>
      <c r="E135" s="2" t="str">
        <f>"FES1162593681"</f>
        <v>FES1162593681</v>
      </c>
      <c r="F135" s="3">
        <v>43073</v>
      </c>
      <c r="G135" s="2">
        <v>201806</v>
      </c>
      <c r="H135" s="2" t="s">
        <v>74</v>
      </c>
      <c r="I135" s="2" t="s">
        <v>75</v>
      </c>
      <c r="J135" s="2" t="s">
        <v>97</v>
      </c>
      <c r="K135" s="2" t="s">
        <v>77</v>
      </c>
      <c r="L135" s="2" t="s">
        <v>115</v>
      </c>
      <c r="M135" s="2" t="s">
        <v>116</v>
      </c>
      <c r="N135" s="2" t="s">
        <v>458</v>
      </c>
      <c r="O135" s="2" t="s">
        <v>101</v>
      </c>
      <c r="P135" s="2" t="str">
        <f>"2170604590                    "</f>
        <v xml:space="preserve">2170604590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4.41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2</v>
      </c>
      <c r="BJ135" s="2">
        <v>0.2</v>
      </c>
      <c r="BK135" s="2">
        <v>2</v>
      </c>
      <c r="BL135" s="2">
        <v>35.270000000000003</v>
      </c>
      <c r="BM135" s="2">
        <v>4.9400000000000004</v>
      </c>
      <c r="BN135" s="2">
        <v>40.21</v>
      </c>
      <c r="BO135" s="2">
        <v>40.21</v>
      </c>
      <c r="BQ135" s="2" t="s">
        <v>102</v>
      </c>
      <c r="BR135" s="2" t="s">
        <v>103</v>
      </c>
      <c r="BS135" s="3">
        <v>43074</v>
      </c>
      <c r="BT135" s="4">
        <v>0.4375</v>
      </c>
      <c r="BU135" s="2" t="s">
        <v>459</v>
      </c>
      <c r="BV135" s="2" t="s">
        <v>85</v>
      </c>
      <c r="BY135" s="2">
        <v>1200</v>
      </c>
      <c r="BZ135" s="2" t="s">
        <v>27</v>
      </c>
      <c r="CA135" s="2" t="s">
        <v>119</v>
      </c>
      <c r="CC135" s="2" t="s">
        <v>116</v>
      </c>
      <c r="CD135" s="2">
        <v>1460</v>
      </c>
      <c r="CE135" s="2" t="s">
        <v>120</v>
      </c>
      <c r="CF135" s="3">
        <v>43077</v>
      </c>
      <c r="CI135" s="2">
        <v>1</v>
      </c>
      <c r="CJ135" s="2">
        <v>1</v>
      </c>
      <c r="CK135" s="2">
        <v>22</v>
      </c>
      <c r="CL135" s="2" t="s">
        <v>89</v>
      </c>
    </row>
    <row r="136" spans="1:90">
      <c r="A136" s="2" t="s">
        <v>71</v>
      </c>
      <c r="B136" s="2" t="s">
        <v>72</v>
      </c>
      <c r="C136" s="2" t="s">
        <v>73</v>
      </c>
      <c r="E136" s="2" t="str">
        <f>"FES1162593630"</f>
        <v>FES1162593630</v>
      </c>
      <c r="F136" s="3">
        <v>43073</v>
      </c>
      <c r="G136" s="2">
        <v>201806</v>
      </c>
      <c r="H136" s="2" t="s">
        <v>74</v>
      </c>
      <c r="I136" s="2" t="s">
        <v>75</v>
      </c>
      <c r="J136" s="2" t="s">
        <v>97</v>
      </c>
      <c r="K136" s="2" t="s">
        <v>77</v>
      </c>
      <c r="L136" s="2" t="s">
        <v>90</v>
      </c>
      <c r="M136" s="2" t="s">
        <v>91</v>
      </c>
      <c r="N136" s="2" t="s">
        <v>460</v>
      </c>
      <c r="O136" s="2" t="s">
        <v>101</v>
      </c>
      <c r="P136" s="2" t="str">
        <f>"2170605744                    "</f>
        <v xml:space="preserve">2170605744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4.41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</v>
      </c>
      <c r="BJ136" s="2">
        <v>0.2</v>
      </c>
      <c r="BK136" s="2">
        <v>1</v>
      </c>
      <c r="BL136" s="2">
        <v>35.270000000000003</v>
      </c>
      <c r="BM136" s="2">
        <v>4.9400000000000004</v>
      </c>
      <c r="BN136" s="2">
        <v>40.21</v>
      </c>
      <c r="BO136" s="2">
        <v>40.21</v>
      </c>
      <c r="BQ136" s="2" t="s">
        <v>102</v>
      </c>
      <c r="BR136" s="2" t="s">
        <v>103</v>
      </c>
      <c r="BS136" s="3">
        <v>43074</v>
      </c>
      <c r="BT136" s="4">
        <v>0.41666666666666669</v>
      </c>
      <c r="BU136" s="2" t="s">
        <v>461</v>
      </c>
      <c r="BV136" s="2" t="s">
        <v>85</v>
      </c>
      <c r="BY136" s="2">
        <v>1200</v>
      </c>
      <c r="BZ136" s="2" t="s">
        <v>27</v>
      </c>
      <c r="CC136" s="2" t="s">
        <v>91</v>
      </c>
      <c r="CD136" s="2">
        <v>1559</v>
      </c>
      <c r="CE136" s="2" t="s">
        <v>120</v>
      </c>
      <c r="CF136" s="3">
        <v>43077</v>
      </c>
      <c r="CI136" s="2">
        <v>1</v>
      </c>
      <c r="CJ136" s="2">
        <v>1</v>
      </c>
      <c r="CK136" s="2">
        <v>22</v>
      </c>
      <c r="CL136" s="2" t="s">
        <v>89</v>
      </c>
    </row>
    <row r="137" spans="1:90">
      <c r="A137" s="2" t="s">
        <v>71</v>
      </c>
      <c r="B137" s="2" t="s">
        <v>72</v>
      </c>
      <c r="C137" s="2" t="s">
        <v>73</v>
      </c>
      <c r="E137" s="2" t="str">
        <f>"FES1162593544"</f>
        <v>FES1162593544</v>
      </c>
      <c r="F137" s="3">
        <v>43073</v>
      </c>
      <c r="G137" s="2">
        <v>201806</v>
      </c>
      <c r="H137" s="2" t="s">
        <v>74</v>
      </c>
      <c r="I137" s="2" t="s">
        <v>75</v>
      </c>
      <c r="J137" s="2" t="s">
        <v>97</v>
      </c>
      <c r="K137" s="2" t="s">
        <v>77</v>
      </c>
      <c r="L137" s="2" t="s">
        <v>462</v>
      </c>
      <c r="M137" s="2" t="s">
        <v>463</v>
      </c>
      <c r="N137" s="2" t="s">
        <v>464</v>
      </c>
      <c r="O137" s="2" t="s">
        <v>101</v>
      </c>
      <c r="P137" s="2" t="str">
        <f>"2170604535                    "</f>
        <v xml:space="preserve">2170604535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19.760000000000002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7</v>
      </c>
      <c r="BJ137" s="2">
        <v>4.0999999999999996</v>
      </c>
      <c r="BK137" s="2">
        <v>7</v>
      </c>
      <c r="BL137" s="2">
        <v>157.96</v>
      </c>
      <c r="BM137" s="2">
        <v>22.11</v>
      </c>
      <c r="BN137" s="2">
        <v>180.07</v>
      </c>
      <c r="BO137" s="2">
        <v>180.07</v>
      </c>
      <c r="BQ137" s="2" t="s">
        <v>465</v>
      </c>
      <c r="BR137" s="2" t="s">
        <v>103</v>
      </c>
      <c r="BS137" s="3">
        <v>43074</v>
      </c>
      <c r="BT137" s="4">
        <v>0.41666666666666669</v>
      </c>
      <c r="BU137" s="2" t="s">
        <v>466</v>
      </c>
      <c r="BV137" s="2" t="s">
        <v>85</v>
      </c>
      <c r="BY137" s="2">
        <v>20358</v>
      </c>
      <c r="BZ137" s="2" t="s">
        <v>27</v>
      </c>
      <c r="CC137" s="2" t="s">
        <v>463</v>
      </c>
      <c r="CD137" s="2">
        <v>7130</v>
      </c>
      <c r="CE137" s="2" t="s">
        <v>288</v>
      </c>
      <c r="CF137" s="3">
        <v>43075</v>
      </c>
      <c r="CI137" s="2">
        <v>1</v>
      </c>
      <c r="CJ137" s="2">
        <v>1</v>
      </c>
      <c r="CK137" s="2">
        <v>21</v>
      </c>
      <c r="CL137" s="2" t="s">
        <v>89</v>
      </c>
    </row>
    <row r="138" spans="1:90">
      <c r="A138" s="2" t="s">
        <v>71</v>
      </c>
      <c r="B138" s="2" t="s">
        <v>72</v>
      </c>
      <c r="C138" s="2" t="s">
        <v>73</v>
      </c>
      <c r="E138" s="2" t="str">
        <f>"FES1162593586"</f>
        <v>FES1162593586</v>
      </c>
      <c r="F138" s="3">
        <v>43073</v>
      </c>
      <c r="G138" s="2">
        <v>201806</v>
      </c>
      <c r="H138" s="2" t="s">
        <v>74</v>
      </c>
      <c r="I138" s="2" t="s">
        <v>75</v>
      </c>
      <c r="J138" s="2" t="s">
        <v>97</v>
      </c>
      <c r="K138" s="2" t="s">
        <v>77</v>
      </c>
      <c r="L138" s="2" t="s">
        <v>173</v>
      </c>
      <c r="M138" s="2" t="s">
        <v>174</v>
      </c>
      <c r="N138" s="2" t="s">
        <v>467</v>
      </c>
      <c r="O138" s="2" t="s">
        <v>101</v>
      </c>
      <c r="P138" s="2" t="str">
        <f>"2170605628                    "</f>
        <v xml:space="preserve">2170605628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19.760000000000002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6.7</v>
      </c>
      <c r="BJ138" s="2">
        <v>3.3</v>
      </c>
      <c r="BK138" s="2">
        <v>7</v>
      </c>
      <c r="BL138" s="2">
        <v>157.96</v>
      </c>
      <c r="BM138" s="2">
        <v>22.11</v>
      </c>
      <c r="BN138" s="2">
        <v>180.07</v>
      </c>
      <c r="BO138" s="2">
        <v>180.07</v>
      </c>
      <c r="BQ138" s="2" t="s">
        <v>102</v>
      </c>
      <c r="BR138" s="2" t="s">
        <v>103</v>
      </c>
      <c r="BS138" s="3">
        <v>43074</v>
      </c>
      <c r="BT138" s="4">
        <v>0.41597222222222219</v>
      </c>
      <c r="BU138" s="2" t="s">
        <v>468</v>
      </c>
      <c r="BV138" s="2" t="s">
        <v>85</v>
      </c>
      <c r="BY138" s="2">
        <v>16559.7</v>
      </c>
      <c r="BZ138" s="2" t="s">
        <v>27</v>
      </c>
      <c r="CA138" s="2" t="s">
        <v>469</v>
      </c>
      <c r="CC138" s="2" t="s">
        <v>174</v>
      </c>
      <c r="CD138" s="2">
        <v>7802</v>
      </c>
      <c r="CE138" s="2" t="s">
        <v>288</v>
      </c>
      <c r="CF138" s="3">
        <v>43074</v>
      </c>
      <c r="CI138" s="2">
        <v>1</v>
      </c>
      <c r="CJ138" s="2">
        <v>1</v>
      </c>
      <c r="CK138" s="2">
        <v>21</v>
      </c>
      <c r="CL138" s="2" t="s">
        <v>89</v>
      </c>
    </row>
    <row r="139" spans="1:90">
      <c r="A139" s="2" t="s">
        <v>71</v>
      </c>
      <c r="B139" s="2" t="s">
        <v>72</v>
      </c>
      <c r="C139" s="2" t="s">
        <v>73</v>
      </c>
      <c r="E139" s="2" t="str">
        <f>"FES1162593603"</f>
        <v>FES1162593603</v>
      </c>
      <c r="F139" s="3">
        <v>43073</v>
      </c>
      <c r="G139" s="2">
        <v>201806</v>
      </c>
      <c r="H139" s="2" t="s">
        <v>74</v>
      </c>
      <c r="I139" s="2" t="s">
        <v>75</v>
      </c>
      <c r="J139" s="2" t="s">
        <v>97</v>
      </c>
      <c r="K139" s="2" t="s">
        <v>77</v>
      </c>
      <c r="L139" s="2" t="s">
        <v>145</v>
      </c>
      <c r="M139" s="2" t="s">
        <v>146</v>
      </c>
      <c r="N139" s="2" t="s">
        <v>470</v>
      </c>
      <c r="O139" s="2" t="s">
        <v>101</v>
      </c>
      <c r="P139" s="2" t="str">
        <f>"2170605724                    "</f>
        <v xml:space="preserve">2170605724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9.8800000000000008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0.9</v>
      </c>
      <c r="BJ139" s="2">
        <v>3.4</v>
      </c>
      <c r="BK139" s="2">
        <v>3.5</v>
      </c>
      <c r="BL139" s="2">
        <v>78.989999999999995</v>
      </c>
      <c r="BM139" s="2">
        <v>11.06</v>
      </c>
      <c r="BN139" s="2">
        <v>90.05</v>
      </c>
      <c r="BO139" s="2">
        <v>90.05</v>
      </c>
      <c r="BQ139" s="2" t="s">
        <v>102</v>
      </c>
      <c r="BR139" s="2" t="s">
        <v>103</v>
      </c>
      <c r="BS139" s="3">
        <v>43074</v>
      </c>
      <c r="BT139" s="4">
        <v>0.5</v>
      </c>
      <c r="BU139" s="2" t="s">
        <v>134</v>
      </c>
      <c r="BV139" s="2" t="s">
        <v>89</v>
      </c>
      <c r="BW139" s="2" t="s">
        <v>471</v>
      </c>
      <c r="BX139" s="2" t="s">
        <v>150</v>
      </c>
      <c r="BY139" s="2">
        <v>17155.580000000002</v>
      </c>
      <c r="BZ139" s="2" t="s">
        <v>27</v>
      </c>
      <c r="CC139" s="2" t="s">
        <v>146</v>
      </c>
      <c r="CD139" s="2">
        <v>5210</v>
      </c>
      <c r="CE139" s="2" t="s">
        <v>288</v>
      </c>
      <c r="CF139" s="3">
        <v>43075</v>
      </c>
      <c r="CI139" s="2">
        <v>1</v>
      </c>
      <c r="CJ139" s="2">
        <v>1</v>
      </c>
      <c r="CK139" s="2">
        <v>21</v>
      </c>
      <c r="CL139" s="2" t="s">
        <v>89</v>
      </c>
    </row>
    <row r="140" spans="1:90">
      <c r="A140" s="2" t="s">
        <v>71</v>
      </c>
      <c r="B140" s="2" t="s">
        <v>72</v>
      </c>
      <c r="C140" s="2" t="s">
        <v>73</v>
      </c>
      <c r="E140" s="2" t="str">
        <f>"FES1162593599"</f>
        <v>FES1162593599</v>
      </c>
      <c r="F140" s="3">
        <v>43073</v>
      </c>
      <c r="G140" s="2">
        <v>201806</v>
      </c>
      <c r="H140" s="2" t="s">
        <v>74</v>
      </c>
      <c r="I140" s="2" t="s">
        <v>75</v>
      </c>
      <c r="J140" s="2" t="s">
        <v>97</v>
      </c>
      <c r="K140" s="2" t="s">
        <v>77</v>
      </c>
      <c r="L140" s="2" t="s">
        <v>106</v>
      </c>
      <c r="M140" s="2" t="s">
        <v>107</v>
      </c>
      <c r="N140" s="2" t="s">
        <v>472</v>
      </c>
      <c r="O140" s="2" t="s">
        <v>101</v>
      </c>
      <c r="P140" s="2" t="str">
        <f>"2170605722                    "</f>
        <v xml:space="preserve">2170605722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4.41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35.270000000000003</v>
      </c>
      <c r="BM140" s="2">
        <v>4.9400000000000004</v>
      </c>
      <c r="BN140" s="2">
        <v>40.21</v>
      </c>
      <c r="BO140" s="2">
        <v>40.21</v>
      </c>
      <c r="BQ140" s="2" t="s">
        <v>102</v>
      </c>
      <c r="BR140" s="2" t="s">
        <v>103</v>
      </c>
      <c r="BS140" s="3">
        <v>43074</v>
      </c>
      <c r="BT140" s="4">
        <v>0.41111111111111115</v>
      </c>
      <c r="BU140" s="2" t="s">
        <v>473</v>
      </c>
      <c r="BV140" s="2" t="s">
        <v>85</v>
      </c>
      <c r="BY140" s="2">
        <v>1200</v>
      </c>
      <c r="BZ140" s="2" t="s">
        <v>27</v>
      </c>
      <c r="CA140" s="2" t="s">
        <v>110</v>
      </c>
      <c r="CC140" s="2" t="s">
        <v>107</v>
      </c>
      <c r="CD140" s="2">
        <v>2197</v>
      </c>
      <c r="CE140" s="2" t="s">
        <v>120</v>
      </c>
      <c r="CF140" s="3">
        <v>43077</v>
      </c>
      <c r="CI140" s="2">
        <v>1</v>
      </c>
      <c r="CJ140" s="2">
        <v>1</v>
      </c>
      <c r="CK140" s="2">
        <v>22</v>
      </c>
      <c r="CL140" s="2" t="s">
        <v>89</v>
      </c>
    </row>
    <row r="141" spans="1:90">
      <c r="A141" s="2" t="s">
        <v>71</v>
      </c>
      <c r="B141" s="2" t="s">
        <v>72</v>
      </c>
      <c r="C141" s="2" t="s">
        <v>73</v>
      </c>
      <c r="E141" s="2" t="str">
        <f>"FES1162593562"</f>
        <v>FES1162593562</v>
      </c>
      <c r="F141" s="3">
        <v>43073</v>
      </c>
      <c r="G141" s="2">
        <v>201806</v>
      </c>
      <c r="H141" s="2" t="s">
        <v>74</v>
      </c>
      <c r="I141" s="2" t="s">
        <v>75</v>
      </c>
      <c r="J141" s="2" t="s">
        <v>97</v>
      </c>
      <c r="K141" s="2" t="s">
        <v>77</v>
      </c>
      <c r="L141" s="2" t="s">
        <v>78</v>
      </c>
      <c r="M141" s="2" t="s">
        <v>79</v>
      </c>
      <c r="N141" s="2" t="s">
        <v>80</v>
      </c>
      <c r="O141" s="2" t="s">
        <v>101</v>
      </c>
      <c r="P141" s="2" t="str">
        <f>"21706056677                   "</f>
        <v xml:space="preserve">21706056677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5.65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45.15</v>
      </c>
      <c r="BM141" s="2">
        <v>6.32</v>
      </c>
      <c r="BN141" s="2">
        <v>51.47</v>
      </c>
      <c r="BO141" s="2">
        <v>51.47</v>
      </c>
      <c r="BQ141" s="2" t="s">
        <v>102</v>
      </c>
      <c r="BR141" s="2" t="s">
        <v>103</v>
      </c>
      <c r="BS141" s="3">
        <v>43074</v>
      </c>
      <c r="BT141" s="4">
        <v>0.71805555555555556</v>
      </c>
      <c r="BU141" s="2" t="s">
        <v>474</v>
      </c>
      <c r="BV141" s="2" t="s">
        <v>89</v>
      </c>
      <c r="BY141" s="2">
        <v>1200</v>
      </c>
      <c r="BZ141" s="2" t="s">
        <v>27</v>
      </c>
      <c r="CA141" s="2" t="s">
        <v>86</v>
      </c>
      <c r="CC141" s="2" t="s">
        <v>79</v>
      </c>
      <c r="CD141" s="2">
        <v>1947</v>
      </c>
      <c r="CE141" s="2" t="s">
        <v>383</v>
      </c>
      <c r="CF141" s="3">
        <v>43076</v>
      </c>
      <c r="CI141" s="2">
        <v>1</v>
      </c>
      <c r="CJ141" s="2">
        <v>1</v>
      </c>
      <c r="CK141" s="2">
        <v>21</v>
      </c>
      <c r="CL141" s="2" t="s">
        <v>89</v>
      </c>
    </row>
    <row r="142" spans="1:90">
      <c r="A142" s="2" t="s">
        <v>71</v>
      </c>
      <c r="B142" s="2" t="s">
        <v>72</v>
      </c>
      <c r="C142" s="2" t="s">
        <v>73</v>
      </c>
      <c r="E142" s="2" t="str">
        <f>"FES1162593724"</f>
        <v>FES1162593724</v>
      </c>
      <c r="F142" s="3">
        <v>43073</v>
      </c>
      <c r="G142" s="2">
        <v>201806</v>
      </c>
      <c r="H142" s="2" t="s">
        <v>74</v>
      </c>
      <c r="I142" s="2" t="s">
        <v>75</v>
      </c>
      <c r="J142" s="2" t="s">
        <v>97</v>
      </c>
      <c r="K142" s="2" t="s">
        <v>77</v>
      </c>
      <c r="L142" s="2" t="s">
        <v>106</v>
      </c>
      <c r="M142" s="2" t="s">
        <v>107</v>
      </c>
      <c r="N142" s="2" t="s">
        <v>427</v>
      </c>
      <c r="O142" s="2" t="s">
        <v>101</v>
      </c>
      <c r="P142" s="2" t="str">
        <f>"2170605799                    "</f>
        <v xml:space="preserve">2170605799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4.41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1.7</v>
      </c>
      <c r="BJ142" s="2">
        <v>2.4</v>
      </c>
      <c r="BK142" s="2">
        <v>3</v>
      </c>
      <c r="BL142" s="2">
        <v>35.270000000000003</v>
      </c>
      <c r="BM142" s="2">
        <v>4.9400000000000004</v>
      </c>
      <c r="BN142" s="2">
        <v>40.21</v>
      </c>
      <c r="BO142" s="2">
        <v>40.21</v>
      </c>
      <c r="BQ142" s="2" t="s">
        <v>102</v>
      </c>
      <c r="BR142" s="2" t="s">
        <v>103</v>
      </c>
      <c r="BS142" s="3">
        <v>43074</v>
      </c>
      <c r="BT142" s="4">
        <v>0.4375</v>
      </c>
      <c r="BU142" s="2" t="s">
        <v>428</v>
      </c>
      <c r="BV142" s="2" t="s">
        <v>85</v>
      </c>
      <c r="BY142" s="2">
        <v>12152.63</v>
      </c>
      <c r="BZ142" s="2" t="s">
        <v>27</v>
      </c>
      <c r="CA142" s="2" t="s">
        <v>429</v>
      </c>
      <c r="CC142" s="2" t="s">
        <v>107</v>
      </c>
      <c r="CD142" s="2">
        <v>2091</v>
      </c>
      <c r="CE142" s="2" t="s">
        <v>120</v>
      </c>
      <c r="CF142" s="3">
        <v>43077</v>
      </c>
      <c r="CI142" s="2">
        <v>1</v>
      </c>
      <c r="CJ142" s="2">
        <v>1</v>
      </c>
      <c r="CK142" s="2">
        <v>22</v>
      </c>
      <c r="CL142" s="2" t="s">
        <v>89</v>
      </c>
    </row>
    <row r="143" spans="1:90">
      <c r="A143" s="2" t="s">
        <v>71</v>
      </c>
      <c r="B143" s="2" t="s">
        <v>72</v>
      </c>
      <c r="C143" s="2" t="s">
        <v>73</v>
      </c>
      <c r="E143" s="2" t="str">
        <f>"FES1162593741"</f>
        <v>FES1162593741</v>
      </c>
      <c r="F143" s="3">
        <v>43073</v>
      </c>
      <c r="G143" s="2">
        <v>201806</v>
      </c>
      <c r="H143" s="2" t="s">
        <v>74</v>
      </c>
      <c r="I143" s="2" t="s">
        <v>75</v>
      </c>
      <c r="J143" s="2" t="s">
        <v>97</v>
      </c>
      <c r="K143" s="2" t="s">
        <v>77</v>
      </c>
      <c r="L143" s="2" t="s">
        <v>78</v>
      </c>
      <c r="M143" s="2" t="s">
        <v>79</v>
      </c>
      <c r="N143" s="2" t="s">
        <v>475</v>
      </c>
      <c r="O143" s="2" t="s">
        <v>101</v>
      </c>
      <c r="P143" s="2" t="str">
        <f>"2170605818                    "</f>
        <v xml:space="preserve">2170605818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5.65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45.15</v>
      </c>
      <c r="BM143" s="2">
        <v>6.32</v>
      </c>
      <c r="BN143" s="2">
        <v>51.47</v>
      </c>
      <c r="BO143" s="2">
        <v>51.47</v>
      </c>
      <c r="BQ143" s="2" t="s">
        <v>476</v>
      </c>
      <c r="BR143" s="2" t="s">
        <v>103</v>
      </c>
      <c r="BS143" s="3">
        <v>43074</v>
      </c>
      <c r="BT143" s="4">
        <v>0.59166666666666667</v>
      </c>
      <c r="BU143" s="2" t="s">
        <v>477</v>
      </c>
      <c r="BV143" s="2" t="s">
        <v>89</v>
      </c>
      <c r="BY143" s="2">
        <v>1200</v>
      </c>
      <c r="BZ143" s="2" t="s">
        <v>27</v>
      </c>
      <c r="CA143" s="2" t="s">
        <v>478</v>
      </c>
      <c r="CC143" s="2" t="s">
        <v>79</v>
      </c>
      <c r="CD143" s="2">
        <v>1947</v>
      </c>
      <c r="CE143" s="2" t="s">
        <v>383</v>
      </c>
      <c r="CF143" s="3">
        <v>43076</v>
      </c>
      <c r="CI143" s="2">
        <v>1</v>
      </c>
      <c r="CJ143" s="2">
        <v>1</v>
      </c>
      <c r="CK143" s="2">
        <v>21</v>
      </c>
      <c r="CL143" s="2" t="s">
        <v>89</v>
      </c>
    </row>
    <row r="144" spans="1:90">
      <c r="A144" s="2" t="s">
        <v>71</v>
      </c>
      <c r="B144" s="2" t="s">
        <v>72</v>
      </c>
      <c r="C144" s="2" t="s">
        <v>73</v>
      </c>
      <c r="E144" s="2" t="str">
        <f>"FES1162593662"</f>
        <v>FES1162593662</v>
      </c>
      <c r="F144" s="3">
        <v>43073</v>
      </c>
      <c r="G144" s="2">
        <v>201806</v>
      </c>
      <c r="H144" s="2" t="s">
        <v>74</v>
      </c>
      <c r="I144" s="2" t="s">
        <v>75</v>
      </c>
      <c r="J144" s="2" t="s">
        <v>97</v>
      </c>
      <c r="K144" s="2" t="s">
        <v>77</v>
      </c>
      <c r="L144" s="2" t="s">
        <v>325</v>
      </c>
      <c r="M144" s="2" t="s">
        <v>326</v>
      </c>
      <c r="N144" s="2" t="s">
        <v>479</v>
      </c>
      <c r="O144" s="2" t="s">
        <v>101</v>
      </c>
      <c r="P144" s="2" t="str">
        <f>"2170605366                    "</f>
        <v xml:space="preserve">2170605366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5.65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45.15</v>
      </c>
      <c r="BM144" s="2">
        <v>6.32</v>
      </c>
      <c r="BN144" s="2">
        <v>51.47</v>
      </c>
      <c r="BO144" s="2">
        <v>51.47</v>
      </c>
      <c r="BQ144" s="2" t="s">
        <v>82</v>
      </c>
      <c r="BR144" s="2" t="s">
        <v>103</v>
      </c>
      <c r="BS144" s="3">
        <v>43076</v>
      </c>
      <c r="BT144" s="4">
        <v>0.70624999999999993</v>
      </c>
      <c r="BU144" s="2" t="s">
        <v>480</v>
      </c>
      <c r="BV144" s="2" t="s">
        <v>89</v>
      </c>
      <c r="BY144" s="2">
        <v>1200</v>
      </c>
      <c r="BZ144" s="2" t="s">
        <v>27</v>
      </c>
      <c r="CA144" s="2" t="s">
        <v>481</v>
      </c>
      <c r="CC144" s="2" t="s">
        <v>326</v>
      </c>
      <c r="CD144" s="2">
        <v>1930</v>
      </c>
      <c r="CE144" s="2" t="s">
        <v>383</v>
      </c>
      <c r="CF144" s="3">
        <v>43080</v>
      </c>
      <c r="CI144" s="2">
        <v>1</v>
      </c>
      <c r="CJ144" s="2">
        <v>3</v>
      </c>
      <c r="CK144" s="2">
        <v>21</v>
      </c>
      <c r="CL144" s="2" t="s">
        <v>89</v>
      </c>
    </row>
    <row r="145" spans="1:90">
      <c r="A145" s="2" t="s">
        <v>71</v>
      </c>
      <c r="B145" s="2" t="s">
        <v>72</v>
      </c>
      <c r="C145" s="2" t="s">
        <v>73</v>
      </c>
      <c r="E145" s="2" t="str">
        <f>"FES1162593640"</f>
        <v>FES1162593640</v>
      </c>
      <c r="F145" s="3">
        <v>43073</v>
      </c>
      <c r="G145" s="2">
        <v>201806</v>
      </c>
      <c r="H145" s="2" t="s">
        <v>74</v>
      </c>
      <c r="I145" s="2" t="s">
        <v>75</v>
      </c>
      <c r="J145" s="2" t="s">
        <v>97</v>
      </c>
      <c r="K145" s="2" t="s">
        <v>77</v>
      </c>
      <c r="L145" s="2" t="s">
        <v>106</v>
      </c>
      <c r="M145" s="2" t="s">
        <v>107</v>
      </c>
      <c r="N145" s="2" t="s">
        <v>482</v>
      </c>
      <c r="O145" s="2" t="s">
        <v>101</v>
      </c>
      <c r="P145" s="2" t="str">
        <f>"217593640                     "</f>
        <v xml:space="preserve">217593640 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4.41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</v>
      </c>
      <c r="BJ145" s="2">
        <v>0.2</v>
      </c>
      <c r="BK145" s="2">
        <v>1</v>
      </c>
      <c r="BL145" s="2">
        <v>35.270000000000003</v>
      </c>
      <c r="BM145" s="2">
        <v>4.9400000000000004</v>
      </c>
      <c r="BN145" s="2">
        <v>40.21</v>
      </c>
      <c r="BO145" s="2">
        <v>40.21</v>
      </c>
      <c r="BQ145" s="2" t="s">
        <v>102</v>
      </c>
      <c r="BR145" s="2" t="s">
        <v>103</v>
      </c>
      <c r="BS145" s="3">
        <v>43074</v>
      </c>
      <c r="BT145" s="4">
        <v>0.4375</v>
      </c>
      <c r="BU145" s="2" t="s">
        <v>483</v>
      </c>
      <c r="BV145" s="2" t="s">
        <v>85</v>
      </c>
      <c r="BY145" s="2">
        <v>1200</v>
      </c>
      <c r="BZ145" s="2" t="s">
        <v>27</v>
      </c>
      <c r="CA145" s="2" t="s">
        <v>429</v>
      </c>
      <c r="CC145" s="2" t="s">
        <v>107</v>
      </c>
      <c r="CD145" s="2">
        <v>2091</v>
      </c>
      <c r="CE145" s="2" t="s">
        <v>120</v>
      </c>
      <c r="CF145" s="3">
        <v>43077</v>
      </c>
      <c r="CI145" s="2">
        <v>1</v>
      </c>
      <c r="CJ145" s="2">
        <v>1</v>
      </c>
      <c r="CK145" s="2">
        <v>22</v>
      </c>
      <c r="CL145" s="2" t="s">
        <v>89</v>
      </c>
    </row>
    <row r="146" spans="1:90">
      <c r="A146" s="2" t="s">
        <v>71</v>
      </c>
      <c r="B146" s="2" t="s">
        <v>72</v>
      </c>
      <c r="C146" s="2" t="s">
        <v>73</v>
      </c>
      <c r="E146" s="2" t="str">
        <f>"FES1162593743"</f>
        <v>FES1162593743</v>
      </c>
      <c r="F146" s="3">
        <v>43073</v>
      </c>
      <c r="G146" s="2">
        <v>201806</v>
      </c>
      <c r="H146" s="2" t="s">
        <v>74</v>
      </c>
      <c r="I146" s="2" t="s">
        <v>75</v>
      </c>
      <c r="J146" s="2" t="s">
        <v>97</v>
      </c>
      <c r="K146" s="2" t="s">
        <v>77</v>
      </c>
      <c r="L146" s="2" t="s">
        <v>74</v>
      </c>
      <c r="M146" s="2" t="s">
        <v>75</v>
      </c>
      <c r="N146" s="2" t="s">
        <v>484</v>
      </c>
      <c r="O146" s="2" t="s">
        <v>101</v>
      </c>
      <c r="P146" s="2" t="str">
        <f>"2170605835                    "</f>
        <v xml:space="preserve">2170605835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4.41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35.270000000000003</v>
      </c>
      <c r="BM146" s="2">
        <v>4.9400000000000004</v>
      </c>
      <c r="BN146" s="2">
        <v>40.21</v>
      </c>
      <c r="BO146" s="2">
        <v>40.21</v>
      </c>
      <c r="BQ146" s="2" t="s">
        <v>102</v>
      </c>
      <c r="BR146" s="2" t="s">
        <v>103</v>
      </c>
      <c r="BS146" s="3">
        <v>43074</v>
      </c>
      <c r="BT146" s="4">
        <v>0.3125</v>
      </c>
      <c r="BU146" s="2" t="s">
        <v>485</v>
      </c>
      <c r="BV146" s="2" t="s">
        <v>85</v>
      </c>
      <c r="BY146" s="2">
        <v>1200</v>
      </c>
      <c r="BZ146" s="2" t="s">
        <v>27</v>
      </c>
      <c r="CA146" s="2" t="s">
        <v>486</v>
      </c>
      <c r="CC146" s="2" t="s">
        <v>75</v>
      </c>
      <c r="CD146" s="2">
        <v>1600</v>
      </c>
      <c r="CE146" s="2" t="s">
        <v>120</v>
      </c>
      <c r="CF146" s="3">
        <v>43077</v>
      </c>
      <c r="CI146" s="2">
        <v>1</v>
      </c>
      <c r="CJ146" s="2">
        <v>1</v>
      </c>
      <c r="CK146" s="2">
        <v>22</v>
      </c>
      <c r="CL146" s="2" t="s">
        <v>89</v>
      </c>
    </row>
    <row r="147" spans="1:90">
      <c r="A147" s="2" t="s">
        <v>71</v>
      </c>
      <c r="B147" s="2" t="s">
        <v>72</v>
      </c>
      <c r="C147" s="2" t="s">
        <v>73</v>
      </c>
      <c r="E147" s="2" t="str">
        <f>"FES1162593555"</f>
        <v>FES1162593555</v>
      </c>
      <c r="F147" s="3">
        <v>43073</v>
      </c>
      <c r="G147" s="2">
        <v>201806</v>
      </c>
      <c r="H147" s="2" t="s">
        <v>74</v>
      </c>
      <c r="I147" s="2" t="s">
        <v>75</v>
      </c>
      <c r="J147" s="2" t="s">
        <v>97</v>
      </c>
      <c r="K147" s="2" t="s">
        <v>77</v>
      </c>
      <c r="L147" s="2" t="s">
        <v>173</v>
      </c>
      <c r="M147" s="2" t="s">
        <v>174</v>
      </c>
      <c r="N147" s="2" t="s">
        <v>487</v>
      </c>
      <c r="O147" s="2" t="s">
        <v>101</v>
      </c>
      <c r="P147" s="2" t="str">
        <f>"2170605660                    "</f>
        <v xml:space="preserve">2170605660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5.65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0.2</v>
      </c>
      <c r="BK147" s="2">
        <v>1</v>
      </c>
      <c r="BL147" s="2">
        <v>45.15</v>
      </c>
      <c r="BM147" s="2">
        <v>6.32</v>
      </c>
      <c r="BN147" s="2">
        <v>51.47</v>
      </c>
      <c r="BO147" s="2">
        <v>51.47</v>
      </c>
      <c r="BQ147" s="2" t="s">
        <v>82</v>
      </c>
      <c r="BR147" s="2" t="s">
        <v>103</v>
      </c>
      <c r="BS147" s="3">
        <v>43074</v>
      </c>
      <c r="BT147" s="4">
        <v>0.59375</v>
      </c>
      <c r="BU147" s="2" t="s">
        <v>488</v>
      </c>
      <c r="BV147" s="2" t="s">
        <v>89</v>
      </c>
      <c r="BW147" s="2" t="s">
        <v>149</v>
      </c>
      <c r="BX147" s="2" t="s">
        <v>368</v>
      </c>
      <c r="BY147" s="2">
        <v>1200</v>
      </c>
      <c r="BZ147" s="2" t="s">
        <v>27</v>
      </c>
      <c r="CA147" s="2" t="s">
        <v>489</v>
      </c>
      <c r="CC147" s="2" t="s">
        <v>174</v>
      </c>
      <c r="CD147" s="2">
        <v>7580</v>
      </c>
      <c r="CE147" s="2" t="s">
        <v>383</v>
      </c>
      <c r="CF147" s="3">
        <v>43075</v>
      </c>
      <c r="CI147" s="2">
        <v>1</v>
      </c>
      <c r="CJ147" s="2">
        <v>1</v>
      </c>
      <c r="CK147" s="2">
        <v>21</v>
      </c>
      <c r="CL147" s="2" t="s">
        <v>89</v>
      </c>
    </row>
    <row r="148" spans="1:90">
      <c r="A148" s="2" t="s">
        <v>71</v>
      </c>
      <c r="B148" s="2" t="s">
        <v>72</v>
      </c>
      <c r="C148" s="2" t="s">
        <v>73</v>
      </c>
      <c r="E148" s="2" t="str">
        <f>"FES1162593493"</f>
        <v>FES1162593493</v>
      </c>
      <c r="F148" s="3">
        <v>43073</v>
      </c>
      <c r="G148" s="2">
        <v>201806</v>
      </c>
      <c r="H148" s="2" t="s">
        <v>74</v>
      </c>
      <c r="I148" s="2" t="s">
        <v>75</v>
      </c>
      <c r="J148" s="2" t="s">
        <v>97</v>
      </c>
      <c r="K148" s="2" t="s">
        <v>77</v>
      </c>
      <c r="L148" s="2" t="s">
        <v>490</v>
      </c>
      <c r="M148" s="2" t="s">
        <v>491</v>
      </c>
      <c r="N148" s="2" t="s">
        <v>492</v>
      </c>
      <c r="O148" s="2" t="s">
        <v>101</v>
      </c>
      <c r="P148" s="2" t="str">
        <f>"2170605244                    "</f>
        <v xml:space="preserve">2170605244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5.65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0.7</v>
      </c>
      <c r="BJ148" s="2">
        <v>0.6</v>
      </c>
      <c r="BK148" s="2">
        <v>1</v>
      </c>
      <c r="BL148" s="2">
        <v>45.15</v>
      </c>
      <c r="BM148" s="2">
        <v>6.32</v>
      </c>
      <c r="BN148" s="2">
        <v>51.47</v>
      </c>
      <c r="BO148" s="2">
        <v>51.47</v>
      </c>
      <c r="BQ148" s="2" t="s">
        <v>82</v>
      </c>
      <c r="BR148" s="2" t="s">
        <v>103</v>
      </c>
      <c r="BS148" s="3">
        <v>43074</v>
      </c>
      <c r="BT148" s="4">
        <v>0.4236111111111111</v>
      </c>
      <c r="BU148" s="2" t="s">
        <v>493</v>
      </c>
      <c r="BV148" s="2" t="s">
        <v>85</v>
      </c>
      <c r="BY148" s="2">
        <v>3115.45</v>
      </c>
      <c r="BZ148" s="2" t="s">
        <v>27</v>
      </c>
      <c r="CA148" s="2" t="s">
        <v>494</v>
      </c>
      <c r="CC148" s="2" t="s">
        <v>491</v>
      </c>
      <c r="CD148" s="2">
        <v>3699</v>
      </c>
      <c r="CE148" s="2" t="s">
        <v>383</v>
      </c>
      <c r="CF148" s="3">
        <v>43076</v>
      </c>
      <c r="CI148" s="2">
        <v>1</v>
      </c>
      <c r="CJ148" s="2">
        <v>1</v>
      </c>
      <c r="CK148" s="2">
        <v>21</v>
      </c>
      <c r="CL148" s="2" t="s">
        <v>89</v>
      </c>
    </row>
    <row r="149" spans="1:90">
      <c r="A149" s="2" t="s">
        <v>71</v>
      </c>
      <c r="B149" s="2" t="s">
        <v>72</v>
      </c>
      <c r="C149" s="2" t="s">
        <v>73</v>
      </c>
      <c r="E149" s="2" t="str">
        <f>"FES1162593527"</f>
        <v>FES1162593527</v>
      </c>
      <c r="F149" s="3">
        <v>43073</v>
      </c>
      <c r="G149" s="2">
        <v>201806</v>
      </c>
      <c r="H149" s="2" t="s">
        <v>74</v>
      </c>
      <c r="I149" s="2" t="s">
        <v>75</v>
      </c>
      <c r="J149" s="2" t="s">
        <v>97</v>
      </c>
      <c r="K149" s="2" t="s">
        <v>77</v>
      </c>
      <c r="L149" s="2" t="s">
        <v>131</v>
      </c>
      <c r="M149" s="2" t="s">
        <v>132</v>
      </c>
      <c r="N149" s="2" t="s">
        <v>228</v>
      </c>
      <c r="O149" s="2" t="s">
        <v>101</v>
      </c>
      <c r="P149" s="2" t="str">
        <f>"2170605627                    "</f>
        <v xml:space="preserve">2170605627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5.65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</v>
      </c>
      <c r="BJ149" s="2">
        <v>0.2</v>
      </c>
      <c r="BK149" s="2">
        <v>1</v>
      </c>
      <c r="BL149" s="2">
        <v>45.15</v>
      </c>
      <c r="BM149" s="2">
        <v>6.32</v>
      </c>
      <c r="BN149" s="2">
        <v>51.47</v>
      </c>
      <c r="BO149" s="2">
        <v>51.47</v>
      </c>
      <c r="BQ149" s="2" t="s">
        <v>229</v>
      </c>
      <c r="BR149" s="2" t="s">
        <v>103</v>
      </c>
      <c r="BS149" s="3">
        <v>43074</v>
      </c>
      <c r="BT149" s="4">
        <v>0.3888888888888889</v>
      </c>
      <c r="BU149" s="2" t="s">
        <v>230</v>
      </c>
      <c r="BV149" s="2" t="s">
        <v>85</v>
      </c>
      <c r="BY149" s="2">
        <v>1200</v>
      </c>
      <c r="BZ149" s="2" t="s">
        <v>27</v>
      </c>
      <c r="CA149" s="2" t="s">
        <v>231</v>
      </c>
      <c r="CC149" s="2" t="s">
        <v>132</v>
      </c>
      <c r="CD149" s="2">
        <v>4300</v>
      </c>
      <c r="CE149" s="2" t="s">
        <v>383</v>
      </c>
      <c r="CF149" s="3">
        <v>43075</v>
      </c>
      <c r="CI149" s="2">
        <v>1</v>
      </c>
      <c r="CJ149" s="2">
        <v>1</v>
      </c>
      <c r="CK149" s="2">
        <v>21</v>
      </c>
      <c r="CL149" s="2" t="s">
        <v>89</v>
      </c>
    </row>
    <row r="150" spans="1:90">
      <c r="A150" s="2" t="s">
        <v>71</v>
      </c>
      <c r="B150" s="2" t="s">
        <v>72</v>
      </c>
      <c r="C150" s="2" t="s">
        <v>73</v>
      </c>
      <c r="E150" s="2" t="str">
        <f>"FES1162593484"</f>
        <v>FES1162593484</v>
      </c>
      <c r="F150" s="3">
        <v>43073</v>
      </c>
      <c r="G150" s="2">
        <v>201806</v>
      </c>
      <c r="H150" s="2" t="s">
        <v>74</v>
      </c>
      <c r="I150" s="2" t="s">
        <v>75</v>
      </c>
      <c r="J150" s="2" t="s">
        <v>97</v>
      </c>
      <c r="K150" s="2" t="s">
        <v>77</v>
      </c>
      <c r="L150" s="2" t="s">
        <v>98</v>
      </c>
      <c r="M150" s="2" t="s">
        <v>99</v>
      </c>
      <c r="N150" s="2" t="s">
        <v>495</v>
      </c>
      <c r="O150" s="2" t="s">
        <v>101</v>
      </c>
      <c r="P150" s="2" t="str">
        <f>"2170605060                    "</f>
        <v xml:space="preserve">2170605060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12.71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4.2</v>
      </c>
      <c r="BJ150" s="2">
        <v>1.4</v>
      </c>
      <c r="BK150" s="2">
        <v>4.5</v>
      </c>
      <c r="BL150" s="2">
        <v>101.56</v>
      </c>
      <c r="BM150" s="2">
        <v>14.22</v>
      </c>
      <c r="BN150" s="2">
        <v>115.78</v>
      </c>
      <c r="BO150" s="2">
        <v>115.78</v>
      </c>
      <c r="BQ150" s="2" t="s">
        <v>82</v>
      </c>
      <c r="BR150" s="2" t="s">
        <v>103</v>
      </c>
      <c r="BS150" s="3">
        <v>43074</v>
      </c>
      <c r="BT150" s="4">
        <v>0.38194444444444442</v>
      </c>
      <c r="BU150" s="2" t="s">
        <v>496</v>
      </c>
      <c r="BV150" s="2" t="s">
        <v>85</v>
      </c>
      <c r="BY150" s="2">
        <v>6844.32</v>
      </c>
      <c r="BZ150" s="2" t="s">
        <v>27</v>
      </c>
      <c r="CA150" s="2" t="s">
        <v>497</v>
      </c>
      <c r="CC150" s="2" t="s">
        <v>99</v>
      </c>
      <c r="CD150" s="2">
        <v>3201</v>
      </c>
      <c r="CE150" s="2" t="s">
        <v>288</v>
      </c>
      <c r="CF150" s="3">
        <v>43076</v>
      </c>
      <c r="CI150" s="2">
        <v>1</v>
      </c>
      <c r="CJ150" s="2">
        <v>1</v>
      </c>
      <c r="CK150" s="2">
        <v>21</v>
      </c>
      <c r="CL150" s="2" t="s">
        <v>89</v>
      </c>
    </row>
    <row r="151" spans="1:90">
      <c r="A151" s="2" t="s">
        <v>71</v>
      </c>
      <c r="B151" s="2" t="s">
        <v>72</v>
      </c>
      <c r="C151" s="2" t="s">
        <v>73</v>
      </c>
      <c r="E151" s="2" t="str">
        <f>"FES1162593536"</f>
        <v>FES1162593536</v>
      </c>
      <c r="F151" s="3">
        <v>43073</v>
      </c>
      <c r="G151" s="2">
        <v>201806</v>
      </c>
      <c r="H151" s="2" t="s">
        <v>74</v>
      </c>
      <c r="I151" s="2" t="s">
        <v>75</v>
      </c>
      <c r="J151" s="2" t="s">
        <v>97</v>
      </c>
      <c r="K151" s="2" t="s">
        <v>77</v>
      </c>
      <c r="L151" s="2" t="s">
        <v>173</v>
      </c>
      <c r="M151" s="2" t="s">
        <v>174</v>
      </c>
      <c r="N151" s="2" t="s">
        <v>498</v>
      </c>
      <c r="O151" s="2" t="s">
        <v>101</v>
      </c>
      <c r="P151" s="2" t="str">
        <f>"2170605638                    "</f>
        <v xml:space="preserve">2170605638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5.65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45.15</v>
      </c>
      <c r="BM151" s="2">
        <v>6.32</v>
      </c>
      <c r="BN151" s="2">
        <v>51.47</v>
      </c>
      <c r="BO151" s="2">
        <v>51.47</v>
      </c>
      <c r="BQ151" s="2" t="s">
        <v>499</v>
      </c>
      <c r="BR151" s="2" t="s">
        <v>103</v>
      </c>
      <c r="BS151" s="3">
        <v>43074</v>
      </c>
      <c r="BT151" s="4">
        <v>0.41666666666666669</v>
      </c>
      <c r="BU151" s="2" t="s">
        <v>500</v>
      </c>
      <c r="BV151" s="2" t="s">
        <v>85</v>
      </c>
      <c r="BY151" s="2">
        <v>1200</v>
      </c>
      <c r="BZ151" s="2" t="s">
        <v>27</v>
      </c>
      <c r="CA151" s="2" t="s">
        <v>360</v>
      </c>
      <c r="CC151" s="2" t="s">
        <v>174</v>
      </c>
      <c r="CD151" s="2">
        <v>7405</v>
      </c>
      <c r="CE151" s="2" t="s">
        <v>383</v>
      </c>
      <c r="CF151" s="3">
        <v>43075</v>
      </c>
      <c r="CI151" s="2">
        <v>1</v>
      </c>
      <c r="CJ151" s="2">
        <v>1</v>
      </c>
      <c r="CK151" s="2">
        <v>21</v>
      </c>
      <c r="CL151" s="2" t="s">
        <v>89</v>
      </c>
    </row>
    <row r="152" spans="1:90">
      <c r="A152" s="2" t="s">
        <v>71</v>
      </c>
      <c r="B152" s="2" t="s">
        <v>72</v>
      </c>
      <c r="C152" s="2" t="s">
        <v>73</v>
      </c>
      <c r="E152" s="2" t="str">
        <f>"FES1162593650"</f>
        <v>FES1162593650</v>
      </c>
      <c r="F152" s="3">
        <v>43073</v>
      </c>
      <c r="G152" s="2">
        <v>201806</v>
      </c>
      <c r="H152" s="2" t="s">
        <v>74</v>
      </c>
      <c r="I152" s="2" t="s">
        <v>75</v>
      </c>
      <c r="J152" s="2" t="s">
        <v>97</v>
      </c>
      <c r="K152" s="2" t="s">
        <v>77</v>
      </c>
      <c r="L152" s="2" t="s">
        <v>173</v>
      </c>
      <c r="M152" s="2" t="s">
        <v>174</v>
      </c>
      <c r="N152" s="2" t="s">
        <v>175</v>
      </c>
      <c r="O152" s="2" t="s">
        <v>101</v>
      </c>
      <c r="P152" s="2" t="str">
        <f>"2170604891                    "</f>
        <v xml:space="preserve">2170604891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5.65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0.2</v>
      </c>
      <c r="BK152" s="2">
        <v>1</v>
      </c>
      <c r="BL152" s="2">
        <v>45.15</v>
      </c>
      <c r="BM152" s="2">
        <v>6.32</v>
      </c>
      <c r="BN152" s="2">
        <v>51.47</v>
      </c>
      <c r="BO152" s="2">
        <v>51.47</v>
      </c>
      <c r="BQ152" s="2" t="s">
        <v>102</v>
      </c>
      <c r="BR152" s="2" t="s">
        <v>103</v>
      </c>
      <c r="BS152" s="3">
        <v>43074</v>
      </c>
      <c r="BT152" s="4">
        <v>0.44375000000000003</v>
      </c>
      <c r="BU152" s="2" t="s">
        <v>176</v>
      </c>
      <c r="BV152" s="2" t="s">
        <v>85</v>
      </c>
      <c r="BY152" s="2">
        <v>1200</v>
      </c>
      <c r="BZ152" s="2" t="s">
        <v>27</v>
      </c>
      <c r="CA152" s="2" t="s">
        <v>177</v>
      </c>
      <c r="CC152" s="2" t="s">
        <v>174</v>
      </c>
      <c r="CD152" s="2">
        <v>7405</v>
      </c>
      <c r="CE152" s="2" t="s">
        <v>383</v>
      </c>
      <c r="CF152" s="3">
        <v>43075</v>
      </c>
      <c r="CI152" s="2">
        <v>1</v>
      </c>
      <c r="CJ152" s="2">
        <v>1</v>
      </c>
      <c r="CK152" s="2">
        <v>21</v>
      </c>
      <c r="CL152" s="2" t="s">
        <v>89</v>
      </c>
    </row>
    <row r="153" spans="1:90">
      <c r="A153" s="2" t="s">
        <v>71</v>
      </c>
      <c r="B153" s="2" t="s">
        <v>72</v>
      </c>
      <c r="C153" s="2" t="s">
        <v>73</v>
      </c>
      <c r="E153" s="2" t="str">
        <f>"FES1162593357"</f>
        <v>FES1162593357</v>
      </c>
      <c r="F153" s="3">
        <v>43073</v>
      </c>
      <c r="G153" s="2">
        <v>201806</v>
      </c>
      <c r="H153" s="2" t="s">
        <v>74</v>
      </c>
      <c r="I153" s="2" t="s">
        <v>75</v>
      </c>
      <c r="J153" s="2" t="s">
        <v>97</v>
      </c>
      <c r="K153" s="2" t="s">
        <v>77</v>
      </c>
      <c r="L153" s="2" t="s">
        <v>74</v>
      </c>
      <c r="M153" s="2" t="s">
        <v>75</v>
      </c>
      <c r="N153" s="2" t="s">
        <v>501</v>
      </c>
      <c r="O153" s="2" t="s">
        <v>101</v>
      </c>
      <c r="P153" s="2" t="str">
        <f>"21706502391                   "</f>
        <v xml:space="preserve">21706502391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4.41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6.2</v>
      </c>
      <c r="BJ153" s="2">
        <v>3.5</v>
      </c>
      <c r="BK153" s="2">
        <v>7</v>
      </c>
      <c r="BL153" s="2">
        <v>35.270000000000003</v>
      </c>
      <c r="BM153" s="2">
        <v>4.9400000000000004</v>
      </c>
      <c r="BN153" s="2">
        <v>40.21</v>
      </c>
      <c r="BO153" s="2">
        <v>40.21</v>
      </c>
      <c r="BQ153" s="2" t="s">
        <v>82</v>
      </c>
      <c r="BR153" s="2" t="s">
        <v>103</v>
      </c>
      <c r="BS153" s="3">
        <v>43074</v>
      </c>
      <c r="BT153" s="4">
        <v>0.32291666666666669</v>
      </c>
      <c r="BU153" s="2" t="s">
        <v>502</v>
      </c>
      <c r="BV153" s="2" t="s">
        <v>85</v>
      </c>
      <c r="BY153" s="2">
        <v>17440.5</v>
      </c>
      <c r="BZ153" s="2" t="s">
        <v>27</v>
      </c>
      <c r="CA153" s="2" t="s">
        <v>486</v>
      </c>
      <c r="CC153" s="2" t="s">
        <v>75</v>
      </c>
      <c r="CD153" s="2">
        <v>1609</v>
      </c>
      <c r="CE153" s="2" t="s">
        <v>95</v>
      </c>
      <c r="CF153" s="3">
        <v>43077</v>
      </c>
      <c r="CI153" s="2">
        <v>1</v>
      </c>
      <c r="CJ153" s="2">
        <v>1</v>
      </c>
      <c r="CK153" s="2">
        <v>22</v>
      </c>
      <c r="CL153" s="2" t="s">
        <v>89</v>
      </c>
    </row>
    <row r="154" spans="1:90">
      <c r="A154" s="2" t="s">
        <v>71</v>
      </c>
      <c r="B154" s="2" t="s">
        <v>72</v>
      </c>
      <c r="C154" s="2" t="s">
        <v>73</v>
      </c>
      <c r="E154" s="2" t="str">
        <f>"FES1162593556"</f>
        <v>FES1162593556</v>
      </c>
      <c r="F154" s="3">
        <v>43073</v>
      </c>
      <c r="G154" s="2">
        <v>201806</v>
      </c>
      <c r="H154" s="2" t="s">
        <v>74</v>
      </c>
      <c r="I154" s="2" t="s">
        <v>75</v>
      </c>
      <c r="J154" s="2" t="s">
        <v>97</v>
      </c>
      <c r="K154" s="2" t="s">
        <v>77</v>
      </c>
      <c r="L154" s="2" t="s">
        <v>74</v>
      </c>
      <c r="M154" s="2" t="s">
        <v>75</v>
      </c>
      <c r="N154" s="2" t="s">
        <v>503</v>
      </c>
      <c r="O154" s="2" t="s">
        <v>101</v>
      </c>
      <c r="P154" s="2" t="str">
        <f>"2170605663                    "</f>
        <v xml:space="preserve">2170605663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4.41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0.2</v>
      </c>
      <c r="BK154" s="2">
        <v>1</v>
      </c>
      <c r="BL154" s="2">
        <v>35.270000000000003</v>
      </c>
      <c r="BM154" s="2">
        <v>4.9400000000000004</v>
      </c>
      <c r="BN154" s="2">
        <v>40.21</v>
      </c>
      <c r="BO154" s="2">
        <v>40.21</v>
      </c>
      <c r="BQ154" s="2" t="s">
        <v>128</v>
      </c>
      <c r="BR154" s="2" t="s">
        <v>103</v>
      </c>
      <c r="BS154" s="3">
        <v>43074</v>
      </c>
      <c r="BT154" s="4">
        <v>0.4375</v>
      </c>
      <c r="BU154" s="2" t="s">
        <v>504</v>
      </c>
      <c r="BV154" s="2" t="s">
        <v>85</v>
      </c>
      <c r="BY154" s="2">
        <v>1200</v>
      </c>
      <c r="BZ154" s="2" t="s">
        <v>27</v>
      </c>
      <c r="CA154" s="2" t="s">
        <v>203</v>
      </c>
      <c r="CC154" s="2" t="s">
        <v>75</v>
      </c>
      <c r="CD154" s="2">
        <v>1665</v>
      </c>
      <c r="CE154" s="2" t="s">
        <v>120</v>
      </c>
      <c r="CF154" s="3">
        <v>43077</v>
      </c>
      <c r="CI154" s="2">
        <v>1</v>
      </c>
      <c r="CJ154" s="2">
        <v>1</v>
      </c>
      <c r="CK154" s="2">
        <v>22</v>
      </c>
      <c r="CL154" s="2" t="s">
        <v>89</v>
      </c>
    </row>
    <row r="155" spans="1:90">
      <c r="A155" s="2" t="s">
        <v>71</v>
      </c>
      <c r="B155" s="2" t="s">
        <v>72</v>
      </c>
      <c r="C155" s="2" t="s">
        <v>73</v>
      </c>
      <c r="E155" s="2" t="str">
        <f>"FES1162593748"</f>
        <v>FES1162593748</v>
      </c>
      <c r="F155" s="3">
        <v>43073</v>
      </c>
      <c r="G155" s="2">
        <v>201806</v>
      </c>
      <c r="H155" s="2" t="s">
        <v>74</v>
      </c>
      <c r="I155" s="2" t="s">
        <v>75</v>
      </c>
      <c r="J155" s="2" t="s">
        <v>97</v>
      </c>
      <c r="K155" s="2" t="s">
        <v>77</v>
      </c>
      <c r="L155" s="2" t="s">
        <v>125</v>
      </c>
      <c r="M155" s="2" t="s">
        <v>126</v>
      </c>
      <c r="N155" s="2" t="s">
        <v>505</v>
      </c>
      <c r="O155" s="2" t="s">
        <v>101</v>
      </c>
      <c r="P155" s="2" t="str">
        <f>"21706055788                   "</f>
        <v xml:space="preserve">21706055788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5.65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1</v>
      </c>
      <c r="BJ155" s="2">
        <v>0.2</v>
      </c>
      <c r="BK155" s="2">
        <v>1</v>
      </c>
      <c r="BL155" s="2">
        <v>45.15</v>
      </c>
      <c r="BM155" s="2">
        <v>6.32</v>
      </c>
      <c r="BN155" s="2">
        <v>51.47</v>
      </c>
      <c r="BO155" s="2">
        <v>51.47</v>
      </c>
      <c r="BQ155" s="2" t="s">
        <v>142</v>
      </c>
      <c r="BR155" s="2" t="s">
        <v>103</v>
      </c>
      <c r="BS155" s="3">
        <v>43074</v>
      </c>
      <c r="BT155" s="4">
        <v>0.40486111111111112</v>
      </c>
      <c r="BU155" s="2" t="s">
        <v>506</v>
      </c>
      <c r="BV155" s="2" t="s">
        <v>85</v>
      </c>
      <c r="BY155" s="2">
        <v>1200</v>
      </c>
      <c r="BZ155" s="2" t="s">
        <v>27</v>
      </c>
      <c r="CA155" s="2" t="s">
        <v>507</v>
      </c>
      <c r="CC155" s="2" t="s">
        <v>126</v>
      </c>
      <c r="CD155" s="2">
        <v>4051</v>
      </c>
      <c r="CE155" s="2" t="s">
        <v>383</v>
      </c>
      <c r="CF155" s="3">
        <v>43075</v>
      </c>
      <c r="CI155" s="2">
        <v>1</v>
      </c>
      <c r="CJ155" s="2">
        <v>1</v>
      </c>
      <c r="CK155" s="2">
        <v>21</v>
      </c>
      <c r="CL155" s="2" t="s">
        <v>89</v>
      </c>
    </row>
    <row r="156" spans="1:90">
      <c r="A156" s="2" t="s">
        <v>71</v>
      </c>
      <c r="B156" s="2" t="s">
        <v>72</v>
      </c>
      <c r="C156" s="2" t="s">
        <v>73</v>
      </c>
      <c r="E156" s="2" t="str">
        <f>"FES1162593593"</f>
        <v>FES1162593593</v>
      </c>
      <c r="F156" s="3">
        <v>43073</v>
      </c>
      <c r="G156" s="2">
        <v>201806</v>
      </c>
      <c r="H156" s="2" t="s">
        <v>74</v>
      </c>
      <c r="I156" s="2" t="s">
        <v>75</v>
      </c>
      <c r="J156" s="2" t="s">
        <v>97</v>
      </c>
      <c r="K156" s="2" t="s">
        <v>77</v>
      </c>
      <c r="L156" s="2" t="s">
        <v>173</v>
      </c>
      <c r="M156" s="2" t="s">
        <v>174</v>
      </c>
      <c r="N156" s="2" t="s">
        <v>323</v>
      </c>
      <c r="O156" s="2" t="s">
        <v>101</v>
      </c>
      <c r="P156" s="2" t="str">
        <f>"2170605707                    "</f>
        <v xml:space="preserve">2170605707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5.65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45.15</v>
      </c>
      <c r="BM156" s="2">
        <v>6.32</v>
      </c>
      <c r="BN156" s="2">
        <v>51.47</v>
      </c>
      <c r="BO156" s="2">
        <v>51.47</v>
      </c>
      <c r="BQ156" s="2" t="s">
        <v>82</v>
      </c>
      <c r="BR156" s="2" t="s">
        <v>103</v>
      </c>
      <c r="BS156" s="3">
        <v>43074</v>
      </c>
      <c r="BT156" s="4">
        <v>0.69236111111111109</v>
      </c>
      <c r="BU156" s="2" t="s">
        <v>324</v>
      </c>
      <c r="BV156" s="2" t="s">
        <v>89</v>
      </c>
      <c r="BW156" s="2" t="s">
        <v>313</v>
      </c>
      <c r="BX156" s="2" t="s">
        <v>246</v>
      </c>
      <c r="BY156" s="2">
        <v>1200</v>
      </c>
      <c r="BZ156" s="2" t="s">
        <v>27</v>
      </c>
      <c r="CA156" s="2" t="s">
        <v>177</v>
      </c>
      <c r="CC156" s="2" t="s">
        <v>174</v>
      </c>
      <c r="CD156" s="2">
        <v>7405</v>
      </c>
      <c r="CE156" s="2" t="s">
        <v>383</v>
      </c>
      <c r="CF156" s="3">
        <v>43075</v>
      </c>
      <c r="CI156" s="2">
        <v>1</v>
      </c>
      <c r="CJ156" s="2">
        <v>1</v>
      </c>
      <c r="CK156" s="2">
        <v>21</v>
      </c>
      <c r="CL156" s="2" t="s">
        <v>89</v>
      </c>
    </row>
    <row r="157" spans="1:90">
      <c r="A157" s="2" t="s">
        <v>71</v>
      </c>
      <c r="B157" s="2" t="s">
        <v>72</v>
      </c>
      <c r="C157" s="2" t="s">
        <v>73</v>
      </c>
      <c r="E157" s="2" t="str">
        <f>"FES1162593702"</f>
        <v>FES1162593702</v>
      </c>
      <c r="F157" s="3">
        <v>43073</v>
      </c>
      <c r="G157" s="2">
        <v>201806</v>
      </c>
      <c r="H157" s="2" t="s">
        <v>74</v>
      </c>
      <c r="I157" s="2" t="s">
        <v>75</v>
      </c>
      <c r="J157" s="2" t="s">
        <v>97</v>
      </c>
      <c r="K157" s="2" t="s">
        <v>77</v>
      </c>
      <c r="L157" s="2" t="s">
        <v>173</v>
      </c>
      <c r="M157" s="2" t="s">
        <v>174</v>
      </c>
      <c r="N157" s="2" t="s">
        <v>508</v>
      </c>
      <c r="O157" s="2" t="s">
        <v>101</v>
      </c>
      <c r="P157" s="2" t="str">
        <f>"2170605501                    "</f>
        <v xml:space="preserve">2170605501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5.65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1</v>
      </c>
      <c r="BJ157" s="2">
        <v>0.2</v>
      </c>
      <c r="BK157" s="2">
        <v>1</v>
      </c>
      <c r="BL157" s="2">
        <v>45.15</v>
      </c>
      <c r="BM157" s="2">
        <v>6.32</v>
      </c>
      <c r="BN157" s="2">
        <v>51.47</v>
      </c>
      <c r="BO157" s="2">
        <v>51.47</v>
      </c>
      <c r="BQ157" s="2" t="s">
        <v>82</v>
      </c>
      <c r="BR157" s="2" t="s">
        <v>103</v>
      </c>
      <c r="BS157" s="3">
        <v>43074</v>
      </c>
      <c r="BT157" s="4">
        <v>0.56041666666666667</v>
      </c>
      <c r="BU157" s="2" t="s">
        <v>509</v>
      </c>
      <c r="BV157" s="2" t="s">
        <v>89</v>
      </c>
      <c r="BW157" s="2" t="s">
        <v>149</v>
      </c>
      <c r="BX157" s="2" t="s">
        <v>246</v>
      </c>
      <c r="BY157" s="2">
        <v>1200</v>
      </c>
      <c r="BZ157" s="2" t="s">
        <v>27</v>
      </c>
      <c r="CA157" s="2" t="s">
        <v>510</v>
      </c>
      <c r="CC157" s="2" t="s">
        <v>174</v>
      </c>
      <c r="CD157" s="2">
        <v>7500</v>
      </c>
      <c r="CE157" s="2" t="s">
        <v>383</v>
      </c>
      <c r="CF157" s="3">
        <v>43075</v>
      </c>
      <c r="CI157" s="2">
        <v>1</v>
      </c>
      <c r="CJ157" s="2">
        <v>1</v>
      </c>
      <c r="CK157" s="2">
        <v>21</v>
      </c>
      <c r="CL157" s="2" t="s">
        <v>89</v>
      </c>
    </row>
    <row r="158" spans="1:90">
      <c r="A158" s="2" t="s">
        <v>71</v>
      </c>
      <c r="B158" s="2" t="s">
        <v>72</v>
      </c>
      <c r="C158" s="2" t="s">
        <v>73</v>
      </c>
      <c r="E158" s="2" t="str">
        <f>"FES1162593575"</f>
        <v>FES1162593575</v>
      </c>
      <c r="F158" s="3">
        <v>43073</v>
      </c>
      <c r="G158" s="2">
        <v>201806</v>
      </c>
      <c r="H158" s="2" t="s">
        <v>74</v>
      </c>
      <c r="I158" s="2" t="s">
        <v>75</v>
      </c>
      <c r="J158" s="2" t="s">
        <v>97</v>
      </c>
      <c r="K158" s="2" t="s">
        <v>77</v>
      </c>
      <c r="L158" s="2" t="s">
        <v>121</v>
      </c>
      <c r="M158" s="2" t="s">
        <v>122</v>
      </c>
      <c r="N158" s="2" t="s">
        <v>511</v>
      </c>
      <c r="O158" s="2" t="s">
        <v>101</v>
      </c>
      <c r="P158" s="2" t="str">
        <f>"2170605673                    "</f>
        <v xml:space="preserve">2170605673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7.94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63.49</v>
      </c>
      <c r="BM158" s="2">
        <v>8.89</v>
      </c>
      <c r="BN158" s="2">
        <v>72.38</v>
      </c>
      <c r="BO158" s="2">
        <v>72.38</v>
      </c>
      <c r="BQ158" s="2" t="s">
        <v>102</v>
      </c>
      <c r="BR158" s="2" t="s">
        <v>103</v>
      </c>
      <c r="BS158" s="3">
        <v>43075</v>
      </c>
      <c r="BT158" s="4">
        <v>0.41666666666666669</v>
      </c>
      <c r="BU158" s="2" t="s">
        <v>512</v>
      </c>
      <c r="BV158" s="2" t="s">
        <v>89</v>
      </c>
      <c r="BW158" s="2" t="s">
        <v>149</v>
      </c>
      <c r="BX158" s="2" t="s">
        <v>513</v>
      </c>
      <c r="BY158" s="2">
        <v>1200</v>
      </c>
      <c r="BZ158" s="2" t="s">
        <v>27</v>
      </c>
      <c r="CC158" s="2" t="s">
        <v>122</v>
      </c>
      <c r="CD158" s="2">
        <v>2200</v>
      </c>
      <c r="CE158" s="2" t="s">
        <v>120</v>
      </c>
      <c r="CF158" s="3">
        <v>43077</v>
      </c>
      <c r="CI158" s="2">
        <v>1</v>
      </c>
      <c r="CJ158" s="2">
        <v>2</v>
      </c>
      <c r="CK158" s="2">
        <v>24</v>
      </c>
      <c r="CL158" s="2" t="s">
        <v>89</v>
      </c>
    </row>
    <row r="159" spans="1:90">
      <c r="A159" s="2" t="s">
        <v>71</v>
      </c>
      <c r="B159" s="2" t="s">
        <v>72</v>
      </c>
      <c r="C159" s="2" t="s">
        <v>73</v>
      </c>
      <c r="E159" s="2" t="str">
        <f>"FES1162593714"</f>
        <v>FES1162593714</v>
      </c>
      <c r="F159" s="3">
        <v>43073</v>
      </c>
      <c r="G159" s="2">
        <v>201806</v>
      </c>
      <c r="H159" s="2" t="s">
        <v>74</v>
      </c>
      <c r="I159" s="2" t="s">
        <v>75</v>
      </c>
      <c r="J159" s="2" t="s">
        <v>97</v>
      </c>
      <c r="K159" s="2" t="s">
        <v>77</v>
      </c>
      <c r="L159" s="2" t="s">
        <v>173</v>
      </c>
      <c r="M159" s="2" t="s">
        <v>174</v>
      </c>
      <c r="N159" s="2" t="s">
        <v>175</v>
      </c>
      <c r="O159" s="2" t="s">
        <v>101</v>
      </c>
      <c r="P159" s="2" t="str">
        <f>"2170605685                    "</f>
        <v xml:space="preserve">2170605685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5.65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45.15</v>
      </c>
      <c r="BM159" s="2">
        <v>6.32</v>
      </c>
      <c r="BN159" s="2">
        <v>51.47</v>
      </c>
      <c r="BO159" s="2">
        <v>51.47</v>
      </c>
      <c r="BQ159" s="2" t="s">
        <v>102</v>
      </c>
      <c r="BR159" s="2" t="s">
        <v>103</v>
      </c>
      <c r="BS159" s="3">
        <v>43074</v>
      </c>
      <c r="BT159" s="4">
        <v>0.44444444444444442</v>
      </c>
      <c r="BU159" s="2" t="s">
        <v>176</v>
      </c>
      <c r="BV159" s="2" t="s">
        <v>85</v>
      </c>
      <c r="BY159" s="2">
        <v>1200</v>
      </c>
      <c r="BZ159" s="2" t="s">
        <v>27</v>
      </c>
      <c r="CA159" s="2" t="s">
        <v>177</v>
      </c>
      <c r="CC159" s="2" t="s">
        <v>174</v>
      </c>
      <c r="CD159" s="2">
        <v>7405</v>
      </c>
      <c r="CE159" s="2" t="s">
        <v>383</v>
      </c>
      <c r="CF159" s="3">
        <v>43075</v>
      </c>
      <c r="CI159" s="2">
        <v>1</v>
      </c>
      <c r="CJ159" s="2">
        <v>1</v>
      </c>
      <c r="CK159" s="2">
        <v>21</v>
      </c>
      <c r="CL159" s="2" t="s">
        <v>89</v>
      </c>
    </row>
    <row r="160" spans="1:90">
      <c r="A160" s="2" t="s">
        <v>71</v>
      </c>
      <c r="B160" s="2" t="s">
        <v>72</v>
      </c>
      <c r="C160" s="2" t="s">
        <v>73</v>
      </c>
      <c r="E160" s="2" t="str">
        <f>"FES1162593313"</f>
        <v>FES1162593313</v>
      </c>
      <c r="F160" s="3">
        <v>43073</v>
      </c>
      <c r="G160" s="2">
        <v>201806</v>
      </c>
      <c r="H160" s="2" t="s">
        <v>74</v>
      </c>
      <c r="I160" s="2" t="s">
        <v>75</v>
      </c>
      <c r="J160" s="2" t="s">
        <v>97</v>
      </c>
      <c r="K160" s="2" t="s">
        <v>77</v>
      </c>
      <c r="L160" s="2" t="s">
        <v>125</v>
      </c>
      <c r="M160" s="2" t="s">
        <v>126</v>
      </c>
      <c r="N160" s="2" t="s">
        <v>514</v>
      </c>
      <c r="O160" s="2" t="s">
        <v>101</v>
      </c>
      <c r="P160" s="2" t="str">
        <f>"2170603084                    "</f>
        <v xml:space="preserve">2170603084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5.65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45.15</v>
      </c>
      <c r="BM160" s="2">
        <v>6.32</v>
      </c>
      <c r="BN160" s="2">
        <v>51.47</v>
      </c>
      <c r="BO160" s="2">
        <v>51.47</v>
      </c>
      <c r="BQ160" s="2" t="s">
        <v>515</v>
      </c>
      <c r="BR160" s="2" t="s">
        <v>103</v>
      </c>
      <c r="BS160" s="3">
        <v>43074</v>
      </c>
      <c r="BT160" s="4">
        <v>0.30208333333333331</v>
      </c>
      <c r="BU160" s="2" t="s">
        <v>516</v>
      </c>
      <c r="BV160" s="2" t="s">
        <v>85</v>
      </c>
      <c r="BY160" s="2">
        <v>1200</v>
      </c>
      <c r="BZ160" s="2" t="s">
        <v>27</v>
      </c>
      <c r="CA160" s="2" t="s">
        <v>507</v>
      </c>
      <c r="CC160" s="2" t="s">
        <v>126</v>
      </c>
      <c r="CD160" s="2">
        <v>4001</v>
      </c>
      <c r="CE160" s="2" t="s">
        <v>383</v>
      </c>
      <c r="CF160" s="3">
        <v>43075</v>
      </c>
      <c r="CI160" s="2">
        <v>1</v>
      </c>
      <c r="CJ160" s="2">
        <v>1</v>
      </c>
      <c r="CK160" s="2">
        <v>21</v>
      </c>
      <c r="CL160" s="2" t="s">
        <v>89</v>
      </c>
    </row>
    <row r="161" spans="1:90">
      <c r="A161" s="2" t="s">
        <v>71</v>
      </c>
      <c r="B161" s="2" t="s">
        <v>72</v>
      </c>
      <c r="C161" s="2" t="s">
        <v>73</v>
      </c>
      <c r="E161" s="2" t="str">
        <f>"FES1162593689"</f>
        <v>FES1162593689</v>
      </c>
      <c r="F161" s="3">
        <v>43073</v>
      </c>
      <c r="G161" s="2">
        <v>201806</v>
      </c>
      <c r="H161" s="2" t="s">
        <v>74</v>
      </c>
      <c r="I161" s="2" t="s">
        <v>75</v>
      </c>
      <c r="J161" s="2" t="s">
        <v>97</v>
      </c>
      <c r="K161" s="2" t="s">
        <v>77</v>
      </c>
      <c r="L161" s="2" t="s">
        <v>173</v>
      </c>
      <c r="M161" s="2" t="s">
        <v>174</v>
      </c>
      <c r="N161" s="2" t="s">
        <v>517</v>
      </c>
      <c r="O161" s="2" t="s">
        <v>101</v>
      </c>
      <c r="P161" s="2" t="str">
        <f>"2170605021                    "</f>
        <v xml:space="preserve">2170605021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5.65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1</v>
      </c>
      <c r="BJ161" s="2">
        <v>0.2</v>
      </c>
      <c r="BK161" s="2">
        <v>1</v>
      </c>
      <c r="BL161" s="2">
        <v>45.15</v>
      </c>
      <c r="BM161" s="2">
        <v>6.32</v>
      </c>
      <c r="BN161" s="2">
        <v>51.47</v>
      </c>
      <c r="BO161" s="2">
        <v>51.47</v>
      </c>
      <c r="BQ161" s="2" t="s">
        <v>518</v>
      </c>
      <c r="BR161" s="2" t="s">
        <v>103</v>
      </c>
      <c r="BS161" s="3">
        <v>43074</v>
      </c>
      <c r="BT161" s="4">
        <v>0.46388888888888885</v>
      </c>
      <c r="BU161" s="2" t="s">
        <v>519</v>
      </c>
      <c r="BV161" s="2" t="s">
        <v>89</v>
      </c>
      <c r="BW161" s="2" t="s">
        <v>149</v>
      </c>
      <c r="BX161" s="2" t="s">
        <v>246</v>
      </c>
      <c r="BY161" s="2">
        <v>1200</v>
      </c>
      <c r="BZ161" s="2" t="s">
        <v>27</v>
      </c>
      <c r="CA161" s="2" t="s">
        <v>520</v>
      </c>
      <c r="CC161" s="2" t="s">
        <v>174</v>
      </c>
      <c r="CD161" s="2">
        <v>7550</v>
      </c>
      <c r="CE161" s="2" t="s">
        <v>383</v>
      </c>
      <c r="CF161" s="3">
        <v>43074</v>
      </c>
      <c r="CI161" s="2">
        <v>1</v>
      </c>
      <c r="CJ161" s="2">
        <v>1</v>
      </c>
      <c r="CK161" s="2">
        <v>21</v>
      </c>
      <c r="CL161" s="2" t="s">
        <v>89</v>
      </c>
    </row>
    <row r="162" spans="1:90">
      <c r="A162" s="2" t="s">
        <v>71</v>
      </c>
      <c r="B162" s="2" t="s">
        <v>72</v>
      </c>
      <c r="C162" s="2" t="s">
        <v>73</v>
      </c>
      <c r="E162" s="2" t="str">
        <f>"FES1162593684"</f>
        <v>FES1162593684</v>
      </c>
      <c r="F162" s="3">
        <v>43073</v>
      </c>
      <c r="G162" s="2">
        <v>201806</v>
      </c>
      <c r="H162" s="2" t="s">
        <v>74</v>
      </c>
      <c r="I162" s="2" t="s">
        <v>75</v>
      </c>
      <c r="J162" s="2" t="s">
        <v>97</v>
      </c>
      <c r="K162" s="2" t="s">
        <v>77</v>
      </c>
      <c r="L162" s="2" t="s">
        <v>521</v>
      </c>
      <c r="M162" s="2" t="s">
        <v>522</v>
      </c>
      <c r="N162" s="2" t="s">
        <v>523</v>
      </c>
      <c r="O162" s="2" t="s">
        <v>101</v>
      </c>
      <c r="P162" s="2" t="str">
        <f>"2170604731                    "</f>
        <v xml:space="preserve">2170604731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5.65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45.15</v>
      </c>
      <c r="BM162" s="2">
        <v>6.32</v>
      </c>
      <c r="BN162" s="2">
        <v>51.47</v>
      </c>
      <c r="BO162" s="2">
        <v>51.47</v>
      </c>
      <c r="BQ162" s="2" t="s">
        <v>102</v>
      </c>
      <c r="BR162" s="2" t="s">
        <v>103</v>
      </c>
      <c r="BS162" s="3">
        <v>43074</v>
      </c>
      <c r="BT162" s="4">
        <v>0.41666666666666669</v>
      </c>
      <c r="BU162" s="2" t="s">
        <v>524</v>
      </c>
      <c r="BV162" s="2" t="s">
        <v>85</v>
      </c>
      <c r="BY162" s="2">
        <v>1200</v>
      </c>
      <c r="BZ162" s="2" t="s">
        <v>27</v>
      </c>
      <c r="CA162" s="2" t="s">
        <v>525</v>
      </c>
      <c r="CC162" s="2" t="s">
        <v>522</v>
      </c>
      <c r="CD162" s="2">
        <v>6536</v>
      </c>
      <c r="CE162" s="2" t="s">
        <v>383</v>
      </c>
      <c r="CF162" s="3">
        <v>43076</v>
      </c>
      <c r="CI162" s="2">
        <v>1</v>
      </c>
      <c r="CJ162" s="2">
        <v>1</v>
      </c>
      <c r="CK162" s="2">
        <v>21</v>
      </c>
      <c r="CL162" s="2" t="s">
        <v>89</v>
      </c>
    </row>
    <row r="163" spans="1:90">
      <c r="A163" s="2" t="s">
        <v>71</v>
      </c>
      <c r="B163" s="2" t="s">
        <v>72</v>
      </c>
      <c r="C163" s="2" t="s">
        <v>73</v>
      </c>
      <c r="E163" s="2" t="str">
        <f>"FES1162593706"</f>
        <v>FES1162593706</v>
      </c>
      <c r="F163" s="3">
        <v>43073</v>
      </c>
      <c r="G163" s="2">
        <v>201806</v>
      </c>
      <c r="H163" s="2" t="s">
        <v>74</v>
      </c>
      <c r="I163" s="2" t="s">
        <v>75</v>
      </c>
      <c r="J163" s="2" t="s">
        <v>97</v>
      </c>
      <c r="K163" s="2" t="s">
        <v>77</v>
      </c>
      <c r="L163" s="2" t="s">
        <v>173</v>
      </c>
      <c r="M163" s="2" t="s">
        <v>174</v>
      </c>
      <c r="N163" s="2" t="s">
        <v>175</v>
      </c>
      <c r="O163" s="2" t="s">
        <v>101</v>
      </c>
      <c r="P163" s="2" t="str">
        <f>"2170605608                    "</f>
        <v xml:space="preserve">2170605608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5.65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</v>
      </c>
      <c r="BJ163" s="2">
        <v>0.2</v>
      </c>
      <c r="BK163" s="2">
        <v>1</v>
      </c>
      <c r="BL163" s="2">
        <v>45.15</v>
      </c>
      <c r="BM163" s="2">
        <v>6.32</v>
      </c>
      <c r="BN163" s="2">
        <v>51.47</v>
      </c>
      <c r="BO163" s="2">
        <v>51.47</v>
      </c>
      <c r="BQ163" s="2" t="s">
        <v>102</v>
      </c>
      <c r="BR163" s="2" t="s">
        <v>103</v>
      </c>
      <c r="BS163" s="3">
        <v>43074</v>
      </c>
      <c r="BT163" s="4">
        <v>0.44444444444444442</v>
      </c>
      <c r="BU163" s="2" t="s">
        <v>176</v>
      </c>
      <c r="BV163" s="2" t="s">
        <v>85</v>
      </c>
      <c r="BY163" s="2">
        <v>1200</v>
      </c>
      <c r="BZ163" s="2" t="s">
        <v>27</v>
      </c>
      <c r="CC163" s="2" t="s">
        <v>174</v>
      </c>
      <c r="CD163" s="2">
        <v>7405</v>
      </c>
      <c r="CE163" s="2" t="s">
        <v>383</v>
      </c>
      <c r="CF163" s="3">
        <v>43075</v>
      </c>
      <c r="CI163" s="2">
        <v>1</v>
      </c>
      <c r="CJ163" s="2">
        <v>1</v>
      </c>
      <c r="CK163" s="2">
        <v>21</v>
      </c>
      <c r="CL163" s="2" t="s">
        <v>89</v>
      </c>
    </row>
    <row r="164" spans="1:90">
      <c r="A164" s="2" t="s">
        <v>71</v>
      </c>
      <c r="B164" s="2" t="s">
        <v>72</v>
      </c>
      <c r="C164" s="2" t="s">
        <v>73</v>
      </c>
      <c r="E164" s="2" t="str">
        <f>"FES1162593671"</f>
        <v>FES1162593671</v>
      </c>
      <c r="F164" s="3">
        <v>43073</v>
      </c>
      <c r="G164" s="2">
        <v>201806</v>
      </c>
      <c r="H164" s="2" t="s">
        <v>74</v>
      </c>
      <c r="I164" s="2" t="s">
        <v>75</v>
      </c>
      <c r="J164" s="2" t="s">
        <v>97</v>
      </c>
      <c r="K164" s="2" t="s">
        <v>77</v>
      </c>
      <c r="L164" s="2" t="s">
        <v>526</v>
      </c>
      <c r="M164" s="2" t="s">
        <v>527</v>
      </c>
      <c r="N164" s="2" t="s">
        <v>528</v>
      </c>
      <c r="O164" s="2" t="s">
        <v>101</v>
      </c>
      <c r="P164" s="2" t="str">
        <f>"2170607344                    "</f>
        <v xml:space="preserve">2170607344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5.65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0.8</v>
      </c>
      <c r="BJ164" s="2">
        <v>1.7</v>
      </c>
      <c r="BK164" s="2">
        <v>2</v>
      </c>
      <c r="BL164" s="2">
        <v>45.15</v>
      </c>
      <c r="BM164" s="2">
        <v>6.32</v>
      </c>
      <c r="BN164" s="2">
        <v>51.47</v>
      </c>
      <c r="BO164" s="2">
        <v>51.47</v>
      </c>
      <c r="BQ164" s="2" t="s">
        <v>128</v>
      </c>
      <c r="BR164" s="2" t="s">
        <v>103</v>
      </c>
      <c r="BS164" s="3">
        <v>43074</v>
      </c>
      <c r="BT164" s="4">
        <v>0.41666666666666669</v>
      </c>
      <c r="BU164" s="2" t="s">
        <v>529</v>
      </c>
      <c r="BV164" s="2" t="s">
        <v>85</v>
      </c>
      <c r="BY164" s="2">
        <v>8423.02</v>
      </c>
      <c r="BZ164" s="2" t="s">
        <v>27</v>
      </c>
      <c r="CA164" s="2" t="s">
        <v>530</v>
      </c>
      <c r="CC164" s="2" t="s">
        <v>527</v>
      </c>
      <c r="CD164" s="2">
        <v>6850</v>
      </c>
      <c r="CE164" s="2" t="s">
        <v>383</v>
      </c>
      <c r="CF164" s="3">
        <v>43074</v>
      </c>
      <c r="CI164" s="2">
        <v>3</v>
      </c>
      <c r="CJ164" s="2">
        <v>1</v>
      </c>
      <c r="CK164" s="2">
        <v>21</v>
      </c>
      <c r="CL164" s="2" t="s">
        <v>89</v>
      </c>
    </row>
    <row r="165" spans="1:90">
      <c r="A165" s="2" t="s">
        <v>71</v>
      </c>
      <c r="B165" s="2" t="s">
        <v>72</v>
      </c>
      <c r="C165" s="2" t="s">
        <v>73</v>
      </c>
      <c r="E165" s="2" t="str">
        <f>"FES1162593621"</f>
        <v>FES1162593621</v>
      </c>
      <c r="F165" s="3">
        <v>43073</v>
      </c>
      <c r="G165" s="2">
        <v>201806</v>
      </c>
      <c r="H165" s="2" t="s">
        <v>74</v>
      </c>
      <c r="I165" s="2" t="s">
        <v>75</v>
      </c>
      <c r="J165" s="2" t="s">
        <v>97</v>
      </c>
      <c r="K165" s="2" t="s">
        <v>77</v>
      </c>
      <c r="L165" s="2" t="s">
        <v>212</v>
      </c>
      <c r="M165" s="2" t="s">
        <v>212</v>
      </c>
      <c r="N165" s="2" t="s">
        <v>213</v>
      </c>
      <c r="O165" s="2" t="s">
        <v>101</v>
      </c>
      <c r="P165" s="2" t="str">
        <f>"2170605511                    "</f>
        <v xml:space="preserve">2170605511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7.06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2.1</v>
      </c>
      <c r="BJ165" s="2">
        <v>0.9</v>
      </c>
      <c r="BK165" s="2">
        <v>2.5</v>
      </c>
      <c r="BL165" s="2">
        <v>56.43</v>
      </c>
      <c r="BM165" s="2">
        <v>7.9</v>
      </c>
      <c r="BN165" s="2">
        <v>64.33</v>
      </c>
      <c r="BO165" s="2">
        <v>64.33</v>
      </c>
      <c r="BQ165" s="2" t="s">
        <v>102</v>
      </c>
      <c r="BR165" s="2" t="s">
        <v>103</v>
      </c>
      <c r="BS165" s="3">
        <v>43074</v>
      </c>
      <c r="BT165" s="4">
        <v>0.57291666666666663</v>
      </c>
      <c r="BU165" s="2" t="s">
        <v>531</v>
      </c>
      <c r="BV165" s="2" t="s">
        <v>85</v>
      </c>
      <c r="BY165" s="2">
        <v>4351.2</v>
      </c>
      <c r="BZ165" s="2" t="s">
        <v>27</v>
      </c>
      <c r="CA165" s="2" t="s">
        <v>532</v>
      </c>
      <c r="CC165" s="2" t="s">
        <v>212</v>
      </c>
      <c r="CD165" s="2">
        <v>7646</v>
      </c>
      <c r="CE165" s="2" t="s">
        <v>282</v>
      </c>
      <c r="CF165" s="3">
        <v>43074</v>
      </c>
      <c r="CI165" s="2">
        <v>1</v>
      </c>
      <c r="CJ165" s="2">
        <v>1</v>
      </c>
      <c r="CK165" s="2">
        <v>21</v>
      </c>
      <c r="CL165" s="2" t="s">
        <v>89</v>
      </c>
    </row>
    <row r="166" spans="1:90">
      <c r="A166" s="2" t="s">
        <v>71</v>
      </c>
      <c r="B166" s="2" t="s">
        <v>72</v>
      </c>
      <c r="C166" s="2" t="s">
        <v>73</v>
      </c>
      <c r="E166" s="2" t="str">
        <f>"FES1162593644"</f>
        <v>FES1162593644</v>
      </c>
      <c r="F166" s="3">
        <v>43073</v>
      </c>
      <c r="G166" s="2">
        <v>201806</v>
      </c>
      <c r="H166" s="2" t="s">
        <v>74</v>
      </c>
      <c r="I166" s="2" t="s">
        <v>75</v>
      </c>
      <c r="J166" s="2" t="s">
        <v>97</v>
      </c>
      <c r="K166" s="2" t="s">
        <v>77</v>
      </c>
      <c r="L166" s="2" t="s">
        <v>173</v>
      </c>
      <c r="M166" s="2" t="s">
        <v>174</v>
      </c>
      <c r="N166" s="2" t="s">
        <v>533</v>
      </c>
      <c r="O166" s="2" t="s">
        <v>101</v>
      </c>
      <c r="P166" s="2" t="str">
        <f>"2170603261                    "</f>
        <v xml:space="preserve">2170603261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5.65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1.9</v>
      </c>
      <c r="BJ166" s="2">
        <v>1</v>
      </c>
      <c r="BK166" s="2">
        <v>2</v>
      </c>
      <c r="BL166" s="2">
        <v>45.15</v>
      </c>
      <c r="BM166" s="2">
        <v>6.32</v>
      </c>
      <c r="BN166" s="2">
        <v>51.47</v>
      </c>
      <c r="BO166" s="2">
        <v>51.47</v>
      </c>
      <c r="BQ166" s="2" t="s">
        <v>534</v>
      </c>
      <c r="BR166" s="2" t="s">
        <v>103</v>
      </c>
      <c r="BS166" s="3">
        <v>43074</v>
      </c>
      <c r="BT166" s="4">
        <v>0.41666666666666669</v>
      </c>
      <c r="BU166" s="2" t="s">
        <v>535</v>
      </c>
      <c r="BV166" s="2" t="s">
        <v>85</v>
      </c>
      <c r="BY166" s="2">
        <v>4925.9399999999996</v>
      </c>
      <c r="BZ166" s="2" t="s">
        <v>27</v>
      </c>
      <c r="CA166" s="2" t="s">
        <v>247</v>
      </c>
      <c r="CC166" s="2" t="s">
        <v>174</v>
      </c>
      <c r="CD166" s="2">
        <v>7500</v>
      </c>
      <c r="CE166" s="2" t="s">
        <v>282</v>
      </c>
      <c r="CF166" s="3">
        <v>43074</v>
      </c>
      <c r="CI166" s="2">
        <v>1</v>
      </c>
      <c r="CJ166" s="2">
        <v>1</v>
      </c>
      <c r="CK166" s="2">
        <v>21</v>
      </c>
      <c r="CL166" s="2" t="s">
        <v>89</v>
      </c>
    </row>
    <row r="167" spans="1:90">
      <c r="A167" s="2" t="s">
        <v>71</v>
      </c>
      <c r="B167" s="2" t="s">
        <v>72</v>
      </c>
      <c r="C167" s="2" t="s">
        <v>73</v>
      </c>
      <c r="E167" s="2" t="str">
        <f>"FES1162593598"</f>
        <v>FES1162593598</v>
      </c>
      <c r="F167" s="3">
        <v>43073</v>
      </c>
      <c r="G167" s="2">
        <v>201806</v>
      </c>
      <c r="H167" s="2" t="s">
        <v>74</v>
      </c>
      <c r="I167" s="2" t="s">
        <v>75</v>
      </c>
      <c r="J167" s="2" t="s">
        <v>97</v>
      </c>
      <c r="K167" s="2" t="s">
        <v>77</v>
      </c>
      <c r="L167" s="2" t="s">
        <v>173</v>
      </c>
      <c r="M167" s="2" t="s">
        <v>174</v>
      </c>
      <c r="N167" s="2" t="s">
        <v>376</v>
      </c>
      <c r="O167" s="2" t="s">
        <v>101</v>
      </c>
      <c r="P167" s="2" t="str">
        <f>"2170603163                    "</f>
        <v xml:space="preserve">2170603163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5.65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1.8</v>
      </c>
      <c r="BJ167" s="2">
        <v>0.9</v>
      </c>
      <c r="BK167" s="2">
        <v>2</v>
      </c>
      <c r="BL167" s="2">
        <v>45.15</v>
      </c>
      <c r="BM167" s="2">
        <v>6.32</v>
      </c>
      <c r="BN167" s="2">
        <v>51.47</v>
      </c>
      <c r="BO167" s="2">
        <v>51.47</v>
      </c>
      <c r="BQ167" s="2" t="s">
        <v>102</v>
      </c>
      <c r="BR167" s="2" t="s">
        <v>103</v>
      </c>
      <c r="BS167" s="3">
        <v>43074</v>
      </c>
      <c r="BT167" s="4">
        <v>0.49652777777777773</v>
      </c>
      <c r="BU167" s="2" t="s">
        <v>536</v>
      </c>
      <c r="BV167" s="2" t="s">
        <v>89</v>
      </c>
      <c r="BW167" s="2" t="s">
        <v>149</v>
      </c>
      <c r="BX167" s="2" t="s">
        <v>246</v>
      </c>
      <c r="BY167" s="2">
        <v>4377.6000000000004</v>
      </c>
      <c r="BZ167" s="2" t="s">
        <v>27</v>
      </c>
      <c r="CA167" s="2" t="s">
        <v>537</v>
      </c>
      <c r="CC167" s="2" t="s">
        <v>174</v>
      </c>
      <c r="CD167" s="2">
        <v>7490</v>
      </c>
      <c r="CE167" s="2" t="s">
        <v>282</v>
      </c>
      <c r="CF167" s="3">
        <v>43075</v>
      </c>
      <c r="CI167" s="2">
        <v>1</v>
      </c>
      <c r="CJ167" s="2">
        <v>1</v>
      </c>
      <c r="CK167" s="2">
        <v>21</v>
      </c>
      <c r="CL167" s="2" t="s">
        <v>89</v>
      </c>
    </row>
    <row r="168" spans="1:90">
      <c r="A168" s="2" t="s">
        <v>71</v>
      </c>
      <c r="B168" s="2" t="s">
        <v>72</v>
      </c>
      <c r="C168" s="2" t="s">
        <v>73</v>
      </c>
      <c r="E168" s="2" t="str">
        <f>"FES1162593604"</f>
        <v>FES1162593604</v>
      </c>
      <c r="F168" s="3">
        <v>43073</v>
      </c>
      <c r="G168" s="2">
        <v>201806</v>
      </c>
      <c r="H168" s="2" t="s">
        <v>74</v>
      </c>
      <c r="I168" s="2" t="s">
        <v>75</v>
      </c>
      <c r="J168" s="2" t="s">
        <v>97</v>
      </c>
      <c r="K168" s="2" t="s">
        <v>77</v>
      </c>
      <c r="L168" s="2" t="s">
        <v>212</v>
      </c>
      <c r="M168" s="2" t="s">
        <v>212</v>
      </c>
      <c r="N168" s="2" t="s">
        <v>370</v>
      </c>
      <c r="O168" s="2" t="s">
        <v>101</v>
      </c>
      <c r="P168" s="2" t="str">
        <f>"2170605715                    "</f>
        <v xml:space="preserve">2170605715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9.8800000000000008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2.8</v>
      </c>
      <c r="BJ168" s="2">
        <v>3.3</v>
      </c>
      <c r="BK168" s="2">
        <v>3.5</v>
      </c>
      <c r="BL168" s="2">
        <v>78.989999999999995</v>
      </c>
      <c r="BM168" s="2">
        <v>11.06</v>
      </c>
      <c r="BN168" s="2">
        <v>90.05</v>
      </c>
      <c r="BO168" s="2">
        <v>90.05</v>
      </c>
      <c r="BQ168" s="2" t="s">
        <v>102</v>
      </c>
      <c r="BR168" s="2" t="s">
        <v>103</v>
      </c>
      <c r="BS168" s="3">
        <v>43074</v>
      </c>
      <c r="BT168" s="4">
        <v>0.58333333333333337</v>
      </c>
      <c r="BU168" s="2" t="s">
        <v>538</v>
      </c>
      <c r="BV168" s="2" t="s">
        <v>89</v>
      </c>
      <c r="BW168" s="2" t="s">
        <v>149</v>
      </c>
      <c r="BX168" s="2" t="s">
        <v>368</v>
      </c>
      <c r="BY168" s="2">
        <v>16481.28</v>
      </c>
      <c r="BZ168" s="2" t="s">
        <v>27</v>
      </c>
      <c r="CA168" s="2" t="s">
        <v>532</v>
      </c>
      <c r="CC168" s="2" t="s">
        <v>212</v>
      </c>
      <c r="CD168" s="2">
        <v>7646</v>
      </c>
      <c r="CE168" s="2" t="s">
        <v>288</v>
      </c>
      <c r="CF168" s="3">
        <v>43074</v>
      </c>
      <c r="CI168" s="2">
        <v>1</v>
      </c>
      <c r="CJ168" s="2">
        <v>1</v>
      </c>
      <c r="CK168" s="2">
        <v>21</v>
      </c>
      <c r="CL168" s="2" t="s">
        <v>89</v>
      </c>
    </row>
    <row r="169" spans="1:90">
      <c r="A169" s="2" t="s">
        <v>71</v>
      </c>
      <c r="B169" s="2" t="s">
        <v>72</v>
      </c>
      <c r="C169" s="2" t="s">
        <v>73</v>
      </c>
      <c r="E169" s="2" t="str">
        <f>"FES1162593710"</f>
        <v>FES1162593710</v>
      </c>
      <c r="F169" s="3">
        <v>43073</v>
      </c>
      <c r="G169" s="2">
        <v>201806</v>
      </c>
      <c r="H169" s="2" t="s">
        <v>74</v>
      </c>
      <c r="I169" s="2" t="s">
        <v>75</v>
      </c>
      <c r="J169" s="2" t="s">
        <v>97</v>
      </c>
      <c r="K169" s="2" t="s">
        <v>77</v>
      </c>
      <c r="L169" s="2" t="s">
        <v>415</v>
      </c>
      <c r="M169" s="2" t="s">
        <v>416</v>
      </c>
      <c r="N169" s="2" t="s">
        <v>417</v>
      </c>
      <c r="O169" s="2" t="s">
        <v>101</v>
      </c>
      <c r="P169" s="2" t="str">
        <f>"2170605712                    "</f>
        <v xml:space="preserve">2170605712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7.06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2.1</v>
      </c>
      <c r="BJ169" s="2">
        <v>0.9</v>
      </c>
      <c r="BK169" s="2">
        <v>2.5</v>
      </c>
      <c r="BL169" s="2">
        <v>56.43</v>
      </c>
      <c r="BM169" s="2">
        <v>7.9</v>
      </c>
      <c r="BN169" s="2">
        <v>64.33</v>
      </c>
      <c r="BO169" s="2">
        <v>64.33</v>
      </c>
      <c r="BQ169" s="2" t="s">
        <v>102</v>
      </c>
      <c r="BR169" s="2" t="s">
        <v>103</v>
      </c>
      <c r="BS169" s="3">
        <v>43075</v>
      </c>
      <c r="BT169" s="4">
        <v>0.41666666666666669</v>
      </c>
      <c r="BU169" s="2" t="s">
        <v>539</v>
      </c>
      <c r="BV169" s="2" t="s">
        <v>85</v>
      </c>
      <c r="BY169" s="2">
        <v>4341.7299999999996</v>
      </c>
      <c r="BZ169" s="2" t="s">
        <v>27</v>
      </c>
      <c r="CA169" s="2" t="s">
        <v>293</v>
      </c>
      <c r="CC169" s="2" t="s">
        <v>416</v>
      </c>
      <c r="CD169" s="2">
        <v>6715</v>
      </c>
      <c r="CE169" s="2" t="s">
        <v>282</v>
      </c>
      <c r="CF169" s="3">
        <v>43076</v>
      </c>
      <c r="CI169" s="2">
        <v>3</v>
      </c>
      <c r="CJ169" s="2">
        <v>2</v>
      </c>
      <c r="CK169" s="2">
        <v>21</v>
      </c>
      <c r="CL169" s="2" t="s">
        <v>89</v>
      </c>
    </row>
    <row r="170" spans="1:90">
      <c r="A170" s="2" t="s">
        <v>71</v>
      </c>
      <c r="B170" s="2" t="s">
        <v>72</v>
      </c>
      <c r="C170" s="2" t="s">
        <v>73</v>
      </c>
      <c r="E170" s="2" t="str">
        <f>"FES1162593660"</f>
        <v>FES1162593660</v>
      </c>
      <c r="F170" s="3">
        <v>43073</v>
      </c>
      <c r="G170" s="2">
        <v>201806</v>
      </c>
      <c r="H170" s="2" t="s">
        <v>74</v>
      </c>
      <c r="I170" s="2" t="s">
        <v>75</v>
      </c>
      <c r="J170" s="2" t="s">
        <v>97</v>
      </c>
      <c r="K170" s="2" t="s">
        <v>77</v>
      </c>
      <c r="L170" s="2" t="s">
        <v>173</v>
      </c>
      <c r="M170" s="2" t="s">
        <v>174</v>
      </c>
      <c r="N170" s="2" t="s">
        <v>175</v>
      </c>
      <c r="O170" s="2" t="s">
        <v>101</v>
      </c>
      <c r="P170" s="2" t="str">
        <f>"2170605954                    "</f>
        <v xml:space="preserve">2170605954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5.65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2</v>
      </c>
      <c r="BJ170" s="2">
        <v>1.5</v>
      </c>
      <c r="BK170" s="2">
        <v>2</v>
      </c>
      <c r="BL170" s="2">
        <v>45.15</v>
      </c>
      <c r="BM170" s="2">
        <v>6.32</v>
      </c>
      <c r="BN170" s="2">
        <v>51.47</v>
      </c>
      <c r="BO170" s="2">
        <v>51.47</v>
      </c>
      <c r="BQ170" s="2" t="s">
        <v>102</v>
      </c>
      <c r="BR170" s="2" t="s">
        <v>103</v>
      </c>
      <c r="BS170" s="3">
        <v>43074</v>
      </c>
      <c r="BT170" s="4">
        <v>0.44375000000000003</v>
      </c>
      <c r="BU170" s="2" t="s">
        <v>176</v>
      </c>
      <c r="BV170" s="2" t="s">
        <v>85</v>
      </c>
      <c r="BY170" s="2">
        <v>7540</v>
      </c>
      <c r="BZ170" s="2" t="s">
        <v>27</v>
      </c>
      <c r="CA170" s="2" t="s">
        <v>177</v>
      </c>
      <c r="CC170" s="2" t="s">
        <v>174</v>
      </c>
      <c r="CD170" s="2">
        <v>7405</v>
      </c>
      <c r="CE170" s="2" t="s">
        <v>288</v>
      </c>
      <c r="CF170" s="3">
        <v>43075</v>
      </c>
      <c r="CI170" s="2">
        <v>1</v>
      </c>
      <c r="CJ170" s="2">
        <v>1</v>
      </c>
      <c r="CK170" s="2">
        <v>21</v>
      </c>
      <c r="CL170" s="2" t="s">
        <v>89</v>
      </c>
    </row>
    <row r="171" spans="1:90">
      <c r="A171" s="2" t="s">
        <v>71</v>
      </c>
      <c r="B171" s="2" t="s">
        <v>72</v>
      </c>
      <c r="C171" s="2" t="s">
        <v>73</v>
      </c>
      <c r="E171" s="2" t="str">
        <f>"FES1162593597"</f>
        <v>FES1162593597</v>
      </c>
      <c r="F171" s="3">
        <v>43073</v>
      </c>
      <c r="G171" s="2">
        <v>201806</v>
      </c>
      <c r="H171" s="2" t="s">
        <v>74</v>
      </c>
      <c r="I171" s="2" t="s">
        <v>75</v>
      </c>
      <c r="J171" s="2" t="s">
        <v>97</v>
      </c>
      <c r="K171" s="2" t="s">
        <v>77</v>
      </c>
      <c r="L171" s="2" t="s">
        <v>136</v>
      </c>
      <c r="M171" s="2" t="s">
        <v>137</v>
      </c>
      <c r="N171" s="2" t="s">
        <v>540</v>
      </c>
      <c r="O171" s="2" t="s">
        <v>101</v>
      </c>
      <c r="P171" s="2" t="str">
        <f>"2170605719                    "</f>
        <v xml:space="preserve">2170605719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46.58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6.5</v>
      </c>
      <c r="BJ171" s="2">
        <v>16.3</v>
      </c>
      <c r="BK171" s="2">
        <v>16.5</v>
      </c>
      <c r="BL171" s="2">
        <v>372.31</v>
      </c>
      <c r="BM171" s="2">
        <v>52.12</v>
      </c>
      <c r="BN171" s="2">
        <v>424.43</v>
      </c>
      <c r="BO171" s="2">
        <v>424.43</v>
      </c>
      <c r="BQ171" s="2" t="s">
        <v>541</v>
      </c>
      <c r="BR171" s="2" t="s">
        <v>103</v>
      </c>
      <c r="BS171" s="3">
        <v>43074</v>
      </c>
      <c r="BT171" s="4">
        <v>0.3430555555555555</v>
      </c>
      <c r="BU171" s="2" t="s">
        <v>161</v>
      </c>
      <c r="BV171" s="2" t="s">
        <v>85</v>
      </c>
      <c r="BY171" s="2">
        <v>81354.12</v>
      </c>
      <c r="BZ171" s="2" t="s">
        <v>27</v>
      </c>
      <c r="CC171" s="2" t="s">
        <v>137</v>
      </c>
      <c r="CD171" s="2">
        <v>6045</v>
      </c>
      <c r="CE171" s="2" t="s">
        <v>282</v>
      </c>
      <c r="CF171" s="3">
        <v>43075</v>
      </c>
      <c r="CI171" s="2">
        <v>1</v>
      </c>
      <c r="CJ171" s="2">
        <v>1</v>
      </c>
      <c r="CK171" s="2">
        <v>21</v>
      </c>
      <c r="CL171" s="2" t="s">
        <v>89</v>
      </c>
    </row>
    <row r="172" spans="1:90">
      <c r="A172" s="2" t="s">
        <v>71</v>
      </c>
      <c r="B172" s="2" t="s">
        <v>72</v>
      </c>
      <c r="C172" s="2" t="s">
        <v>73</v>
      </c>
      <c r="E172" s="2" t="str">
        <f>"FES1162593606"</f>
        <v>FES1162593606</v>
      </c>
      <c r="F172" s="3">
        <v>43073</v>
      </c>
      <c r="G172" s="2">
        <v>201806</v>
      </c>
      <c r="H172" s="2" t="s">
        <v>74</v>
      </c>
      <c r="I172" s="2" t="s">
        <v>75</v>
      </c>
      <c r="J172" s="2" t="s">
        <v>97</v>
      </c>
      <c r="K172" s="2" t="s">
        <v>77</v>
      </c>
      <c r="L172" s="2" t="s">
        <v>173</v>
      </c>
      <c r="M172" s="2" t="s">
        <v>174</v>
      </c>
      <c r="N172" s="2" t="s">
        <v>357</v>
      </c>
      <c r="O172" s="2" t="s">
        <v>101</v>
      </c>
      <c r="P172" s="2" t="str">
        <f>"2170605720                    "</f>
        <v xml:space="preserve">2170605720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5.65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1</v>
      </c>
      <c r="BJ172" s="2">
        <v>0.2</v>
      </c>
      <c r="BK172" s="2">
        <v>1</v>
      </c>
      <c r="BL172" s="2">
        <v>45.15</v>
      </c>
      <c r="BM172" s="2">
        <v>6.32</v>
      </c>
      <c r="BN172" s="2">
        <v>51.47</v>
      </c>
      <c r="BO172" s="2">
        <v>51.47</v>
      </c>
      <c r="BQ172" s="2" t="s">
        <v>82</v>
      </c>
      <c r="BR172" s="2" t="s">
        <v>103</v>
      </c>
      <c r="BS172" s="3">
        <v>43074</v>
      </c>
      <c r="BT172" s="4">
        <v>0.54236111111111118</v>
      </c>
      <c r="BU172" s="2" t="s">
        <v>359</v>
      </c>
      <c r="BV172" s="2" t="s">
        <v>89</v>
      </c>
      <c r="BW172" s="2" t="s">
        <v>149</v>
      </c>
      <c r="BX172" s="2" t="s">
        <v>368</v>
      </c>
      <c r="BY172" s="2">
        <v>1200</v>
      </c>
      <c r="BZ172" s="2" t="s">
        <v>27</v>
      </c>
      <c r="CA172" s="2" t="s">
        <v>360</v>
      </c>
      <c r="CC172" s="2" t="s">
        <v>174</v>
      </c>
      <c r="CD172" s="2">
        <v>7405</v>
      </c>
      <c r="CE172" s="2" t="s">
        <v>383</v>
      </c>
      <c r="CF172" s="3">
        <v>43075</v>
      </c>
      <c r="CI172" s="2">
        <v>1</v>
      </c>
      <c r="CJ172" s="2">
        <v>1</v>
      </c>
      <c r="CK172" s="2">
        <v>21</v>
      </c>
      <c r="CL172" s="2" t="s">
        <v>89</v>
      </c>
    </row>
    <row r="173" spans="1:90">
      <c r="A173" s="2" t="s">
        <v>71</v>
      </c>
      <c r="B173" s="2" t="s">
        <v>72</v>
      </c>
      <c r="C173" s="2" t="s">
        <v>73</v>
      </c>
      <c r="E173" s="2" t="str">
        <f>"FES1162593679"</f>
        <v>FES1162593679</v>
      </c>
      <c r="F173" s="3">
        <v>43073</v>
      </c>
      <c r="G173" s="2">
        <v>201806</v>
      </c>
      <c r="H173" s="2" t="s">
        <v>74</v>
      </c>
      <c r="I173" s="2" t="s">
        <v>75</v>
      </c>
      <c r="J173" s="2" t="s">
        <v>97</v>
      </c>
      <c r="K173" s="2" t="s">
        <v>77</v>
      </c>
      <c r="L173" s="2" t="s">
        <v>115</v>
      </c>
      <c r="M173" s="2" t="s">
        <v>116</v>
      </c>
      <c r="N173" s="2" t="s">
        <v>458</v>
      </c>
      <c r="O173" s="2" t="s">
        <v>101</v>
      </c>
      <c r="P173" s="2" t="str">
        <f>"2170605440                    "</f>
        <v xml:space="preserve">2170605440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4.41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4.8</v>
      </c>
      <c r="BJ173" s="2">
        <v>3.4</v>
      </c>
      <c r="BK173" s="2">
        <v>5</v>
      </c>
      <c r="BL173" s="2">
        <v>35.270000000000003</v>
      </c>
      <c r="BM173" s="2">
        <v>4.9400000000000004</v>
      </c>
      <c r="BN173" s="2">
        <v>40.21</v>
      </c>
      <c r="BO173" s="2">
        <v>40.21</v>
      </c>
      <c r="BR173" s="2" t="s">
        <v>103</v>
      </c>
      <c r="BS173" s="3">
        <v>43074</v>
      </c>
      <c r="BT173" s="4">
        <v>0.4375</v>
      </c>
      <c r="BU173" s="2" t="s">
        <v>459</v>
      </c>
      <c r="BV173" s="2" t="s">
        <v>85</v>
      </c>
      <c r="BY173" s="2">
        <v>16873.34</v>
      </c>
      <c r="BZ173" s="2" t="s">
        <v>27</v>
      </c>
      <c r="CA173" s="2" t="s">
        <v>119</v>
      </c>
      <c r="CC173" s="2" t="s">
        <v>116</v>
      </c>
      <c r="CD173" s="2">
        <v>1460</v>
      </c>
      <c r="CE173" s="2" t="s">
        <v>95</v>
      </c>
      <c r="CF173" s="3">
        <v>43077</v>
      </c>
      <c r="CI173" s="2">
        <v>1</v>
      </c>
      <c r="CJ173" s="2">
        <v>1</v>
      </c>
      <c r="CK173" s="2">
        <v>22</v>
      </c>
      <c r="CL173" s="2" t="s">
        <v>89</v>
      </c>
    </row>
    <row r="174" spans="1:90">
      <c r="A174" s="2" t="s">
        <v>71</v>
      </c>
      <c r="B174" s="2" t="s">
        <v>72</v>
      </c>
      <c r="C174" s="2" t="s">
        <v>73</v>
      </c>
      <c r="E174" s="2" t="str">
        <f>"FES1162593563"</f>
        <v>FES1162593563</v>
      </c>
      <c r="F174" s="3">
        <v>43073</v>
      </c>
      <c r="G174" s="2">
        <v>201806</v>
      </c>
      <c r="H174" s="2" t="s">
        <v>74</v>
      </c>
      <c r="I174" s="2" t="s">
        <v>75</v>
      </c>
      <c r="J174" s="2" t="s">
        <v>97</v>
      </c>
      <c r="K174" s="2" t="s">
        <v>77</v>
      </c>
      <c r="L174" s="2" t="s">
        <v>462</v>
      </c>
      <c r="M174" s="2" t="s">
        <v>463</v>
      </c>
      <c r="N174" s="2" t="s">
        <v>464</v>
      </c>
      <c r="O174" s="2" t="s">
        <v>101</v>
      </c>
      <c r="P174" s="2" t="str">
        <f>"2170603197                    "</f>
        <v xml:space="preserve">2170603197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5.65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45.15</v>
      </c>
      <c r="BM174" s="2">
        <v>6.32</v>
      </c>
      <c r="BN174" s="2">
        <v>51.47</v>
      </c>
      <c r="BO174" s="2">
        <v>51.47</v>
      </c>
      <c r="BQ174" s="2" t="s">
        <v>82</v>
      </c>
      <c r="BR174" s="2" t="s">
        <v>103</v>
      </c>
      <c r="BS174" s="3">
        <v>43074</v>
      </c>
      <c r="BT174" s="4">
        <v>0.76111111111111107</v>
      </c>
      <c r="BU174" s="2" t="s">
        <v>466</v>
      </c>
      <c r="BV174" s="2" t="s">
        <v>89</v>
      </c>
      <c r="BW174" s="2" t="s">
        <v>471</v>
      </c>
      <c r="BX174" s="2" t="s">
        <v>246</v>
      </c>
      <c r="BY174" s="2">
        <v>1200</v>
      </c>
      <c r="BZ174" s="2" t="s">
        <v>27</v>
      </c>
      <c r="CA174" s="2" t="s">
        <v>542</v>
      </c>
      <c r="CC174" s="2" t="s">
        <v>463</v>
      </c>
      <c r="CD174" s="2">
        <v>7130</v>
      </c>
      <c r="CE174" s="2" t="s">
        <v>383</v>
      </c>
      <c r="CF174" s="3">
        <v>43075</v>
      </c>
      <c r="CI174" s="2">
        <v>1</v>
      </c>
      <c r="CJ174" s="2">
        <v>1</v>
      </c>
      <c r="CK174" s="2">
        <v>21</v>
      </c>
      <c r="CL174" s="2" t="s">
        <v>89</v>
      </c>
    </row>
    <row r="175" spans="1:90">
      <c r="A175" s="2" t="s">
        <v>71</v>
      </c>
      <c r="B175" s="2" t="s">
        <v>72</v>
      </c>
      <c r="C175" s="2" t="s">
        <v>73</v>
      </c>
      <c r="E175" s="2" t="str">
        <f>"FES1162593529"</f>
        <v>FES1162593529</v>
      </c>
      <c r="F175" s="3">
        <v>43073</v>
      </c>
      <c r="G175" s="2">
        <v>201806</v>
      </c>
      <c r="H175" s="2" t="s">
        <v>74</v>
      </c>
      <c r="I175" s="2" t="s">
        <v>75</v>
      </c>
      <c r="J175" s="2" t="s">
        <v>97</v>
      </c>
      <c r="K175" s="2" t="s">
        <v>77</v>
      </c>
      <c r="L175" s="2" t="s">
        <v>158</v>
      </c>
      <c r="M175" s="2" t="s">
        <v>159</v>
      </c>
      <c r="N175" s="2" t="s">
        <v>543</v>
      </c>
      <c r="O175" s="2" t="s">
        <v>101</v>
      </c>
      <c r="P175" s="2" t="str">
        <f>"2170605631                    "</f>
        <v xml:space="preserve">2170605631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5.65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</v>
      </c>
      <c r="BJ175" s="2">
        <v>0.2</v>
      </c>
      <c r="BK175" s="2">
        <v>1</v>
      </c>
      <c r="BL175" s="2">
        <v>45.15</v>
      </c>
      <c r="BM175" s="2">
        <v>6.32</v>
      </c>
      <c r="BN175" s="2">
        <v>51.47</v>
      </c>
      <c r="BO175" s="2">
        <v>51.47</v>
      </c>
      <c r="BQ175" s="2" t="s">
        <v>82</v>
      </c>
      <c r="BR175" s="2" t="s">
        <v>103</v>
      </c>
      <c r="BS175" s="3">
        <v>43074</v>
      </c>
      <c r="BT175" s="4">
        <v>0.43055555555555558</v>
      </c>
      <c r="BU175" s="2" t="s">
        <v>544</v>
      </c>
      <c r="BV175" s="2" t="s">
        <v>85</v>
      </c>
      <c r="BY175" s="2">
        <v>1200</v>
      </c>
      <c r="BZ175" s="2" t="s">
        <v>27</v>
      </c>
      <c r="CA175" s="2" t="s">
        <v>545</v>
      </c>
      <c r="CC175" s="2" t="s">
        <v>159</v>
      </c>
      <c r="CD175" s="2">
        <v>1</v>
      </c>
      <c r="CE175" s="2" t="s">
        <v>383</v>
      </c>
      <c r="CF175" s="3">
        <v>43076</v>
      </c>
      <c r="CI175" s="2">
        <v>1</v>
      </c>
      <c r="CJ175" s="2">
        <v>1</v>
      </c>
      <c r="CK175" s="2">
        <v>21</v>
      </c>
      <c r="CL175" s="2" t="s">
        <v>89</v>
      </c>
    </row>
    <row r="176" spans="1:90">
      <c r="A176" s="2" t="s">
        <v>71</v>
      </c>
      <c r="B176" s="2" t="s">
        <v>72</v>
      </c>
      <c r="C176" s="2" t="s">
        <v>73</v>
      </c>
      <c r="E176" s="2" t="str">
        <f>"FES1162593564"</f>
        <v>FES1162593564</v>
      </c>
      <c r="F176" s="3">
        <v>43073</v>
      </c>
      <c r="G176" s="2">
        <v>201806</v>
      </c>
      <c r="H176" s="2" t="s">
        <v>74</v>
      </c>
      <c r="I176" s="2" t="s">
        <v>75</v>
      </c>
      <c r="J176" s="2" t="s">
        <v>97</v>
      </c>
      <c r="K176" s="2" t="s">
        <v>77</v>
      </c>
      <c r="L176" s="2" t="s">
        <v>168</v>
      </c>
      <c r="M176" s="2" t="s">
        <v>169</v>
      </c>
      <c r="N176" s="2" t="s">
        <v>170</v>
      </c>
      <c r="O176" s="2" t="s">
        <v>101</v>
      </c>
      <c r="P176" s="2" t="str">
        <f>"2170605669                    "</f>
        <v xml:space="preserve">2170605669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5.65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1</v>
      </c>
      <c r="BJ176" s="2">
        <v>0.2</v>
      </c>
      <c r="BK176" s="2">
        <v>1</v>
      </c>
      <c r="BL176" s="2">
        <v>45.15</v>
      </c>
      <c r="BM176" s="2">
        <v>6.32</v>
      </c>
      <c r="BN176" s="2">
        <v>51.47</v>
      </c>
      <c r="BO176" s="2">
        <v>51.47</v>
      </c>
      <c r="BQ176" s="2" t="s">
        <v>128</v>
      </c>
      <c r="BR176" s="2" t="s">
        <v>103</v>
      </c>
      <c r="BS176" s="3">
        <v>43074</v>
      </c>
      <c r="BT176" s="4">
        <v>0.36805555555555558</v>
      </c>
      <c r="BU176" s="2" t="s">
        <v>546</v>
      </c>
      <c r="BV176" s="2" t="s">
        <v>85</v>
      </c>
      <c r="BY176" s="2">
        <v>1200</v>
      </c>
      <c r="BZ176" s="2" t="s">
        <v>27</v>
      </c>
      <c r="CA176" s="2" t="s">
        <v>172</v>
      </c>
      <c r="CC176" s="2" t="s">
        <v>169</v>
      </c>
      <c r="CD176" s="2">
        <v>3610</v>
      </c>
      <c r="CE176" s="2" t="s">
        <v>383</v>
      </c>
      <c r="CF176" s="3">
        <v>43075</v>
      </c>
      <c r="CI176" s="2">
        <v>1</v>
      </c>
      <c r="CJ176" s="2">
        <v>1</v>
      </c>
      <c r="CK176" s="2">
        <v>21</v>
      </c>
      <c r="CL176" s="2" t="s">
        <v>89</v>
      </c>
    </row>
    <row r="177" spans="1:90">
      <c r="A177" s="2" t="s">
        <v>71</v>
      </c>
      <c r="B177" s="2" t="s">
        <v>72</v>
      </c>
      <c r="C177" s="2" t="s">
        <v>73</v>
      </c>
      <c r="E177" s="2" t="str">
        <f>"FES1162593727"</f>
        <v>FES1162593727</v>
      </c>
      <c r="F177" s="3">
        <v>43073</v>
      </c>
      <c r="G177" s="2">
        <v>201806</v>
      </c>
      <c r="H177" s="2" t="s">
        <v>74</v>
      </c>
      <c r="I177" s="2" t="s">
        <v>75</v>
      </c>
      <c r="J177" s="2" t="s">
        <v>97</v>
      </c>
      <c r="K177" s="2" t="s">
        <v>77</v>
      </c>
      <c r="L177" s="2" t="s">
        <v>547</v>
      </c>
      <c r="M177" s="2" t="s">
        <v>548</v>
      </c>
      <c r="N177" s="2" t="s">
        <v>549</v>
      </c>
      <c r="O177" s="2" t="s">
        <v>101</v>
      </c>
      <c r="P177" s="2" t="str">
        <f>"2170601196                    "</f>
        <v xml:space="preserve">2170601196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4.41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1</v>
      </c>
      <c r="BJ177" s="2">
        <v>0.2</v>
      </c>
      <c r="BK177" s="2">
        <v>1</v>
      </c>
      <c r="BL177" s="2">
        <v>35.270000000000003</v>
      </c>
      <c r="BM177" s="2">
        <v>4.9400000000000004</v>
      </c>
      <c r="BN177" s="2">
        <v>40.21</v>
      </c>
      <c r="BO177" s="2">
        <v>40.21</v>
      </c>
      <c r="BQ177" s="2" t="s">
        <v>82</v>
      </c>
      <c r="BR177" s="2" t="s">
        <v>103</v>
      </c>
      <c r="BS177" s="3">
        <v>43074</v>
      </c>
      <c r="BT177" s="4">
        <v>0.34722222222222227</v>
      </c>
      <c r="BU177" s="2" t="s">
        <v>550</v>
      </c>
      <c r="BV177" s="2" t="s">
        <v>85</v>
      </c>
      <c r="BY177" s="2">
        <v>1200</v>
      </c>
      <c r="BZ177" s="2" t="s">
        <v>27</v>
      </c>
      <c r="CA177" s="2" t="s">
        <v>119</v>
      </c>
      <c r="CC177" s="2" t="s">
        <v>548</v>
      </c>
      <c r="CD177" s="2">
        <v>1508</v>
      </c>
      <c r="CE177" s="2" t="s">
        <v>120</v>
      </c>
      <c r="CF177" s="3">
        <v>43077</v>
      </c>
      <c r="CI177" s="2">
        <v>1</v>
      </c>
      <c r="CJ177" s="2">
        <v>1</v>
      </c>
      <c r="CK177" s="2">
        <v>22</v>
      </c>
      <c r="CL177" s="2" t="s">
        <v>89</v>
      </c>
    </row>
    <row r="178" spans="1:90">
      <c r="A178" s="2" t="s">
        <v>71</v>
      </c>
      <c r="B178" s="2" t="s">
        <v>72</v>
      </c>
      <c r="C178" s="2" t="s">
        <v>73</v>
      </c>
      <c r="E178" s="2" t="str">
        <f>"FES1162593554"</f>
        <v>FES1162593554</v>
      </c>
      <c r="F178" s="3">
        <v>43073</v>
      </c>
      <c r="G178" s="2">
        <v>201806</v>
      </c>
      <c r="H178" s="2" t="s">
        <v>74</v>
      </c>
      <c r="I178" s="2" t="s">
        <v>75</v>
      </c>
      <c r="J178" s="2" t="s">
        <v>97</v>
      </c>
      <c r="K178" s="2" t="s">
        <v>77</v>
      </c>
      <c r="L178" s="2" t="s">
        <v>551</v>
      </c>
      <c r="M178" s="2" t="s">
        <v>552</v>
      </c>
      <c r="N178" s="2" t="s">
        <v>553</v>
      </c>
      <c r="O178" s="2" t="s">
        <v>101</v>
      </c>
      <c r="P178" s="2" t="str">
        <f>"2170605650                    "</f>
        <v xml:space="preserve">2170605650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5.65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0.2</v>
      </c>
      <c r="BK178" s="2">
        <v>1</v>
      </c>
      <c r="BL178" s="2">
        <v>45.15</v>
      </c>
      <c r="BM178" s="2">
        <v>6.32</v>
      </c>
      <c r="BN178" s="2">
        <v>51.47</v>
      </c>
      <c r="BO178" s="2">
        <v>51.47</v>
      </c>
      <c r="BQ178" s="2" t="s">
        <v>82</v>
      </c>
      <c r="BR178" s="2" t="s">
        <v>103</v>
      </c>
      <c r="BS178" s="3">
        <v>43074</v>
      </c>
      <c r="BT178" s="4">
        <v>0.54999999999999993</v>
      </c>
      <c r="BU178" s="2" t="s">
        <v>554</v>
      </c>
      <c r="BV178" s="2" t="s">
        <v>85</v>
      </c>
      <c r="BY178" s="2">
        <v>1200</v>
      </c>
      <c r="BZ178" s="2" t="s">
        <v>27</v>
      </c>
      <c r="CA178" s="2" t="s">
        <v>555</v>
      </c>
      <c r="CC178" s="2" t="s">
        <v>552</v>
      </c>
      <c r="CD178" s="2">
        <v>3310</v>
      </c>
      <c r="CE178" s="2" t="s">
        <v>383</v>
      </c>
      <c r="CF178" s="3">
        <v>43076</v>
      </c>
      <c r="CI178" s="2">
        <v>1</v>
      </c>
      <c r="CJ178" s="2">
        <v>1</v>
      </c>
      <c r="CK178" s="2">
        <v>21</v>
      </c>
      <c r="CL178" s="2" t="s">
        <v>89</v>
      </c>
    </row>
    <row r="179" spans="1:90">
      <c r="A179" s="2" t="s">
        <v>71</v>
      </c>
      <c r="B179" s="2" t="s">
        <v>72</v>
      </c>
      <c r="C179" s="2" t="s">
        <v>73</v>
      </c>
      <c r="E179" s="2" t="str">
        <f>"FES1162593495"</f>
        <v>FES1162593495</v>
      </c>
      <c r="F179" s="3">
        <v>43073</v>
      </c>
      <c r="G179" s="2">
        <v>201806</v>
      </c>
      <c r="H179" s="2" t="s">
        <v>74</v>
      </c>
      <c r="I179" s="2" t="s">
        <v>75</v>
      </c>
      <c r="J179" s="2" t="s">
        <v>97</v>
      </c>
      <c r="K179" s="2" t="s">
        <v>77</v>
      </c>
      <c r="L179" s="2" t="s">
        <v>98</v>
      </c>
      <c r="M179" s="2" t="s">
        <v>99</v>
      </c>
      <c r="N179" s="2" t="s">
        <v>226</v>
      </c>
      <c r="O179" s="2" t="s">
        <v>101</v>
      </c>
      <c r="P179" s="2" t="str">
        <f>"2170605275                    "</f>
        <v xml:space="preserve">2170605275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5.65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1</v>
      </c>
      <c r="BJ179" s="2">
        <v>0.2</v>
      </c>
      <c r="BK179" s="2">
        <v>1</v>
      </c>
      <c r="BL179" s="2">
        <v>45.15</v>
      </c>
      <c r="BM179" s="2">
        <v>6.32</v>
      </c>
      <c r="BN179" s="2">
        <v>51.47</v>
      </c>
      <c r="BO179" s="2">
        <v>51.47</v>
      </c>
      <c r="BQ179" s="2" t="s">
        <v>82</v>
      </c>
      <c r="BR179" s="2" t="s">
        <v>103</v>
      </c>
      <c r="BS179" s="3">
        <v>43074</v>
      </c>
      <c r="BT179" s="4">
        <v>0.40972222222222227</v>
      </c>
      <c r="BU179" s="2" t="s">
        <v>556</v>
      </c>
      <c r="BV179" s="2" t="s">
        <v>85</v>
      </c>
      <c r="BY179" s="2">
        <v>1200</v>
      </c>
      <c r="BZ179" s="2" t="s">
        <v>27</v>
      </c>
      <c r="CA179" s="2" t="s">
        <v>105</v>
      </c>
      <c r="CC179" s="2" t="s">
        <v>99</v>
      </c>
      <c r="CD179" s="2">
        <v>3201</v>
      </c>
      <c r="CE179" s="2" t="s">
        <v>383</v>
      </c>
      <c r="CF179" s="3">
        <v>43076</v>
      </c>
      <c r="CI179" s="2">
        <v>1</v>
      </c>
      <c r="CJ179" s="2">
        <v>1</v>
      </c>
      <c r="CK179" s="2">
        <v>21</v>
      </c>
      <c r="CL179" s="2" t="s">
        <v>89</v>
      </c>
    </row>
    <row r="180" spans="1:90">
      <c r="A180" s="2" t="s">
        <v>71</v>
      </c>
      <c r="B180" s="2" t="s">
        <v>72</v>
      </c>
      <c r="C180" s="2" t="s">
        <v>73</v>
      </c>
      <c r="E180" s="2" t="str">
        <f>"FES1162593478"</f>
        <v>FES1162593478</v>
      </c>
      <c r="F180" s="3">
        <v>43073</v>
      </c>
      <c r="G180" s="2">
        <v>201806</v>
      </c>
      <c r="H180" s="2" t="s">
        <v>74</v>
      </c>
      <c r="I180" s="2" t="s">
        <v>75</v>
      </c>
      <c r="J180" s="2" t="s">
        <v>97</v>
      </c>
      <c r="K180" s="2" t="s">
        <v>77</v>
      </c>
      <c r="L180" s="2" t="s">
        <v>490</v>
      </c>
      <c r="M180" s="2" t="s">
        <v>491</v>
      </c>
      <c r="N180" s="2" t="s">
        <v>492</v>
      </c>
      <c r="O180" s="2" t="s">
        <v>101</v>
      </c>
      <c r="P180" s="2" t="str">
        <f>"2170604987                    "</f>
        <v xml:space="preserve">2170604987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5.65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45.15</v>
      </c>
      <c r="BM180" s="2">
        <v>6.32</v>
      </c>
      <c r="BN180" s="2">
        <v>51.47</v>
      </c>
      <c r="BO180" s="2">
        <v>51.47</v>
      </c>
      <c r="BQ180" s="2" t="s">
        <v>82</v>
      </c>
      <c r="BR180" s="2" t="s">
        <v>103</v>
      </c>
      <c r="BS180" s="3">
        <v>43074</v>
      </c>
      <c r="BT180" s="4">
        <v>0.4236111111111111</v>
      </c>
      <c r="BU180" s="2" t="s">
        <v>493</v>
      </c>
      <c r="BV180" s="2" t="s">
        <v>85</v>
      </c>
      <c r="BY180" s="2">
        <v>1200</v>
      </c>
      <c r="BZ180" s="2" t="s">
        <v>27</v>
      </c>
      <c r="CA180" s="2" t="s">
        <v>494</v>
      </c>
      <c r="CC180" s="2" t="s">
        <v>491</v>
      </c>
      <c r="CD180" s="2">
        <v>3699</v>
      </c>
      <c r="CE180" s="2" t="s">
        <v>383</v>
      </c>
      <c r="CF180" s="3">
        <v>43076</v>
      </c>
      <c r="CI180" s="2">
        <v>1</v>
      </c>
      <c r="CJ180" s="2">
        <v>1</v>
      </c>
      <c r="CK180" s="2">
        <v>21</v>
      </c>
      <c r="CL180" s="2" t="s">
        <v>89</v>
      </c>
    </row>
    <row r="181" spans="1:90">
      <c r="A181" s="2" t="s">
        <v>71</v>
      </c>
      <c r="B181" s="2" t="s">
        <v>72</v>
      </c>
      <c r="C181" s="2" t="s">
        <v>73</v>
      </c>
      <c r="E181" s="2" t="str">
        <f>"FES1162593596"</f>
        <v>FES1162593596</v>
      </c>
      <c r="F181" s="3">
        <v>43073</v>
      </c>
      <c r="G181" s="2">
        <v>201806</v>
      </c>
      <c r="H181" s="2" t="s">
        <v>74</v>
      </c>
      <c r="I181" s="2" t="s">
        <v>75</v>
      </c>
      <c r="J181" s="2" t="s">
        <v>97</v>
      </c>
      <c r="K181" s="2" t="s">
        <v>77</v>
      </c>
      <c r="L181" s="2" t="s">
        <v>173</v>
      </c>
      <c r="M181" s="2" t="s">
        <v>174</v>
      </c>
      <c r="N181" s="2" t="s">
        <v>381</v>
      </c>
      <c r="O181" s="2" t="s">
        <v>101</v>
      </c>
      <c r="P181" s="2" t="str">
        <f>"2170605718                    "</f>
        <v xml:space="preserve">2170605718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47.99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6.8</v>
      </c>
      <c r="BJ181" s="2">
        <v>16.8</v>
      </c>
      <c r="BK181" s="2">
        <v>17</v>
      </c>
      <c r="BL181" s="2">
        <v>383.59</v>
      </c>
      <c r="BM181" s="2">
        <v>53.7</v>
      </c>
      <c r="BN181" s="2">
        <v>437.29</v>
      </c>
      <c r="BO181" s="2">
        <v>437.29</v>
      </c>
      <c r="BQ181" s="2" t="s">
        <v>382</v>
      </c>
      <c r="BR181" s="2" t="s">
        <v>103</v>
      </c>
      <c r="BS181" s="3">
        <v>43074</v>
      </c>
      <c r="BT181" s="4">
        <v>0.44305555555555554</v>
      </c>
      <c r="BU181" s="2" t="s">
        <v>176</v>
      </c>
      <c r="BV181" s="2" t="s">
        <v>85</v>
      </c>
      <c r="BY181" s="2">
        <v>83977.79</v>
      </c>
      <c r="BZ181" s="2" t="s">
        <v>27</v>
      </c>
      <c r="CA181" s="2" t="s">
        <v>177</v>
      </c>
      <c r="CC181" s="2" t="s">
        <v>174</v>
      </c>
      <c r="CD181" s="2">
        <v>7405</v>
      </c>
      <c r="CE181" s="2" t="s">
        <v>282</v>
      </c>
      <c r="CF181" s="3">
        <v>43075</v>
      </c>
      <c r="CI181" s="2">
        <v>1</v>
      </c>
      <c r="CJ181" s="2">
        <v>1</v>
      </c>
      <c r="CK181" s="2">
        <v>21</v>
      </c>
      <c r="CL181" s="2" t="s">
        <v>89</v>
      </c>
    </row>
    <row r="182" spans="1:90">
      <c r="A182" s="2" t="s">
        <v>71</v>
      </c>
      <c r="B182" s="2" t="s">
        <v>72</v>
      </c>
      <c r="C182" s="2" t="s">
        <v>73</v>
      </c>
      <c r="E182" s="2" t="str">
        <f>"FES1162593720"</f>
        <v>FES1162593720</v>
      </c>
      <c r="F182" s="3">
        <v>43073</v>
      </c>
      <c r="G182" s="2">
        <v>201806</v>
      </c>
      <c r="H182" s="2" t="s">
        <v>74</v>
      </c>
      <c r="I182" s="2" t="s">
        <v>75</v>
      </c>
      <c r="J182" s="2" t="s">
        <v>97</v>
      </c>
      <c r="K182" s="2" t="s">
        <v>77</v>
      </c>
      <c r="L182" s="2" t="s">
        <v>136</v>
      </c>
      <c r="M182" s="2" t="s">
        <v>137</v>
      </c>
      <c r="N182" s="2" t="s">
        <v>557</v>
      </c>
      <c r="O182" s="2" t="s">
        <v>101</v>
      </c>
      <c r="P182" s="2" t="str">
        <f>"217060579                     "</f>
        <v xml:space="preserve">217060579 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5.65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1.6</v>
      </c>
      <c r="BJ182" s="2">
        <v>0.7</v>
      </c>
      <c r="BK182" s="2">
        <v>2</v>
      </c>
      <c r="BL182" s="2">
        <v>45.15</v>
      </c>
      <c r="BM182" s="2">
        <v>6.32</v>
      </c>
      <c r="BN182" s="2">
        <v>51.47</v>
      </c>
      <c r="BO182" s="2">
        <v>51.47</v>
      </c>
      <c r="BQ182" s="2" t="s">
        <v>558</v>
      </c>
      <c r="BR182" s="2" t="s">
        <v>103</v>
      </c>
      <c r="BS182" s="3">
        <v>43074</v>
      </c>
      <c r="BT182" s="4">
        <v>0.40277777777777773</v>
      </c>
      <c r="BU182" s="2" t="s">
        <v>559</v>
      </c>
      <c r="BV182" s="2" t="s">
        <v>85</v>
      </c>
      <c r="BY182" s="2">
        <v>3501.82</v>
      </c>
      <c r="BZ182" s="2" t="s">
        <v>27</v>
      </c>
      <c r="CA182" s="2" t="s">
        <v>448</v>
      </c>
      <c r="CC182" s="2" t="s">
        <v>137</v>
      </c>
      <c r="CD182" s="2">
        <v>6001</v>
      </c>
      <c r="CE182" s="2" t="s">
        <v>288</v>
      </c>
      <c r="CF182" s="3">
        <v>43075</v>
      </c>
      <c r="CI182" s="2">
        <v>1</v>
      </c>
      <c r="CJ182" s="2">
        <v>1</v>
      </c>
      <c r="CK182" s="2">
        <v>21</v>
      </c>
      <c r="CL182" s="2" t="s">
        <v>89</v>
      </c>
    </row>
    <row r="183" spans="1:90">
      <c r="A183" s="2" t="s">
        <v>71</v>
      </c>
      <c r="B183" s="2" t="s">
        <v>72</v>
      </c>
      <c r="C183" s="2" t="s">
        <v>73</v>
      </c>
      <c r="E183" s="2" t="str">
        <f>"FES1162593513"</f>
        <v>FES1162593513</v>
      </c>
      <c r="F183" s="3">
        <v>43073</v>
      </c>
      <c r="G183" s="2">
        <v>201806</v>
      </c>
      <c r="H183" s="2" t="s">
        <v>74</v>
      </c>
      <c r="I183" s="2" t="s">
        <v>75</v>
      </c>
      <c r="J183" s="2" t="s">
        <v>97</v>
      </c>
      <c r="K183" s="2" t="s">
        <v>77</v>
      </c>
      <c r="L183" s="2" t="s">
        <v>168</v>
      </c>
      <c r="M183" s="2" t="s">
        <v>169</v>
      </c>
      <c r="N183" s="2" t="s">
        <v>217</v>
      </c>
      <c r="O183" s="2" t="s">
        <v>101</v>
      </c>
      <c r="P183" s="2" t="str">
        <f>"2170605567                    "</f>
        <v xml:space="preserve">2170605567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5.65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2</v>
      </c>
      <c r="BJ183" s="2">
        <v>0.7</v>
      </c>
      <c r="BK183" s="2">
        <v>2</v>
      </c>
      <c r="BL183" s="2">
        <v>45.15</v>
      </c>
      <c r="BM183" s="2">
        <v>6.32</v>
      </c>
      <c r="BN183" s="2">
        <v>51.47</v>
      </c>
      <c r="BO183" s="2">
        <v>51.47</v>
      </c>
      <c r="BQ183" s="2" t="s">
        <v>102</v>
      </c>
      <c r="BR183" s="2" t="s">
        <v>103</v>
      </c>
      <c r="BS183" s="3">
        <v>43074</v>
      </c>
      <c r="BT183" s="4">
        <v>0.43055555555555558</v>
      </c>
      <c r="BU183" s="2" t="s">
        <v>218</v>
      </c>
      <c r="BV183" s="2" t="s">
        <v>85</v>
      </c>
      <c r="BY183" s="2">
        <v>3410.88</v>
      </c>
      <c r="BZ183" s="2" t="s">
        <v>27</v>
      </c>
      <c r="CA183" s="2" t="s">
        <v>220</v>
      </c>
      <c r="CC183" s="2" t="s">
        <v>169</v>
      </c>
      <c r="CD183" s="2">
        <v>3620</v>
      </c>
      <c r="CE183" s="2" t="s">
        <v>288</v>
      </c>
      <c r="CF183" s="3">
        <v>43075</v>
      </c>
      <c r="CI183" s="2">
        <v>1</v>
      </c>
      <c r="CJ183" s="2">
        <v>1</v>
      </c>
      <c r="CK183" s="2">
        <v>21</v>
      </c>
      <c r="CL183" s="2" t="s">
        <v>89</v>
      </c>
    </row>
    <row r="184" spans="1:90">
      <c r="A184" s="2" t="s">
        <v>71</v>
      </c>
      <c r="B184" s="2" t="s">
        <v>72</v>
      </c>
      <c r="C184" s="2" t="s">
        <v>73</v>
      </c>
      <c r="E184" s="2" t="str">
        <f>"FES1162593532"</f>
        <v>FES1162593532</v>
      </c>
      <c r="F184" s="3">
        <v>43073</v>
      </c>
      <c r="G184" s="2">
        <v>201806</v>
      </c>
      <c r="H184" s="2" t="s">
        <v>74</v>
      </c>
      <c r="I184" s="2" t="s">
        <v>75</v>
      </c>
      <c r="J184" s="2" t="s">
        <v>97</v>
      </c>
      <c r="K184" s="2" t="s">
        <v>77</v>
      </c>
      <c r="L184" s="2" t="s">
        <v>173</v>
      </c>
      <c r="M184" s="2" t="s">
        <v>174</v>
      </c>
      <c r="N184" s="2" t="s">
        <v>498</v>
      </c>
      <c r="O184" s="2" t="s">
        <v>101</v>
      </c>
      <c r="P184" s="2" t="str">
        <f>"2170605634                    "</f>
        <v xml:space="preserve">2170605634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5.65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1</v>
      </c>
      <c r="BJ184" s="2">
        <v>0.2</v>
      </c>
      <c r="BK184" s="2">
        <v>1</v>
      </c>
      <c r="BL184" s="2">
        <v>45.15</v>
      </c>
      <c r="BM184" s="2">
        <v>6.32</v>
      </c>
      <c r="BN184" s="2">
        <v>51.47</v>
      </c>
      <c r="BO184" s="2">
        <v>51.47</v>
      </c>
      <c r="BQ184" s="2" t="s">
        <v>499</v>
      </c>
      <c r="BR184" s="2" t="s">
        <v>103</v>
      </c>
      <c r="BS184" s="3">
        <v>43074</v>
      </c>
      <c r="BT184" s="4">
        <v>0.41666666666666669</v>
      </c>
      <c r="BU184" s="2" t="s">
        <v>500</v>
      </c>
      <c r="BV184" s="2" t="s">
        <v>85</v>
      </c>
      <c r="BY184" s="2">
        <v>1200</v>
      </c>
      <c r="BZ184" s="2" t="s">
        <v>27</v>
      </c>
      <c r="CA184" s="2" t="s">
        <v>360</v>
      </c>
      <c r="CC184" s="2" t="s">
        <v>174</v>
      </c>
      <c r="CD184" s="2">
        <v>7405</v>
      </c>
      <c r="CE184" s="2" t="s">
        <v>383</v>
      </c>
      <c r="CF184" s="3">
        <v>43075</v>
      </c>
      <c r="CI184" s="2">
        <v>1</v>
      </c>
      <c r="CJ184" s="2">
        <v>1</v>
      </c>
      <c r="CK184" s="2">
        <v>21</v>
      </c>
      <c r="CL184" s="2" t="s">
        <v>89</v>
      </c>
    </row>
    <row r="185" spans="1:90">
      <c r="A185" s="2" t="s">
        <v>71</v>
      </c>
      <c r="B185" s="2" t="s">
        <v>72</v>
      </c>
      <c r="C185" s="2" t="s">
        <v>73</v>
      </c>
      <c r="E185" s="2" t="str">
        <f>"FES1162593338"</f>
        <v>FES1162593338</v>
      </c>
      <c r="F185" s="3">
        <v>43073</v>
      </c>
      <c r="G185" s="2">
        <v>201806</v>
      </c>
      <c r="H185" s="2" t="s">
        <v>74</v>
      </c>
      <c r="I185" s="2" t="s">
        <v>75</v>
      </c>
      <c r="J185" s="2" t="s">
        <v>97</v>
      </c>
      <c r="K185" s="2" t="s">
        <v>77</v>
      </c>
      <c r="L185" s="2" t="s">
        <v>74</v>
      </c>
      <c r="M185" s="2" t="s">
        <v>75</v>
      </c>
      <c r="N185" s="2" t="s">
        <v>560</v>
      </c>
      <c r="O185" s="2" t="s">
        <v>101</v>
      </c>
      <c r="P185" s="2" t="str">
        <f>"21706098886                   "</f>
        <v xml:space="preserve">21706098886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4.41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1</v>
      </c>
      <c r="BJ185" s="2">
        <v>0.2</v>
      </c>
      <c r="BK185" s="2">
        <v>1</v>
      </c>
      <c r="BL185" s="2">
        <v>35.270000000000003</v>
      </c>
      <c r="BM185" s="2">
        <v>4.9400000000000004</v>
      </c>
      <c r="BN185" s="2">
        <v>40.21</v>
      </c>
      <c r="BO185" s="2">
        <v>40.21</v>
      </c>
      <c r="BQ185" s="2" t="s">
        <v>561</v>
      </c>
      <c r="BR185" s="2" t="s">
        <v>103</v>
      </c>
      <c r="BS185" s="3">
        <v>43074</v>
      </c>
      <c r="BT185" s="4">
        <v>0.3659722222222222</v>
      </c>
      <c r="BU185" s="2" t="s">
        <v>562</v>
      </c>
      <c r="BV185" s="2" t="s">
        <v>85</v>
      </c>
      <c r="BY185" s="2">
        <v>1200</v>
      </c>
      <c r="BZ185" s="2" t="s">
        <v>27</v>
      </c>
      <c r="CA185" s="2" t="s">
        <v>355</v>
      </c>
      <c r="CC185" s="2" t="s">
        <v>75</v>
      </c>
      <c r="CD185" s="2">
        <v>1600</v>
      </c>
      <c r="CE185" s="2" t="s">
        <v>120</v>
      </c>
      <c r="CF185" s="3">
        <v>43077</v>
      </c>
      <c r="CI185" s="2">
        <v>1</v>
      </c>
      <c r="CJ185" s="2">
        <v>1</v>
      </c>
      <c r="CK185" s="2">
        <v>22</v>
      </c>
      <c r="CL185" s="2" t="s">
        <v>89</v>
      </c>
    </row>
    <row r="186" spans="1:90">
      <c r="A186" s="2" t="s">
        <v>71</v>
      </c>
      <c r="B186" s="2" t="s">
        <v>72</v>
      </c>
      <c r="C186" s="2" t="s">
        <v>73</v>
      </c>
      <c r="E186" s="2" t="str">
        <f>"FES1162593508"</f>
        <v>FES1162593508</v>
      </c>
      <c r="F186" s="3">
        <v>43073</v>
      </c>
      <c r="G186" s="2">
        <v>201806</v>
      </c>
      <c r="H186" s="2" t="s">
        <v>74</v>
      </c>
      <c r="I186" s="2" t="s">
        <v>75</v>
      </c>
      <c r="J186" s="2" t="s">
        <v>97</v>
      </c>
      <c r="K186" s="2" t="s">
        <v>77</v>
      </c>
      <c r="L186" s="2" t="s">
        <v>106</v>
      </c>
      <c r="M186" s="2" t="s">
        <v>107</v>
      </c>
      <c r="N186" s="2" t="s">
        <v>108</v>
      </c>
      <c r="O186" s="2" t="s">
        <v>101</v>
      </c>
      <c r="P186" s="2" t="str">
        <f>"21706505505                   "</f>
        <v xml:space="preserve">21706505505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4.41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1</v>
      </c>
      <c r="BJ186" s="2">
        <v>0.2</v>
      </c>
      <c r="BK186" s="2">
        <v>1</v>
      </c>
      <c r="BL186" s="2">
        <v>35.270000000000003</v>
      </c>
      <c r="BM186" s="2">
        <v>4.9400000000000004</v>
      </c>
      <c r="BN186" s="2">
        <v>40.21</v>
      </c>
      <c r="BO186" s="2">
        <v>40.21</v>
      </c>
      <c r="BQ186" s="2" t="s">
        <v>82</v>
      </c>
      <c r="BR186" s="2" t="s">
        <v>103</v>
      </c>
      <c r="BS186" s="3">
        <v>43074</v>
      </c>
      <c r="BT186" s="4">
        <v>0.37638888888888888</v>
      </c>
      <c r="BU186" s="2" t="s">
        <v>563</v>
      </c>
      <c r="BV186" s="2" t="s">
        <v>85</v>
      </c>
      <c r="BY186" s="2">
        <v>1200</v>
      </c>
      <c r="BZ186" s="2" t="s">
        <v>27</v>
      </c>
      <c r="CA186" s="2" t="s">
        <v>110</v>
      </c>
      <c r="CC186" s="2" t="s">
        <v>107</v>
      </c>
      <c r="CD186" s="2">
        <v>2094</v>
      </c>
      <c r="CE186" s="2" t="s">
        <v>120</v>
      </c>
      <c r="CF186" s="3">
        <v>43077</v>
      </c>
      <c r="CI186" s="2">
        <v>1</v>
      </c>
      <c r="CJ186" s="2">
        <v>1</v>
      </c>
      <c r="CK186" s="2">
        <v>22</v>
      </c>
      <c r="CL186" s="2" t="s">
        <v>89</v>
      </c>
    </row>
    <row r="187" spans="1:90">
      <c r="A187" s="2" t="s">
        <v>71</v>
      </c>
      <c r="B187" s="2" t="s">
        <v>72</v>
      </c>
      <c r="C187" s="2" t="s">
        <v>73</v>
      </c>
      <c r="E187" s="2" t="str">
        <f>"FES1162593353"</f>
        <v>FES1162593353</v>
      </c>
      <c r="F187" s="3">
        <v>43073</v>
      </c>
      <c r="G187" s="2">
        <v>201806</v>
      </c>
      <c r="H187" s="2" t="s">
        <v>74</v>
      </c>
      <c r="I187" s="2" t="s">
        <v>75</v>
      </c>
      <c r="J187" s="2" t="s">
        <v>97</v>
      </c>
      <c r="K187" s="2" t="s">
        <v>77</v>
      </c>
      <c r="L187" s="2" t="s">
        <v>158</v>
      </c>
      <c r="M187" s="2" t="s">
        <v>159</v>
      </c>
      <c r="N187" s="2" t="s">
        <v>564</v>
      </c>
      <c r="O187" s="2" t="s">
        <v>101</v>
      </c>
      <c r="P187" s="2" t="str">
        <f>"2170601833                    "</f>
        <v xml:space="preserve">2170601833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5.65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1</v>
      </c>
      <c r="BJ187" s="2">
        <v>0.2</v>
      </c>
      <c r="BK187" s="2">
        <v>1</v>
      </c>
      <c r="BL187" s="2">
        <v>45.15</v>
      </c>
      <c r="BM187" s="2">
        <v>6.32</v>
      </c>
      <c r="BN187" s="2">
        <v>51.47</v>
      </c>
      <c r="BO187" s="2">
        <v>51.47</v>
      </c>
      <c r="BQ187" s="2" t="s">
        <v>128</v>
      </c>
      <c r="BR187" s="2" t="s">
        <v>103</v>
      </c>
      <c r="BS187" s="3">
        <v>43074</v>
      </c>
      <c r="BT187" s="4">
        <v>0.69513888888888886</v>
      </c>
      <c r="BU187" s="2" t="s">
        <v>114</v>
      </c>
      <c r="BV187" s="2" t="s">
        <v>89</v>
      </c>
      <c r="BW187" s="2" t="s">
        <v>156</v>
      </c>
      <c r="BX187" s="2" t="s">
        <v>565</v>
      </c>
      <c r="BY187" s="2">
        <v>1200</v>
      </c>
      <c r="BZ187" s="2" t="s">
        <v>27</v>
      </c>
      <c r="CC187" s="2" t="s">
        <v>159</v>
      </c>
      <c r="CD187" s="2">
        <v>200</v>
      </c>
      <c r="CE187" s="2" t="s">
        <v>383</v>
      </c>
      <c r="CF187" s="3">
        <v>43075</v>
      </c>
      <c r="CI187" s="2">
        <v>1</v>
      </c>
      <c r="CJ187" s="2">
        <v>1</v>
      </c>
      <c r="CK187" s="2">
        <v>21</v>
      </c>
      <c r="CL187" s="2" t="s">
        <v>89</v>
      </c>
    </row>
    <row r="188" spans="1:90">
      <c r="A188" s="2" t="s">
        <v>71</v>
      </c>
      <c r="B188" s="2" t="s">
        <v>72</v>
      </c>
      <c r="C188" s="2" t="s">
        <v>73</v>
      </c>
      <c r="E188" s="2" t="str">
        <f>"FES1162593464"</f>
        <v>FES1162593464</v>
      </c>
      <c r="F188" s="3">
        <v>43073</v>
      </c>
      <c r="G188" s="2">
        <v>201806</v>
      </c>
      <c r="H188" s="2" t="s">
        <v>74</v>
      </c>
      <c r="I188" s="2" t="s">
        <v>75</v>
      </c>
      <c r="J188" s="2" t="s">
        <v>97</v>
      </c>
      <c r="K188" s="2" t="s">
        <v>77</v>
      </c>
      <c r="L188" s="2" t="s">
        <v>566</v>
      </c>
      <c r="M188" s="2" t="s">
        <v>567</v>
      </c>
      <c r="N188" s="2" t="s">
        <v>568</v>
      </c>
      <c r="O188" s="2" t="s">
        <v>101</v>
      </c>
      <c r="P188" s="2" t="str">
        <f>"2170604775                    "</f>
        <v xml:space="preserve">2170604775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7.94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0.3</v>
      </c>
      <c r="BJ188" s="2">
        <v>0.9</v>
      </c>
      <c r="BK188" s="2">
        <v>1</v>
      </c>
      <c r="BL188" s="2">
        <v>63.49</v>
      </c>
      <c r="BM188" s="2">
        <v>8.89</v>
      </c>
      <c r="BN188" s="2">
        <v>72.38</v>
      </c>
      <c r="BO188" s="2">
        <v>72.38</v>
      </c>
      <c r="BQ188" s="2" t="s">
        <v>102</v>
      </c>
      <c r="BR188" s="2" t="s">
        <v>103</v>
      </c>
      <c r="BS188" s="3">
        <v>43074</v>
      </c>
      <c r="BT188" s="4">
        <v>0.40833333333333338</v>
      </c>
      <c r="BU188" s="2" t="s">
        <v>569</v>
      </c>
      <c r="BV188" s="2" t="s">
        <v>85</v>
      </c>
      <c r="BY188" s="2">
        <v>4678.71</v>
      </c>
      <c r="BZ188" s="2" t="s">
        <v>27</v>
      </c>
      <c r="CA188" s="2" t="s">
        <v>570</v>
      </c>
      <c r="CC188" s="2" t="s">
        <v>567</v>
      </c>
      <c r="CD188" s="2">
        <v>1739</v>
      </c>
      <c r="CE188" s="2" t="s">
        <v>120</v>
      </c>
      <c r="CF188" s="3">
        <v>43077</v>
      </c>
      <c r="CI188" s="2">
        <v>1</v>
      </c>
      <c r="CJ188" s="2">
        <v>1</v>
      </c>
      <c r="CK188" s="2">
        <v>24</v>
      </c>
      <c r="CL188" s="2" t="s">
        <v>89</v>
      </c>
    </row>
    <row r="189" spans="1:90">
      <c r="A189" s="2" t="s">
        <v>71</v>
      </c>
      <c r="B189" s="2" t="s">
        <v>72</v>
      </c>
      <c r="C189" s="2" t="s">
        <v>73</v>
      </c>
      <c r="E189" s="2" t="str">
        <f>"FES1162593428"</f>
        <v>FES1162593428</v>
      </c>
      <c r="F189" s="3">
        <v>43073</v>
      </c>
      <c r="G189" s="2">
        <v>201806</v>
      </c>
      <c r="H189" s="2" t="s">
        <v>74</v>
      </c>
      <c r="I189" s="2" t="s">
        <v>75</v>
      </c>
      <c r="J189" s="2" t="s">
        <v>97</v>
      </c>
      <c r="K189" s="2" t="s">
        <v>77</v>
      </c>
      <c r="L189" s="2" t="s">
        <v>74</v>
      </c>
      <c r="M189" s="2" t="s">
        <v>75</v>
      </c>
      <c r="N189" s="2" t="s">
        <v>571</v>
      </c>
      <c r="O189" s="2" t="s">
        <v>101</v>
      </c>
      <c r="P189" s="2" t="str">
        <f>"2170603 960                   "</f>
        <v xml:space="preserve">2170603 960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4.41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0.2</v>
      </c>
      <c r="BK189" s="2">
        <v>1</v>
      </c>
      <c r="BL189" s="2">
        <v>35.270000000000003</v>
      </c>
      <c r="BM189" s="2">
        <v>4.9400000000000004</v>
      </c>
      <c r="BN189" s="2">
        <v>40.21</v>
      </c>
      <c r="BO189" s="2">
        <v>40.21</v>
      </c>
      <c r="BQ189" s="2" t="s">
        <v>82</v>
      </c>
      <c r="BR189" s="2" t="s">
        <v>103</v>
      </c>
      <c r="BS189" s="3">
        <v>43074</v>
      </c>
      <c r="BT189" s="4">
        <v>0.41388888888888892</v>
      </c>
      <c r="BU189" s="2" t="s">
        <v>572</v>
      </c>
      <c r="BV189" s="2" t="s">
        <v>85</v>
      </c>
      <c r="BY189" s="2">
        <v>1200</v>
      </c>
      <c r="BZ189" s="2" t="s">
        <v>27</v>
      </c>
      <c r="CA189" s="2" t="s">
        <v>486</v>
      </c>
      <c r="CC189" s="2" t="s">
        <v>75</v>
      </c>
      <c r="CD189" s="2">
        <v>1609</v>
      </c>
      <c r="CE189" s="2" t="s">
        <v>120</v>
      </c>
      <c r="CF189" s="3">
        <v>43077</v>
      </c>
      <c r="CI189" s="2">
        <v>1</v>
      </c>
      <c r="CJ189" s="2">
        <v>1</v>
      </c>
      <c r="CK189" s="2">
        <v>22</v>
      </c>
      <c r="CL189" s="2" t="s">
        <v>89</v>
      </c>
    </row>
    <row r="190" spans="1:90">
      <c r="A190" s="2" t="s">
        <v>71</v>
      </c>
      <c r="B190" s="2" t="s">
        <v>72</v>
      </c>
      <c r="C190" s="2" t="s">
        <v>73</v>
      </c>
      <c r="E190" s="2" t="str">
        <f>"FES1162593423"</f>
        <v>FES1162593423</v>
      </c>
      <c r="F190" s="3">
        <v>43073</v>
      </c>
      <c r="G190" s="2">
        <v>201806</v>
      </c>
      <c r="H190" s="2" t="s">
        <v>74</v>
      </c>
      <c r="I190" s="2" t="s">
        <v>75</v>
      </c>
      <c r="J190" s="2" t="s">
        <v>97</v>
      </c>
      <c r="K190" s="2" t="s">
        <v>77</v>
      </c>
      <c r="L190" s="2" t="s">
        <v>547</v>
      </c>
      <c r="M190" s="2" t="s">
        <v>548</v>
      </c>
      <c r="N190" s="2" t="s">
        <v>573</v>
      </c>
      <c r="O190" s="2" t="s">
        <v>101</v>
      </c>
      <c r="P190" s="2" t="str">
        <f>"2170603680                    "</f>
        <v xml:space="preserve">2170603680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4.41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</v>
      </c>
      <c r="BJ190" s="2">
        <v>0.2</v>
      </c>
      <c r="BK190" s="2">
        <v>1</v>
      </c>
      <c r="BL190" s="2">
        <v>35.270000000000003</v>
      </c>
      <c r="BM190" s="2">
        <v>4.9400000000000004</v>
      </c>
      <c r="BN190" s="2">
        <v>40.21</v>
      </c>
      <c r="BO190" s="2">
        <v>40.21</v>
      </c>
      <c r="BQ190" s="2" t="s">
        <v>82</v>
      </c>
      <c r="BR190" s="2" t="s">
        <v>103</v>
      </c>
      <c r="BS190" s="3">
        <v>43075</v>
      </c>
      <c r="BT190" s="4">
        <v>0.41666666666666669</v>
      </c>
      <c r="BU190" s="2" t="s">
        <v>205</v>
      </c>
      <c r="BV190" s="2" t="s">
        <v>89</v>
      </c>
      <c r="BW190" s="2" t="s">
        <v>149</v>
      </c>
      <c r="BX190" s="2" t="s">
        <v>157</v>
      </c>
      <c r="BY190" s="2">
        <v>1200</v>
      </c>
      <c r="BZ190" s="2" t="s">
        <v>27</v>
      </c>
      <c r="CC190" s="2" t="s">
        <v>548</v>
      </c>
      <c r="CD190" s="2">
        <v>1501</v>
      </c>
      <c r="CE190" s="2" t="s">
        <v>120</v>
      </c>
      <c r="CF190" s="3">
        <v>43077</v>
      </c>
      <c r="CI190" s="2">
        <v>1</v>
      </c>
      <c r="CJ190" s="2">
        <v>2</v>
      </c>
      <c r="CK190" s="2">
        <v>22</v>
      </c>
      <c r="CL190" s="2" t="s">
        <v>89</v>
      </c>
    </row>
    <row r="191" spans="1:90">
      <c r="A191" s="2" t="s">
        <v>71</v>
      </c>
      <c r="B191" s="2" t="s">
        <v>72</v>
      </c>
      <c r="C191" s="2" t="s">
        <v>73</v>
      </c>
      <c r="E191" s="2" t="str">
        <f>"FES1162593361"</f>
        <v>FES1162593361</v>
      </c>
      <c r="F191" s="3">
        <v>43073</v>
      </c>
      <c r="G191" s="2">
        <v>201806</v>
      </c>
      <c r="H191" s="2" t="s">
        <v>74</v>
      </c>
      <c r="I191" s="2" t="s">
        <v>75</v>
      </c>
      <c r="J191" s="2" t="s">
        <v>97</v>
      </c>
      <c r="K191" s="2" t="s">
        <v>77</v>
      </c>
      <c r="L191" s="2" t="s">
        <v>189</v>
      </c>
      <c r="M191" s="2" t="s">
        <v>190</v>
      </c>
      <c r="N191" s="2" t="s">
        <v>574</v>
      </c>
      <c r="O191" s="2" t="s">
        <v>101</v>
      </c>
      <c r="P191" s="2" t="str">
        <f>"2170602595                    "</f>
        <v xml:space="preserve">2170602595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5.65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1</v>
      </c>
      <c r="BJ191" s="2">
        <v>0.2</v>
      </c>
      <c r="BK191" s="2">
        <v>1</v>
      </c>
      <c r="BL191" s="2">
        <v>45.15</v>
      </c>
      <c r="BM191" s="2">
        <v>6.32</v>
      </c>
      <c r="BN191" s="2">
        <v>51.47</v>
      </c>
      <c r="BO191" s="2">
        <v>51.47</v>
      </c>
      <c r="BQ191" s="2" t="s">
        <v>102</v>
      </c>
      <c r="BR191" s="2" t="s">
        <v>103</v>
      </c>
      <c r="BS191" s="3">
        <v>43074</v>
      </c>
      <c r="BT191" s="4">
        <v>0.42708333333333331</v>
      </c>
      <c r="BU191" s="2" t="s">
        <v>575</v>
      </c>
      <c r="BV191" s="2" t="s">
        <v>85</v>
      </c>
      <c r="BY191" s="2">
        <v>1200</v>
      </c>
      <c r="BZ191" s="2" t="s">
        <v>27</v>
      </c>
      <c r="CC191" s="2" t="s">
        <v>190</v>
      </c>
      <c r="CD191" s="2">
        <v>157</v>
      </c>
      <c r="CE191" s="2" t="s">
        <v>383</v>
      </c>
      <c r="CF191" s="3">
        <v>43076</v>
      </c>
      <c r="CI191" s="2">
        <v>1</v>
      </c>
      <c r="CJ191" s="2">
        <v>1</v>
      </c>
      <c r="CK191" s="2">
        <v>21</v>
      </c>
      <c r="CL191" s="2" t="s">
        <v>89</v>
      </c>
    </row>
    <row r="192" spans="1:90">
      <c r="A192" s="2" t="s">
        <v>71</v>
      </c>
      <c r="B192" s="2" t="s">
        <v>72</v>
      </c>
      <c r="C192" s="2" t="s">
        <v>73</v>
      </c>
      <c r="E192" s="2" t="str">
        <f>"FES1162593487"</f>
        <v>FES1162593487</v>
      </c>
      <c r="F192" s="3">
        <v>43073</v>
      </c>
      <c r="G192" s="2">
        <v>201806</v>
      </c>
      <c r="H192" s="2" t="s">
        <v>74</v>
      </c>
      <c r="I192" s="2" t="s">
        <v>75</v>
      </c>
      <c r="J192" s="2" t="s">
        <v>97</v>
      </c>
      <c r="K192" s="2" t="s">
        <v>77</v>
      </c>
      <c r="L192" s="2" t="s">
        <v>125</v>
      </c>
      <c r="M192" s="2" t="s">
        <v>126</v>
      </c>
      <c r="N192" s="2" t="s">
        <v>576</v>
      </c>
      <c r="O192" s="2" t="s">
        <v>101</v>
      </c>
      <c r="P192" s="2" t="str">
        <f>"2170605068                    "</f>
        <v xml:space="preserve">2170605068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5.65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1</v>
      </c>
      <c r="BJ192" s="2">
        <v>0.2</v>
      </c>
      <c r="BK192" s="2">
        <v>1</v>
      </c>
      <c r="BL192" s="2">
        <v>45.15</v>
      </c>
      <c r="BM192" s="2">
        <v>6.32</v>
      </c>
      <c r="BN192" s="2">
        <v>51.47</v>
      </c>
      <c r="BO192" s="2">
        <v>51.47</v>
      </c>
      <c r="BQ192" s="2" t="s">
        <v>82</v>
      </c>
      <c r="BR192" s="2" t="s">
        <v>103</v>
      </c>
      <c r="BS192" s="3">
        <v>43074</v>
      </c>
      <c r="BT192" s="4">
        <v>0.32777777777777778</v>
      </c>
      <c r="BU192" s="2" t="s">
        <v>577</v>
      </c>
      <c r="BV192" s="2" t="s">
        <v>85</v>
      </c>
      <c r="BY192" s="2">
        <v>1200</v>
      </c>
      <c r="BZ192" s="2" t="s">
        <v>27</v>
      </c>
      <c r="CA192" s="2" t="s">
        <v>578</v>
      </c>
      <c r="CC192" s="2" t="s">
        <v>126</v>
      </c>
      <c r="CD192" s="2">
        <v>4052</v>
      </c>
      <c r="CE192" s="2" t="s">
        <v>383</v>
      </c>
      <c r="CF192" s="3">
        <v>43075</v>
      </c>
      <c r="CI192" s="2">
        <v>1</v>
      </c>
      <c r="CJ192" s="2">
        <v>1</v>
      </c>
      <c r="CK192" s="2">
        <v>21</v>
      </c>
      <c r="CL192" s="2" t="s">
        <v>89</v>
      </c>
    </row>
    <row r="193" spans="1:90">
      <c r="A193" s="2" t="s">
        <v>71</v>
      </c>
      <c r="B193" s="2" t="s">
        <v>72</v>
      </c>
      <c r="C193" s="2" t="s">
        <v>73</v>
      </c>
      <c r="E193" s="2" t="str">
        <f>"FES1162593425"</f>
        <v>FES1162593425</v>
      </c>
      <c r="F193" s="3">
        <v>43073</v>
      </c>
      <c r="G193" s="2">
        <v>201806</v>
      </c>
      <c r="H193" s="2" t="s">
        <v>74</v>
      </c>
      <c r="I193" s="2" t="s">
        <v>75</v>
      </c>
      <c r="J193" s="2" t="s">
        <v>97</v>
      </c>
      <c r="K193" s="2" t="s">
        <v>77</v>
      </c>
      <c r="L193" s="2" t="s">
        <v>115</v>
      </c>
      <c r="M193" s="2" t="s">
        <v>116</v>
      </c>
      <c r="N193" s="2" t="s">
        <v>283</v>
      </c>
      <c r="O193" s="2" t="s">
        <v>101</v>
      </c>
      <c r="P193" s="2" t="str">
        <f>"2170603894                    "</f>
        <v xml:space="preserve">2170603894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4.41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1</v>
      </c>
      <c r="BJ193" s="2">
        <v>0.2</v>
      </c>
      <c r="BK193" s="2">
        <v>1</v>
      </c>
      <c r="BL193" s="2">
        <v>35.270000000000003</v>
      </c>
      <c r="BM193" s="2">
        <v>4.9400000000000004</v>
      </c>
      <c r="BN193" s="2">
        <v>40.21</v>
      </c>
      <c r="BO193" s="2">
        <v>40.21</v>
      </c>
      <c r="BQ193" s="2" t="s">
        <v>102</v>
      </c>
      <c r="BR193" s="2" t="s">
        <v>103</v>
      </c>
      <c r="BS193" s="3">
        <v>43074</v>
      </c>
      <c r="BT193" s="4">
        <v>0.41666666666666669</v>
      </c>
      <c r="BU193" s="2" t="s">
        <v>579</v>
      </c>
      <c r="BV193" s="2" t="s">
        <v>85</v>
      </c>
      <c r="BY193" s="2">
        <v>1200</v>
      </c>
      <c r="BZ193" s="2" t="s">
        <v>27</v>
      </c>
      <c r="CC193" s="2" t="s">
        <v>116</v>
      </c>
      <c r="CD193" s="2">
        <v>1459</v>
      </c>
      <c r="CE193" s="2" t="s">
        <v>120</v>
      </c>
      <c r="CF193" s="3">
        <v>43077</v>
      </c>
      <c r="CI193" s="2">
        <v>1</v>
      </c>
      <c r="CJ193" s="2">
        <v>1</v>
      </c>
      <c r="CK193" s="2">
        <v>22</v>
      </c>
      <c r="CL193" s="2" t="s">
        <v>89</v>
      </c>
    </row>
    <row r="194" spans="1:90">
      <c r="A194" s="2" t="s">
        <v>71</v>
      </c>
      <c r="B194" s="2" t="s">
        <v>72</v>
      </c>
      <c r="C194" s="2" t="s">
        <v>73</v>
      </c>
      <c r="E194" s="2" t="str">
        <f>"FES1162593730"</f>
        <v>FES1162593730</v>
      </c>
      <c r="F194" s="3">
        <v>43073</v>
      </c>
      <c r="G194" s="2">
        <v>201806</v>
      </c>
      <c r="H194" s="2" t="s">
        <v>74</v>
      </c>
      <c r="I194" s="2" t="s">
        <v>75</v>
      </c>
      <c r="J194" s="2" t="s">
        <v>97</v>
      </c>
      <c r="K194" s="2" t="s">
        <v>77</v>
      </c>
      <c r="L194" s="2" t="s">
        <v>136</v>
      </c>
      <c r="M194" s="2" t="s">
        <v>137</v>
      </c>
      <c r="N194" s="2" t="s">
        <v>580</v>
      </c>
      <c r="O194" s="2" t="s">
        <v>101</v>
      </c>
      <c r="P194" s="2" t="str">
        <f>"2170604231                    "</f>
        <v xml:space="preserve">2170604231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5.65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1</v>
      </c>
      <c r="BJ194" s="2">
        <v>0.2</v>
      </c>
      <c r="BK194" s="2">
        <v>1</v>
      </c>
      <c r="BL194" s="2">
        <v>45.15</v>
      </c>
      <c r="BM194" s="2">
        <v>6.32</v>
      </c>
      <c r="BN194" s="2">
        <v>51.47</v>
      </c>
      <c r="BO194" s="2">
        <v>51.47</v>
      </c>
      <c r="BQ194" s="2" t="s">
        <v>102</v>
      </c>
      <c r="BR194" s="2" t="s">
        <v>103</v>
      </c>
      <c r="BS194" s="3">
        <v>43074</v>
      </c>
      <c r="BT194" s="4">
        <v>0.30555555555555552</v>
      </c>
      <c r="BU194" s="2" t="s">
        <v>581</v>
      </c>
      <c r="BV194" s="2" t="s">
        <v>85</v>
      </c>
      <c r="BY194" s="2">
        <v>1200</v>
      </c>
      <c r="BZ194" s="2" t="s">
        <v>27</v>
      </c>
      <c r="CA194" s="2" t="s">
        <v>180</v>
      </c>
      <c r="CC194" s="2" t="s">
        <v>137</v>
      </c>
      <c r="CD194" s="2">
        <v>6001</v>
      </c>
      <c r="CE194" s="2" t="s">
        <v>383</v>
      </c>
      <c r="CF194" s="3">
        <v>43075</v>
      </c>
      <c r="CI194" s="2">
        <v>1</v>
      </c>
      <c r="CJ194" s="2">
        <v>1</v>
      </c>
      <c r="CK194" s="2">
        <v>21</v>
      </c>
      <c r="CL194" s="2" t="s">
        <v>89</v>
      </c>
    </row>
    <row r="195" spans="1:90">
      <c r="A195" s="2" t="s">
        <v>71</v>
      </c>
      <c r="B195" s="2" t="s">
        <v>72</v>
      </c>
      <c r="C195" s="2" t="s">
        <v>73</v>
      </c>
      <c r="E195" s="2" t="str">
        <f>"FES1162593526"</f>
        <v>FES1162593526</v>
      </c>
      <c r="F195" s="3">
        <v>43073</v>
      </c>
      <c r="G195" s="2">
        <v>201806</v>
      </c>
      <c r="H195" s="2" t="s">
        <v>74</v>
      </c>
      <c r="I195" s="2" t="s">
        <v>75</v>
      </c>
      <c r="J195" s="2" t="s">
        <v>97</v>
      </c>
      <c r="K195" s="2" t="s">
        <v>77</v>
      </c>
      <c r="L195" s="2" t="s">
        <v>74</v>
      </c>
      <c r="M195" s="2" t="s">
        <v>75</v>
      </c>
      <c r="N195" s="2" t="s">
        <v>582</v>
      </c>
      <c r="O195" s="2" t="s">
        <v>101</v>
      </c>
      <c r="P195" s="2" t="str">
        <f>"2170605626                    "</f>
        <v xml:space="preserve">2170605626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4.41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1</v>
      </c>
      <c r="BJ195" s="2">
        <v>0.2</v>
      </c>
      <c r="BK195" s="2">
        <v>1</v>
      </c>
      <c r="BL195" s="2">
        <v>35.270000000000003</v>
      </c>
      <c r="BM195" s="2">
        <v>4.9400000000000004</v>
      </c>
      <c r="BN195" s="2">
        <v>40.21</v>
      </c>
      <c r="BO195" s="2">
        <v>40.21</v>
      </c>
      <c r="BR195" s="2" t="s">
        <v>103</v>
      </c>
      <c r="BS195" s="3">
        <v>43074</v>
      </c>
      <c r="BT195" s="4">
        <v>0.4375</v>
      </c>
      <c r="BU195" s="2" t="s">
        <v>583</v>
      </c>
      <c r="BV195" s="2" t="s">
        <v>85</v>
      </c>
      <c r="BY195" s="2">
        <v>1200</v>
      </c>
      <c r="BZ195" s="2" t="s">
        <v>27</v>
      </c>
      <c r="CA195" s="2" t="s">
        <v>203</v>
      </c>
      <c r="CC195" s="2" t="s">
        <v>75</v>
      </c>
      <c r="CD195" s="2">
        <v>1666</v>
      </c>
      <c r="CE195" s="2" t="s">
        <v>120</v>
      </c>
      <c r="CF195" s="3">
        <v>43077</v>
      </c>
      <c r="CI195" s="2">
        <v>1</v>
      </c>
      <c r="CJ195" s="2">
        <v>1</v>
      </c>
      <c r="CK195" s="2">
        <v>22</v>
      </c>
      <c r="CL195" s="2" t="s">
        <v>89</v>
      </c>
    </row>
    <row r="196" spans="1:90">
      <c r="A196" s="2" t="s">
        <v>71</v>
      </c>
      <c r="B196" s="2" t="s">
        <v>72</v>
      </c>
      <c r="C196" s="2" t="s">
        <v>73</v>
      </c>
      <c r="E196" s="2" t="str">
        <f>"FES1162593509"</f>
        <v>FES1162593509</v>
      </c>
      <c r="F196" s="3">
        <v>43073</v>
      </c>
      <c r="G196" s="2">
        <v>201806</v>
      </c>
      <c r="H196" s="2" t="s">
        <v>74</v>
      </c>
      <c r="I196" s="2" t="s">
        <v>75</v>
      </c>
      <c r="J196" s="2" t="s">
        <v>97</v>
      </c>
      <c r="K196" s="2" t="s">
        <v>77</v>
      </c>
      <c r="L196" s="2" t="s">
        <v>168</v>
      </c>
      <c r="M196" s="2" t="s">
        <v>169</v>
      </c>
      <c r="N196" s="2" t="s">
        <v>170</v>
      </c>
      <c r="O196" s="2" t="s">
        <v>101</v>
      </c>
      <c r="P196" s="2" t="str">
        <f>"2170605508                    "</f>
        <v xml:space="preserve">2170605508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5.65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0.6</v>
      </c>
      <c r="BJ196" s="2">
        <v>1.1000000000000001</v>
      </c>
      <c r="BK196" s="2">
        <v>1.5</v>
      </c>
      <c r="BL196" s="2">
        <v>45.15</v>
      </c>
      <c r="BM196" s="2">
        <v>6.32</v>
      </c>
      <c r="BN196" s="2">
        <v>51.47</v>
      </c>
      <c r="BO196" s="2">
        <v>51.47</v>
      </c>
      <c r="BQ196" s="2" t="s">
        <v>128</v>
      </c>
      <c r="BR196" s="2" t="s">
        <v>103</v>
      </c>
      <c r="BS196" s="3">
        <v>43074</v>
      </c>
      <c r="BT196" s="4">
        <v>0.34027777777777773</v>
      </c>
      <c r="BU196" s="2" t="s">
        <v>546</v>
      </c>
      <c r="BV196" s="2" t="s">
        <v>85</v>
      </c>
      <c r="BY196" s="2">
        <v>5338.2</v>
      </c>
      <c r="BZ196" s="2" t="s">
        <v>27</v>
      </c>
      <c r="CA196" s="2" t="s">
        <v>172</v>
      </c>
      <c r="CC196" s="2" t="s">
        <v>169</v>
      </c>
      <c r="CD196" s="2">
        <v>3610</v>
      </c>
      <c r="CE196" s="2" t="s">
        <v>383</v>
      </c>
      <c r="CF196" s="3">
        <v>43075</v>
      </c>
      <c r="CI196" s="2">
        <v>1</v>
      </c>
      <c r="CJ196" s="2">
        <v>1</v>
      </c>
      <c r="CK196" s="2">
        <v>21</v>
      </c>
      <c r="CL196" s="2" t="s">
        <v>89</v>
      </c>
    </row>
    <row r="197" spans="1:90">
      <c r="A197" s="2" t="s">
        <v>71</v>
      </c>
      <c r="B197" s="2" t="s">
        <v>72</v>
      </c>
      <c r="C197" s="2" t="s">
        <v>73</v>
      </c>
      <c r="E197" s="2" t="str">
        <f>"FES1162593506"</f>
        <v>FES1162593506</v>
      </c>
      <c r="F197" s="3">
        <v>43073</v>
      </c>
      <c r="G197" s="2">
        <v>201806</v>
      </c>
      <c r="H197" s="2" t="s">
        <v>74</v>
      </c>
      <c r="I197" s="2" t="s">
        <v>75</v>
      </c>
      <c r="J197" s="2" t="s">
        <v>97</v>
      </c>
      <c r="K197" s="2" t="s">
        <v>77</v>
      </c>
      <c r="L197" s="2" t="s">
        <v>566</v>
      </c>
      <c r="M197" s="2" t="s">
        <v>567</v>
      </c>
      <c r="N197" s="2" t="s">
        <v>164</v>
      </c>
      <c r="O197" s="2" t="s">
        <v>101</v>
      </c>
      <c r="P197" s="2" t="str">
        <f>"2170605489                    "</f>
        <v xml:space="preserve">2170605489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7.94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63.49</v>
      </c>
      <c r="BM197" s="2">
        <v>8.89</v>
      </c>
      <c r="BN197" s="2">
        <v>72.38</v>
      </c>
      <c r="BO197" s="2">
        <v>72.38</v>
      </c>
      <c r="BQ197" s="2" t="s">
        <v>102</v>
      </c>
      <c r="BR197" s="2" t="s">
        <v>103</v>
      </c>
      <c r="BS197" s="3">
        <v>43074</v>
      </c>
      <c r="BT197" s="4">
        <v>0.34027777777777773</v>
      </c>
      <c r="BU197" s="2" t="s">
        <v>584</v>
      </c>
      <c r="BV197" s="2" t="s">
        <v>85</v>
      </c>
      <c r="BY197" s="2">
        <v>1200</v>
      </c>
      <c r="BZ197" s="2" t="s">
        <v>27</v>
      </c>
      <c r="CA197" s="2" t="s">
        <v>570</v>
      </c>
      <c r="CC197" s="2" t="s">
        <v>567</v>
      </c>
      <c r="CD197" s="2">
        <v>1754</v>
      </c>
      <c r="CE197" s="2" t="s">
        <v>383</v>
      </c>
      <c r="CF197" s="3">
        <v>43077</v>
      </c>
      <c r="CI197" s="2">
        <v>1</v>
      </c>
      <c r="CJ197" s="2">
        <v>1</v>
      </c>
      <c r="CK197" s="2">
        <v>24</v>
      </c>
      <c r="CL197" s="2" t="s">
        <v>89</v>
      </c>
    </row>
    <row r="198" spans="1:90">
      <c r="A198" s="2" t="s">
        <v>71</v>
      </c>
      <c r="B198" s="2" t="s">
        <v>72</v>
      </c>
      <c r="C198" s="2" t="s">
        <v>73</v>
      </c>
      <c r="E198" s="2" t="str">
        <f>"FES1162593514"</f>
        <v>FES1162593514</v>
      </c>
      <c r="F198" s="3">
        <v>43073</v>
      </c>
      <c r="G198" s="2">
        <v>201806</v>
      </c>
      <c r="H198" s="2" t="s">
        <v>74</v>
      </c>
      <c r="I198" s="2" t="s">
        <v>75</v>
      </c>
      <c r="J198" s="2" t="s">
        <v>97</v>
      </c>
      <c r="K198" s="2" t="s">
        <v>77</v>
      </c>
      <c r="L198" s="2" t="s">
        <v>168</v>
      </c>
      <c r="M198" s="2" t="s">
        <v>169</v>
      </c>
      <c r="N198" s="2" t="s">
        <v>585</v>
      </c>
      <c r="O198" s="2" t="s">
        <v>101</v>
      </c>
      <c r="P198" s="2" t="str">
        <f>"2170605569                    "</f>
        <v xml:space="preserve">2170605569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5.65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45.15</v>
      </c>
      <c r="BM198" s="2">
        <v>6.32</v>
      </c>
      <c r="BN198" s="2">
        <v>51.47</v>
      </c>
      <c r="BO198" s="2">
        <v>51.47</v>
      </c>
      <c r="BQ198" s="2" t="s">
        <v>82</v>
      </c>
      <c r="BR198" s="2" t="s">
        <v>103</v>
      </c>
      <c r="BS198" s="3">
        <v>43074</v>
      </c>
      <c r="BT198" s="4">
        <v>0.45347222222222222</v>
      </c>
      <c r="BU198" s="2" t="s">
        <v>586</v>
      </c>
      <c r="BV198" s="2" t="s">
        <v>85</v>
      </c>
      <c r="BY198" s="2">
        <v>1200</v>
      </c>
      <c r="BZ198" s="2" t="s">
        <v>27</v>
      </c>
      <c r="CA198" s="2" t="s">
        <v>172</v>
      </c>
      <c r="CC198" s="2" t="s">
        <v>169</v>
      </c>
      <c r="CD198" s="2">
        <v>3610</v>
      </c>
      <c r="CE198" s="2" t="s">
        <v>383</v>
      </c>
      <c r="CF198" s="3">
        <v>43075</v>
      </c>
      <c r="CI198" s="2">
        <v>1</v>
      </c>
      <c r="CJ198" s="2">
        <v>1</v>
      </c>
      <c r="CK198" s="2">
        <v>21</v>
      </c>
      <c r="CL198" s="2" t="s">
        <v>89</v>
      </c>
    </row>
    <row r="199" spans="1:90">
      <c r="A199" s="2" t="s">
        <v>71</v>
      </c>
      <c r="B199" s="2" t="s">
        <v>72</v>
      </c>
      <c r="C199" s="2" t="s">
        <v>73</v>
      </c>
      <c r="E199" s="2" t="str">
        <f>"FES1162593336"</f>
        <v>FES1162593336</v>
      </c>
      <c r="F199" s="3">
        <v>43073</v>
      </c>
      <c r="G199" s="2">
        <v>201806</v>
      </c>
      <c r="H199" s="2" t="s">
        <v>74</v>
      </c>
      <c r="I199" s="2" t="s">
        <v>75</v>
      </c>
      <c r="J199" s="2" t="s">
        <v>97</v>
      </c>
      <c r="K199" s="2" t="s">
        <v>77</v>
      </c>
      <c r="L199" s="2" t="s">
        <v>115</v>
      </c>
      <c r="M199" s="2" t="s">
        <v>116</v>
      </c>
      <c r="N199" s="2" t="s">
        <v>283</v>
      </c>
      <c r="O199" s="2" t="s">
        <v>101</v>
      </c>
      <c r="P199" s="2" t="str">
        <f>"2170598322                    "</f>
        <v xml:space="preserve">2170598322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4.41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</v>
      </c>
      <c r="BJ199" s="2">
        <v>0.2</v>
      </c>
      <c r="BK199" s="2">
        <v>1</v>
      </c>
      <c r="BL199" s="2">
        <v>35.270000000000003</v>
      </c>
      <c r="BM199" s="2">
        <v>4.9400000000000004</v>
      </c>
      <c r="BN199" s="2">
        <v>40.21</v>
      </c>
      <c r="BO199" s="2">
        <v>40.21</v>
      </c>
      <c r="BQ199" s="2" t="s">
        <v>102</v>
      </c>
      <c r="BR199" s="2" t="s">
        <v>103</v>
      </c>
      <c r="BS199" s="3">
        <v>43074</v>
      </c>
      <c r="BT199" s="4">
        <v>0.41666666666666669</v>
      </c>
      <c r="BU199" s="2" t="s">
        <v>205</v>
      </c>
      <c r="BV199" s="2" t="s">
        <v>85</v>
      </c>
      <c r="BY199" s="2">
        <v>1200</v>
      </c>
      <c r="BZ199" s="2" t="s">
        <v>27</v>
      </c>
      <c r="CC199" s="2" t="s">
        <v>116</v>
      </c>
      <c r="CD199" s="2">
        <v>1459</v>
      </c>
      <c r="CE199" s="2" t="s">
        <v>120</v>
      </c>
      <c r="CF199" s="3">
        <v>43077</v>
      </c>
      <c r="CI199" s="2">
        <v>1</v>
      </c>
      <c r="CJ199" s="2">
        <v>1</v>
      </c>
      <c r="CK199" s="2">
        <v>22</v>
      </c>
      <c r="CL199" s="2" t="s">
        <v>89</v>
      </c>
    </row>
    <row r="200" spans="1:90">
      <c r="A200" s="2" t="s">
        <v>71</v>
      </c>
      <c r="B200" s="2" t="s">
        <v>72</v>
      </c>
      <c r="C200" s="2" t="s">
        <v>73</v>
      </c>
      <c r="E200" s="2" t="str">
        <f>"FES1162593507"</f>
        <v>FES1162593507</v>
      </c>
      <c r="F200" s="3">
        <v>43073</v>
      </c>
      <c r="G200" s="2">
        <v>201806</v>
      </c>
      <c r="H200" s="2" t="s">
        <v>74</v>
      </c>
      <c r="I200" s="2" t="s">
        <v>75</v>
      </c>
      <c r="J200" s="2" t="s">
        <v>97</v>
      </c>
      <c r="K200" s="2" t="s">
        <v>77</v>
      </c>
      <c r="L200" s="2" t="s">
        <v>168</v>
      </c>
      <c r="M200" s="2" t="s">
        <v>169</v>
      </c>
      <c r="N200" s="2" t="s">
        <v>217</v>
      </c>
      <c r="O200" s="2" t="s">
        <v>101</v>
      </c>
      <c r="P200" s="2" t="str">
        <f>"2170605490                    "</f>
        <v xml:space="preserve">2170605490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5.65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0.2</v>
      </c>
      <c r="BK200" s="2">
        <v>1</v>
      </c>
      <c r="BL200" s="2">
        <v>45.15</v>
      </c>
      <c r="BM200" s="2">
        <v>6.32</v>
      </c>
      <c r="BN200" s="2">
        <v>51.47</v>
      </c>
      <c r="BO200" s="2">
        <v>51.47</v>
      </c>
      <c r="BQ200" s="2" t="s">
        <v>102</v>
      </c>
      <c r="BR200" s="2" t="s">
        <v>103</v>
      </c>
      <c r="BS200" s="3">
        <v>43074</v>
      </c>
      <c r="BT200" s="4">
        <v>0.43055555555555558</v>
      </c>
      <c r="BU200" s="2" t="s">
        <v>218</v>
      </c>
      <c r="BV200" s="2" t="s">
        <v>85</v>
      </c>
      <c r="BY200" s="2">
        <v>1200</v>
      </c>
      <c r="BZ200" s="2" t="s">
        <v>27</v>
      </c>
      <c r="CA200" s="2" t="s">
        <v>220</v>
      </c>
      <c r="CC200" s="2" t="s">
        <v>169</v>
      </c>
      <c r="CD200" s="2">
        <v>3620</v>
      </c>
      <c r="CE200" s="2" t="s">
        <v>383</v>
      </c>
      <c r="CF200" s="3">
        <v>43075</v>
      </c>
      <c r="CI200" s="2">
        <v>1</v>
      </c>
      <c r="CJ200" s="2">
        <v>1</v>
      </c>
      <c r="CK200" s="2">
        <v>21</v>
      </c>
      <c r="CL200" s="2" t="s">
        <v>89</v>
      </c>
    </row>
    <row r="201" spans="1:90">
      <c r="A201" s="2" t="s">
        <v>71</v>
      </c>
      <c r="B201" s="2" t="s">
        <v>72</v>
      </c>
      <c r="C201" s="2" t="s">
        <v>73</v>
      </c>
      <c r="E201" s="2" t="str">
        <f>"FES1162593341"</f>
        <v>FES1162593341</v>
      </c>
      <c r="F201" s="3">
        <v>43073</v>
      </c>
      <c r="G201" s="2">
        <v>201806</v>
      </c>
      <c r="H201" s="2" t="s">
        <v>74</v>
      </c>
      <c r="I201" s="2" t="s">
        <v>75</v>
      </c>
      <c r="J201" s="2" t="s">
        <v>97</v>
      </c>
      <c r="K201" s="2" t="s">
        <v>77</v>
      </c>
      <c r="L201" s="2" t="s">
        <v>115</v>
      </c>
      <c r="M201" s="2" t="s">
        <v>116</v>
      </c>
      <c r="N201" s="2" t="s">
        <v>587</v>
      </c>
      <c r="O201" s="2" t="s">
        <v>101</v>
      </c>
      <c r="P201" s="2" t="str">
        <f>"2170599717                    "</f>
        <v xml:space="preserve">2170599717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4.41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35.270000000000003</v>
      </c>
      <c r="BM201" s="2">
        <v>4.9400000000000004</v>
      </c>
      <c r="BN201" s="2">
        <v>40.21</v>
      </c>
      <c r="BO201" s="2">
        <v>40.21</v>
      </c>
      <c r="BQ201" s="2" t="s">
        <v>102</v>
      </c>
      <c r="BR201" s="2" t="s">
        <v>103</v>
      </c>
      <c r="BS201" s="3">
        <v>43074</v>
      </c>
      <c r="BT201" s="4">
        <v>0.41666666666666669</v>
      </c>
      <c r="BU201" s="2" t="s">
        <v>579</v>
      </c>
      <c r="BV201" s="2" t="s">
        <v>85</v>
      </c>
      <c r="BY201" s="2">
        <v>1200</v>
      </c>
      <c r="BZ201" s="2" t="s">
        <v>27</v>
      </c>
      <c r="CC201" s="2" t="s">
        <v>116</v>
      </c>
      <c r="CD201" s="2">
        <v>1459</v>
      </c>
      <c r="CE201" s="2" t="s">
        <v>120</v>
      </c>
      <c r="CF201" s="3">
        <v>43077</v>
      </c>
      <c r="CI201" s="2">
        <v>1</v>
      </c>
      <c r="CJ201" s="2">
        <v>1</v>
      </c>
      <c r="CK201" s="2">
        <v>22</v>
      </c>
      <c r="CL201" s="2" t="s">
        <v>89</v>
      </c>
    </row>
    <row r="202" spans="1:90">
      <c r="A202" s="2" t="s">
        <v>71</v>
      </c>
      <c r="B202" s="2" t="s">
        <v>72</v>
      </c>
      <c r="C202" s="2" t="s">
        <v>73</v>
      </c>
      <c r="E202" s="2" t="str">
        <f>"FES1162593626"</f>
        <v>FES1162593626</v>
      </c>
      <c r="F202" s="3">
        <v>43073</v>
      </c>
      <c r="G202" s="2">
        <v>201806</v>
      </c>
      <c r="H202" s="2" t="s">
        <v>74</v>
      </c>
      <c r="I202" s="2" t="s">
        <v>75</v>
      </c>
      <c r="J202" s="2" t="s">
        <v>97</v>
      </c>
      <c r="K202" s="2" t="s">
        <v>77</v>
      </c>
      <c r="L202" s="2" t="s">
        <v>158</v>
      </c>
      <c r="M202" s="2" t="s">
        <v>159</v>
      </c>
      <c r="N202" s="2" t="s">
        <v>588</v>
      </c>
      <c r="O202" s="2" t="s">
        <v>101</v>
      </c>
      <c r="P202" s="2" t="str">
        <f>"2170602834                    "</f>
        <v xml:space="preserve">2170602834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5.65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45.15</v>
      </c>
      <c r="BM202" s="2">
        <v>6.32</v>
      </c>
      <c r="BN202" s="2">
        <v>51.47</v>
      </c>
      <c r="BO202" s="2">
        <v>51.47</v>
      </c>
      <c r="BQ202" s="2" t="s">
        <v>102</v>
      </c>
      <c r="BR202" s="2" t="s">
        <v>103</v>
      </c>
      <c r="BS202" s="3">
        <v>43074</v>
      </c>
      <c r="BT202" s="4">
        <v>0.57291666666666663</v>
      </c>
      <c r="BU202" s="2" t="s">
        <v>589</v>
      </c>
      <c r="BV202" s="2" t="s">
        <v>85</v>
      </c>
      <c r="BY202" s="2">
        <v>1200</v>
      </c>
      <c r="BZ202" s="2" t="s">
        <v>27</v>
      </c>
      <c r="CA202" s="2" t="s">
        <v>590</v>
      </c>
      <c r="CC202" s="2" t="s">
        <v>159</v>
      </c>
      <c r="CD202" s="2">
        <v>40</v>
      </c>
      <c r="CE202" s="2" t="s">
        <v>383</v>
      </c>
      <c r="CF202" s="3">
        <v>43075</v>
      </c>
      <c r="CI202" s="2">
        <v>1</v>
      </c>
      <c r="CJ202" s="2">
        <v>1</v>
      </c>
      <c r="CK202" s="2">
        <v>21</v>
      </c>
      <c r="CL202" s="2" t="s">
        <v>89</v>
      </c>
    </row>
    <row r="203" spans="1:90">
      <c r="A203" s="2" t="s">
        <v>71</v>
      </c>
      <c r="B203" s="2" t="s">
        <v>72</v>
      </c>
      <c r="C203" s="2" t="s">
        <v>73</v>
      </c>
      <c r="E203" s="2" t="str">
        <f>"FES1162593547"</f>
        <v>FES1162593547</v>
      </c>
      <c r="F203" s="3">
        <v>43073</v>
      </c>
      <c r="G203" s="2">
        <v>201806</v>
      </c>
      <c r="H203" s="2" t="s">
        <v>74</v>
      </c>
      <c r="I203" s="2" t="s">
        <v>75</v>
      </c>
      <c r="J203" s="2" t="s">
        <v>97</v>
      </c>
      <c r="K203" s="2" t="s">
        <v>77</v>
      </c>
      <c r="L203" s="2" t="s">
        <v>125</v>
      </c>
      <c r="M203" s="2" t="s">
        <v>126</v>
      </c>
      <c r="N203" s="2" t="s">
        <v>591</v>
      </c>
      <c r="O203" s="2" t="s">
        <v>101</v>
      </c>
      <c r="P203" s="2" t="str">
        <f>"2170605651                    "</f>
        <v xml:space="preserve">2170605651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5.65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1</v>
      </c>
      <c r="BJ203" s="2">
        <v>0.2</v>
      </c>
      <c r="BK203" s="2">
        <v>1</v>
      </c>
      <c r="BL203" s="2">
        <v>45.15</v>
      </c>
      <c r="BM203" s="2">
        <v>6.32</v>
      </c>
      <c r="BN203" s="2">
        <v>51.47</v>
      </c>
      <c r="BO203" s="2">
        <v>51.47</v>
      </c>
      <c r="BQ203" s="2" t="s">
        <v>592</v>
      </c>
      <c r="BR203" s="2" t="s">
        <v>103</v>
      </c>
      <c r="BS203" s="3">
        <v>43074</v>
      </c>
      <c r="BT203" s="4">
        <v>0.5</v>
      </c>
      <c r="BU203" s="2" t="s">
        <v>593</v>
      </c>
      <c r="BV203" s="2" t="s">
        <v>89</v>
      </c>
      <c r="BW203" s="2" t="s">
        <v>149</v>
      </c>
      <c r="BX203" s="2" t="s">
        <v>594</v>
      </c>
      <c r="BY203" s="2">
        <v>1200</v>
      </c>
      <c r="BZ203" s="2" t="s">
        <v>27</v>
      </c>
      <c r="CA203" s="2" t="s">
        <v>595</v>
      </c>
      <c r="CC203" s="2" t="s">
        <v>126</v>
      </c>
      <c r="CD203" s="2">
        <v>4051</v>
      </c>
      <c r="CE203" s="2" t="s">
        <v>383</v>
      </c>
      <c r="CF203" s="3">
        <v>43075</v>
      </c>
      <c r="CI203" s="2">
        <v>1</v>
      </c>
      <c r="CJ203" s="2">
        <v>1</v>
      </c>
      <c r="CK203" s="2">
        <v>21</v>
      </c>
      <c r="CL203" s="2" t="s">
        <v>89</v>
      </c>
    </row>
    <row r="204" spans="1:90">
      <c r="A204" s="2" t="s">
        <v>71</v>
      </c>
      <c r="B204" s="2" t="s">
        <v>72</v>
      </c>
      <c r="C204" s="2" t="s">
        <v>73</v>
      </c>
      <c r="E204" s="2" t="str">
        <f>"FES1162593480"</f>
        <v>FES1162593480</v>
      </c>
      <c r="F204" s="3">
        <v>43073</v>
      </c>
      <c r="G204" s="2">
        <v>201806</v>
      </c>
      <c r="H204" s="2" t="s">
        <v>74</v>
      </c>
      <c r="I204" s="2" t="s">
        <v>75</v>
      </c>
      <c r="J204" s="2" t="s">
        <v>97</v>
      </c>
      <c r="K204" s="2" t="s">
        <v>77</v>
      </c>
      <c r="L204" s="2" t="s">
        <v>74</v>
      </c>
      <c r="M204" s="2" t="s">
        <v>75</v>
      </c>
      <c r="N204" s="2" t="s">
        <v>596</v>
      </c>
      <c r="O204" s="2" t="s">
        <v>101</v>
      </c>
      <c r="P204" s="2" t="str">
        <f>"21706050510                   "</f>
        <v xml:space="preserve">21706050510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4.41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4.7</v>
      </c>
      <c r="BJ204" s="2">
        <v>2.7</v>
      </c>
      <c r="BK204" s="2">
        <v>5</v>
      </c>
      <c r="BL204" s="2">
        <v>35.270000000000003</v>
      </c>
      <c r="BM204" s="2">
        <v>4.9400000000000004</v>
      </c>
      <c r="BN204" s="2">
        <v>40.21</v>
      </c>
      <c r="BO204" s="2">
        <v>40.21</v>
      </c>
      <c r="BQ204" s="2" t="s">
        <v>82</v>
      </c>
      <c r="BR204" s="2" t="s">
        <v>103</v>
      </c>
      <c r="BS204" s="3">
        <v>43074</v>
      </c>
      <c r="BT204" s="4">
        <v>0.4375</v>
      </c>
      <c r="BU204" s="2" t="s">
        <v>597</v>
      </c>
      <c r="BV204" s="2" t="s">
        <v>85</v>
      </c>
      <c r="BY204" s="2">
        <v>13652.85</v>
      </c>
      <c r="BZ204" s="2" t="s">
        <v>27</v>
      </c>
      <c r="CA204" s="2" t="s">
        <v>203</v>
      </c>
      <c r="CC204" s="2" t="s">
        <v>75</v>
      </c>
      <c r="CD204" s="2">
        <v>1665</v>
      </c>
      <c r="CE204" s="2" t="s">
        <v>120</v>
      </c>
      <c r="CF204" s="3">
        <v>43077</v>
      </c>
      <c r="CI204" s="2">
        <v>1</v>
      </c>
      <c r="CJ204" s="2">
        <v>1</v>
      </c>
      <c r="CK204" s="2">
        <v>22</v>
      </c>
      <c r="CL204" s="2" t="s">
        <v>89</v>
      </c>
    </row>
    <row r="205" spans="1:90">
      <c r="A205" s="2" t="s">
        <v>71</v>
      </c>
      <c r="B205" s="2" t="s">
        <v>72</v>
      </c>
      <c r="C205" s="2" t="s">
        <v>73</v>
      </c>
      <c r="E205" s="2" t="str">
        <f>"FES1162593519"</f>
        <v>FES1162593519</v>
      </c>
      <c r="F205" s="3">
        <v>43073</v>
      </c>
      <c r="G205" s="2">
        <v>201806</v>
      </c>
      <c r="H205" s="2" t="s">
        <v>74</v>
      </c>
      <c r="I205" s="2" t="s">
        <v>75</v>
      </c>
      <c r="J205" s="2" t="s">
        <v>97</v>
      </c>
      <c r="K205" s="2" t="s">
        <v>77</v>
      </c>
      <c r="L205" s="2" t="s">
        <v>598</v>
      </c>
      <c r="M205" s="2" t="s">
        <v>599</v>
      </c>
      <c r="N205" s="2" t="s">
        <v>600</v>
      </c>
      <c r="O205" s="2" t="s">
        <v>101</v>
      </c>
      <c r="P205" s="2" t="str">
        <f>"2170605613                    "</f>
        <v xml:space="preserve">2170605613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15.89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1.8</v>
      </c>
      <c r="BJ205" s="2">
        <v>2.8</v>
      </c>
      <c r="BK205" s="2">
        <v>3</v>
      </c>
      <c r="BL205" s="2">
        <v>126.98</v>
      </c>
      <c r="BM205" s="2">
        <v>17.78</v>
      </c>
      <c r="BN205" s="2">
        <v>144.76</v>
      </c>
      <c r="BO205" s="2">
        <v>144.76</v>
      </c>
      <c r="BQ205" s="2" t="s">
        <v>102</v>
      </c>
      <c r="BR205" s="2" t="s">
        <v>103</v>
      </c>
      <c r="BS205" s="3">
        <v>43074</v>
      </c>
      <c r="BT205" s="4">
        <v>0.39583333333333331</v>
      </c>
      <c r="BU205" s="2" t="s">
        <v>601</v>
      </c>
      <c r="BV205" s="2" t="s">
        <v>85</v>
      </c>
      <c r="BY205" s="2">
        <v>14005.6</v>
      </c>
      <c r="BZ205" s="2" t="s">
        <v>27</v>
      </c>
      <c r="CA205" s="2" t="s">
        <v>602</v>
      </c>
      <c r="CC205" s="2" t="s">
        <v>599</v>
      </c>
      <c r="CD205" s="2">
        <v>9700</v>
      </c>
      <c r="CE205" s="2" t="s">
        <v>282</v>
      </c>
      <c r="CF205" s="3">
        <v>43077</v>
      </c>
      <c r="CI205" s="2">
        <v>1</v>
      </c>
      <c r="CJ205" s="2">
        <v>1</v>
      </c>
      <c r="CK205" s="2">
        <v>23</v>
      </c>
      <c r="CL205" s="2" t="s">
        <v>89</v>
      </c>
    </row>
    <row r="206" spans="1:90">
      <c r="A206" s="2" t="s">
        <v>71</v>
      </c>
      <c r="B206" s="2" t="s">
        <v>72</v>
      </c>
      <c r="C206" s="2" t="s">
        <v>73</v>
      </c>
      <c r="E206" s="2" t="str">
        <f>"FES1162593395"</f>
        <v>FES1162593395</v>
      </c>
      <c r="F206" s="3">
        <v>43073</v>
      </c>
      <c r="G206" s="2">
        <v>201806</v>
      </c>
      <c r="H206" s="2" t="s">
        <v>74</v>
      </c>
      <c r="I206" s="2" t="s">
        <v>75</v>
      </c>
      <c r="J206" s="2" t="s">
        <v>97</v>
      </c>
      <c r="K206" s="2" t="s">
        <v>77</v>
      </c>
      <c r="L206" s="2" t="s">
        <v>152</v>
      </c>
      <c r="M206" s="2" t="s">
        <v>153</v>
      </c>
      <c r="N206" s="2" t="s">
        <v>603</v>
      </c>
      <c r="O206" s="2" t="s">
        <v>101</v>
      </c>
      <c r="P206" s="2" t="str">
        <f>"2170603105                    "</f>
        <v xml:space="preserve">2170603105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4.41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35.270000000000003</v>
      </c>
      <c r="BM206" s="2">
        <v>4.9400000000000004</v>
      </c>
      <c r="BN206" s="2">
        <v>40.21</v>
      </c>
      <c r="BO206" s="2">
        <v>40.21</v>
      </c>
      <c r="BQ206" s="2" t="s">
        <v>82</v>
      </c>
      <c r="BR206" s="2" t="s">
        <v>103</v>
      </c>
      <c r="BS206" s="3">
        <v>43074</v>
      </c>
      <c r="BT206" s="4">
        <v>0.51458333333333328</v>
      </c>
      <c r="BU206" s="2" t="s">
        <v>601</v>
      </c>
      <c r="BV206" s="2" t="s">
        <v>89</v>
      </c>
      <c r="BW206" s="2" t="s">
        <v>437</v>
      </c>
      <c r="BX206" s="2" t="s">
        <v>438</v>
      </c>
      <c r="BY206" s="2">
        <v>1200</v>
      </c>
      <c r="BZ206" s="2" t="s">
        <v>27</v>
      </c>
      <c r="CA206" s="2" t="s">
        <v>439</v>
      </c>
      <c r="CC206" s="2" t="s">
        <v>153</v>
      </c>
      <c r="CD206" s="2">
        <v>1422</v>
      </c>
      <c r="CE206" s="2" t="s">
        <v>120</v>
      </c>
      <c r="CF206" s="3">
        <v>43077</v>
      </c>
      <c r="CI206" s="2">
        <v>1</v>
      </c>
      <c r="CJ206" s="2">
        <v>1</v>
      </c>
      <c r="CK206" s="2">
        <v>22</v>
      </c>
      <c r="CL206" s="2" t="s">
        <v>89</v>
      </c>
    </row>
    <row r="207" spans="1:90">
      <c r="A207" s="2" t="s">
        <v>71</v>
      </c>
      <c r="B207" s="2" t="s">
        <v>72</v>
      </c>
      <c r="C207" s="2" t="s">
        <v>73</v>
      </c>
      <c r="E207" s="2" t="str">
        <f>"FES1162593485"</f>
        <v>FES1162593485</v>
      </c>
      <c r="F207" s="3">
        <v>43073</v>
      </c>
      <c r="G207" s="2">
        <v>201806</v>
      </c>
      <c r="H207" s="2" t="s">
        <v>74</v>
      </c>
      <c r="I207" s="2" t="s">
        <v>75</v>
      </c>
      <c r="J207" s="2" t="s">
        <v>97</v>
      </c>
      <c r="K207" s="2" t="s">
        <v>77</v>
      </c>
      <c r="L207" s="2" t="s">
        <v>74</v>
      </c>
      <c r="M207" s="2" t="s">
        <v>75</v>
      </c>
      <c r="N207" s="2" t="s">
        <v>596</v>
      </c>
      <c r="O207" s="2" t="s">
        <v>101</v>
      </c>
      <c r="P207" s="2" t="str">
        <f>"2170605063                    "</f>
        <v xml:space="preserve">2170605063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4.41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35.270000000000003</v>
      </c>
      <c r="BM207" s="2">
        <v>4.9400000000000004</v>
      </c>
      <c r="BN207" s="2">
        <v>40.21</v>
      </c>
      <c r="BO207" s="2">
        <v>40.21</v>
      </c>
      <c r="BQ207" s="2" t="s">
        <v>82</v>
      </c>
      <c r="BR207" s="2" t="s">
        <v>103</v>
      </c>
      <c r="BS207" s="3">
        <v>43074</v>
      </c>
      <c r="BT207" s="4">
        <v>0.4375</v>
      </c>
      <c r="BU207" s="2" t="s">
        <v>597</v>
      </c>
      <c r="BV207" s="2" t="s">
        <v>85</v>
      </c>
      <c r="BY207" s="2">
        <v>1200</v>
      </c>
      <c r="BZ207" s="2" t="s">
        <v>27</v>
      </c>
      <c r="CA207" s="2" t="s">
        <v>203</v>
      </c>
      <c r="CC207" s="2" t="s">
        <v>75</v>
      </c>
      <c r="CD207" s="2">
        <v>1665</v>
      </c>
      <c r="CE207" s="2" t="s">
        <v>120</v>
      </c>
      <c r="CF207" s="3">
        <v>43077</v>
      </c>
      <c r="CI207" s="2">
        <v>1</v>
      </c>
      <c r="CJ207" s="2">
        <v>1</v>
      </c>
      <c r="CK207" s="2">
        <v>22</v>
      </c>
      <c r="CL207" s="2" t="s">
        <v>89</v>
      </c>
    </row>
    <row r="208" spans="1:90">
      <c r="A208" s="2" t="s">
        <v>71</v>
      </c>
      <c r="B208" s="2" t="s">
        <v>72</v>
      </c>
      <c r="C208" s="2" t="s">
        <v>73</v>
      </c>
      <c r="E208" s="2" t="str">
        <f>"FES1162593690"</f>
        <v>FES1162593690</v>
      </c>
      <c r="F208" s="3">
        <v>43073</v>
      </c>
      <c r="G208" s="2">
        <v>201806</v>
      </c>
      <c r="H208" s="2" t="s">
        <v>74</v>
      </c>
      <c r="I208" s="2" t="s">
        <v>75</v>
      </c>
      <c r="J208" s="2" t="s">
        <v>97</v>
      </c>
      <c r="K208" s="2" t="s">
        <v>77</v>
      </c>
      <c r="L208" s="2" t="s">
        <v>111</v>
      </c>
      <c r="M208" s="2" t="s">
        <v>112</v>
      </c>
      <c r="N208" s="2" t="s">
        <v>113</v>
      </c>
      <c r="O208" s="2" t="s">
        <v>101</v>
      </c>
      <c r="P208" s="2" t="str">
        <f>"2170605031                    "</f>
        <v xml:space="preserve">2170605031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5.65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45.15</v>
      </c>
      <c r="BM208" s="2">
        <v>6.32</v>
      </c>
      <c r="BN208" s="2">
        <v>51.47</v>
      </c>
      <c r="BO208" s="2">
        <v>51.47</v>
      </c>
      <c r="BQ208" s="2" t="s">
        <v>82</v>
      </c>
      <c r="BR208" s="2" t="s">
        <v>103</v>
      </c>
      <c r="BS208" s="3">
        <v>43074</v>
      </c>
      <c r="BT208" s="4">
        <v>0.33333333333333331</v>
      </c>
      <c r="BU208" s="2" t="s">
        <v>604</v>
      </c>
      <c r="BV208" s="2" t="s">
        <v>85</v>
      </c>
      <c r="BY208" s="2">
        <v>1200</v>
      </c>
      <c r="BZ208" s="2" t="s">
        <v>27</v>
      </c>
      <c r="CA208" s="2" t="s">
        <v>605</v>
      </c>
      <c r="CC208" s="2" t="s">
        <v>112</v>
      </c>
      <c r="CD208" s="2">
        <v>6220</v>
      </c>
      <c r="CE208" s="2" t="s">
        <v>383</v>
      </c>
      <c r="CF208" s="3">
        <v>43075</v>
      </c>
      <c r="CI208" s="2">
        <v>1</v>
      </c>
      <c r="CJ208" s="2">
        <v>1</v>
      </c>
      <c r="CK208" s="2">
        <v>21</v>
      </c>
      <c r="CL208" s="2" t="s">
        <v>89</v>
      </c>
    </row>
    <row r="209" spans="1:90">
      <c r="A209" s="2" t="s">
        <v>71</v>
      </c>
      <c r="B209" s="2" t="s">
        <v>72</v>
      </c>
      <c r="C209" s="2" t="s">
        <v>73</v>
      </c>
      <c r="E209" s="2" t="str">
        <f>"FES1162593551"</f>
        <v>FES1162593551</v>
      </c>
      <c r="F209" s="3">
        <v>43073</v>
      </c>
      <c r="G209" s="2">
        <v>201806</v>
      </c>
      <c r="H209" s="2" t="s">
        <v>74</v>
      </c>
      <c r="I209" s="2" t="s">
        <v>75</v>
      </c>
      <c r="J209" s="2" t="s">
        <v>97</v>
      </c>
      <c r="K209" s="2" t="s">
        <v>77</v>
      </c>
      <c r="L209" s="2" t="s">
        <v>158</v>
      </c>
      <c r="M209" s="2" t="s">
        <v>159</v>
      </c>
      <c r="N209" s="2" t="s">
        <v>164</v>
      </c>
      <c r="O209" s="2" t="s">
        <v>101</v>
      </c>
      <c r="P209" s="2" t="str">
        <f>"2170605656                    "</f>
        <v xml:space="preserve">2170605656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5.65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1</v>
      </c>
      <c r="BJ209" s="2">
        <v>0.2</v>
      </c>
      <c r="BK209" s="2">
        <v>1</v>
      </c>
      <c r="BL209" s="2">
        <v>45.15</v>
      </c>
      <c r="BM209" s="2">
        <v>6.32</v>
      </c>
      <c r="BN209" s="2">
        <v>51.47</v>
      </c>
      <c r="BO209" s="2">
        <v>51.47</v>
      </c>
      <c r="BQ209" s="2" t="s">
        <v>102</v>
      </c>
      <c r="BR209" s="2" t="s">
        <v>103</v>
      </c>
      <c r="BS209" s="3">
        <v>43074</v>
      </c>
      <c r="BT209" s="4">
        <v>0.52847222222222223</v>
      </c>
      <c r="BU209" s="2" t="s">
        <v>606</v>
      </c>
      <c r="BV209" s="2" t="s">
        <v>89</v>
      </c>
      <c r="BW209" s="2" t="s">
        <v>156</v>
      </c>
      <c r="BX209" s="2" t="s">
        <v>565</v>
      </c>
      <c r="BY209" s="2">
        <v>1200</v>
      </c>
      <c r="BZ209" s="2" t="s">
        <v>27</v>
      </c>
      <c r="CC209" s="2" t="s">
        <v>159</v>
      </c>
      <c r="CD209" s="2">
        <v>200</v>
      </c>
      <c r="CE209" s="2" t="s">
        <v>383</v>
      </c>
      <c r="CF209" s="3">
        <v>43075</v>
      </c>
      <c r="CI209" s="2">
        <v>1</v>
      </c>
      <c r="CJ209" s="2">
        <v>1</v>
      </c>
      <c r="CK209" s="2">
        <v>21</v>
      </c>
      <c r="CL209" s="2" t="s">
        <v>89</v>
      </c>
    </row>
    <row r="210" spans="1:90">
      <c r="A210" s="2" t="s">
        <v>71</v>
      </c>
      <c r="B210" s="2" t="s">
        <v>72</v>
      </c>
      <c r="C210" s="2" t="s">
        <v>73</v>
      </c>
      <c r="E210" s="2" t="str">
        <f>"FES1162593550"</f>
        <v>FES1162593550</v>
      </c>
      <c r="F210" s="3">
        <v>43073</v>
      </c>
      <c r="G210" s="2">
        <v>201806</v>
      </c>
      <c r="H210" s="2" t="s">
        <v>74</v>
      </c>
      <c r="I210" s="2" t="s">
        <v>75</v>
      </c>
      <c r="J210" s="2" t="s">
        <v>97</v>
      </c>
      <c r="K210" s="2" t="s">
        <v>77</v>
      </c>
      <c r="L210" s="2" t="s">
        <v>98</v>
      </c>
      <c r="M210" s="2" t="s">
        <v>99</v>
      </c>
      <c r="N210" s="2" t="s">
        <v>607</v>
      </c>
      <c r="O210" s="2" t="s">
        <v>101</v>
      </c>
      <c r="P210" s="2" t="str">
        <f>"2170605654                    "</f>
        <v xml:space="preserve">2170605654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8.4700000000000006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2.2000000000000002</v>
      </c>
      <c r="BJ210" s="2">
        <v>2.8</v>
      </c>
      <c r="BK210" s="2">
        <v>3</v>
      </c>
      <c r="BL210" s="2">
        <v>67.709999999999994</v>
      </c>
      <c r="BM210" s="2">
        <v>9.48</v>
      </c>
      <c r="BN210" s="2">
        <v>77.19</v>
      </c>
      <c r="BO210" s="2">
        <v>77.19</v>
      </c>
      <c r="BQ210" s="2" t="s">
        <v>142</v>
      </c>
      <c r="BR210" s="2" t="s">
        <v>103</v>
      </c>
      <c r="BS210" s="3">
        <v>43074</v>
      </c>
      <c r="BT210" s="4">
        <v>0.3923611111111111</v>
      </c>
      <c r="BU210" s="2" t="s">
        <v>608</v>
      </c>
      <c r="BV210" s="2" t="s">
        <v>85</v>
      </c>
      <c r="BY210" s="2">
        <v>14043.2</v>
      </c>
      <c r="BZ210" s="2" t="s">
        <v>27</v>
      </c>
      <c r="CA210" s="2" t="s">
        <v>497</v>
      </c>
      <c r="CC210" s="2" t="s">
        <v>99</v>
      </c>
      <c r="CD210" s="2">
        <v>3201</v>
      </c>
      <c r="CE210" s="2" t="s">
        <v>282</v>
      </c>
      <c r="CF210" s="3">
        <v>43076</v>
      </c>
      <c r="CI210" s="2">
        <v>1</v>
      </c>
      <c r="CJ210" s="2">
        <v>1</v>
      </c>
      <c r="CK210" s="2">
        <v>21</v>
      </c>
      <c r="CL210" s="2" t="s">
        <v>89</v>
      </c>
    </row>
    <row r="211" spans="1:90">
      <c r="A211" s="2" t="s">
        <v>71</v>
      </c>
      <c r="B211" s="2" t="s">
        <v>72</v>
      </c>
      <c r="C211" s="2" t="s">
        <v>73</v>
      </c>
      <c r="E211" s="2" t="str">
        <f>"FES1162593546"</f>
        <v>FES1162593546</v>
      </c>
      <c r="F211" s="3">
        <v>43073</v>
      </c>
      <c r="G211" s="2">
        <v>201806</v>
      </c>
      <c r="H211" s="2" t="s">
        <v>74</v>
      </c>
      <c r="I211" s="2" t="s">
        <v>75</v>
      </c>
      <c r="J211" s="2" t="s">
        <v>97</v>
      </c>
      <c r="K211" s="2" t="s">
        <v>77</v>
      </c>
      <c r="L211" s="2" t="s">
        <v>212</v>
      </c>
      <c r="M211" s="2" t="s">
        <v>212</v>
      </c>
      <c r="N211" s="2" t="s">
        <v>370</v>
      </c>
      <c r="O211" s="2" t="s">
        <v>101</v>
      </c>
      <c r="P211" s="2" t="str">
        <f>"2170605648                    "</f>
        <v xml:space="preserve">2170605648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26.82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8</v>
      </c>
      <c r="BJ211" s="2">
        <v>9.1</v>
      </c>
      <c r="BK211" s="2">
        <v>9.5</v>
      </c>
      <c r="BL211" s="2">
        <v>214.37</v>
      </c>
      <c r="BM211" s="2">
        <v>30.01</v>
      </c>
      <c r="BN211" s="2">
        <v>244.38</v>
      </c>
      <c r="BO211" s="2">
        <v>244.38</v>
      </c>
      <c r="BQ211" s="2" t="s">
        <v>102</v>
      </c>
      <c r="BR211" s="2" t="s">
        <v>103</v>
      </c>
      <c r="BS211" s="3">
        <v>43074</v>
      </c>
      <c r="BT211" s="4">
        <v>0.58333333333333337</v>
      </c>
      <c r="BU211" s="2" t="s">
        <v>538</v>
      </c>
      <c r="BV211" s="2" t="s">
        <v>89</v>
      </c>
      <c r="BW211" s="2" t="s">
        <v>313</v>
      </c>
      <c r="BX211" s="2" t="s">
        <v>368</v>
      </c>
      <c r="BY211" s="2">
        <v>45632</v>
      </c>
      <c r="BZ211" s="2" t="s">
        <v>27</v>
      </c>
      <c r="CA211" s="2" t="s">
        <v>532</v>
      </c>
      <c r="CC211" s="2" t="s">
        <v>212</v>
      </c>
      <c r="CD211" s="2">
        <v>7646</v>
      </c>
      <c r="CE211" s="2" t="s">
        <v>288</v>
      </c>
      <c r="CF211" s="3">
        <v>43074</v>
      </c>
      <c r="CI211" s="2">
        <v>1</v>
      </c>
      <c r="CJ211" s="2">
        <v>1</v>
      </c>
      <c r="CK211" s="2">
        <v>21</v>
      </c>
      <c r="CL211" s="2" t="s">
        <v>89</v>
      </c>
    </row>
    <row r="212" spans="1:90">
      <c r="A212" s="2" t="s">
        <v>71</v>
      </c>
      <c r="B212" s="2" t="s">
        <v>72</v>
      </c>
      <c r="C212" s="2" t="s">
        <v>73</v>
      </c>
      <c r="E212" s="2" t="str">
        <f>"FES1162593327"</f>
        <v>FES1162593327</v>
      </c>
      <c r="F212" s="3">
        <v>43073</v>
      </c>
      <c r="G212" s="2">
        <v>201806</v>
      </c>
      <c r="H212" s="2" t="s">
        <v>74</v>
      </c>
      <c r="I212" s="2" t="s">
        <v>75</v>
      </c>
      <c r="J212" s="2" t="s">
        <v>97</v>
      </c>
      <c r="K212" s="2" t="s">
        <v>77</v>
      </c>
      <c r="L212" s="2" t="s">
        <v>262</v>
      </c>
      <c r="M212" s="2" t="s">
        <v>263</v>
      </c>
      <c r="N212" s="2" t="s">
        <v>609</v>
      </c>
      <c r="O212" s="2" t="s">
        <v>101</v>
      </c>
      <c r="P212" s="2" t="str">
        <f>"2170603072                    "</f>
        <v xml:space="preserve">2170603072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5.65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0.6</v>
      </c>
      <c r="BJ212" s="2">
        <v>1</v>
      </c>
      <c r="BK212" s="2">
        <v>1</v>
      </c>
      <c r="BL212" s="2">
        <v>45.15</v>
      </c>
      <c r="BM212" s="2">
        <v>6.32</v>
      </c>
      <c r="BN212" s="2">
        <v>51.47</v>
      </c>
      <c r="BO212" s="2">
        <v>51.47</v>
      </c>
      <c r="BQ212" s="2" t="s">
        <v>82</v>
      </c>
      <c r="BR212" s="2" t="s">
        <v>103</v>
      </c>
      <c r="BS212" s="3">
        <v>43074</v>
      </c>
      <c r="BT212" s="4">
        <v>0.31319444444444444</v>
      </c>
      <c r="BU212" s="2" t="s">
        <v>610</v>
      </c>
      <c r="BV212" s="2" t="s">
        <v>85</v>
      </c>
      <c r="BY212" s="2">
        <v>5167.8</v>
      </c>
      <c r="BZ212" s="2" t="s">
        <v>27</v>
      </c>
      <c r="CA212" s="2" t="s">
        <v>611</v>
      </c>
      <c r="CC212" s="2" t="s">
        <v>263</v>
      </c>
      <c r="CD212" s="2">
        <v>6229</v>
      </c>
      <c r="CE212" s="2" t="s">
        <v>87</v>
      </c>
      <c r="CF212" s="3">
        <v>43075</v>
      </c>
      <c r="CI212" s="2">
        <v>1</v>
      </c>
      <c r="CJ212" s="2">
        <v>1</v>
      </c>
      <c r="CK212" s="2">
        <v>21</v>
      </c>
      <c r="CL212" s="2" t="s">
        <v>89</v>
      </c>
    </row>
    <row r="213" spans="1:90">
      <c r="A213" s="2" t="s">
        <v>612</v>
      </c>
      <c r="B213" s="2" t="s">
        <v>72</v>
      </c>
      <c r="C213" s="2" t="s">
        <v>73</v>
      </c>
      <c r="E213" s="2" t="str">
        <f>"009937070730"</f>
        <v>009937070730</v>
      </c>
      <c r="F213" s="3">
        <v>43070</v>
      </c>
      <c r="G213" s="2">
        <v>201806</v>
      </c>
      <c r="H213" s="2" t="s">
        <v>145</v>
      </c>
      <c r="I213" s="2" t="s">
        <v>146</v>
      </c>
      <c r="J213" s="2" t="s">
        <v>613</v>
      </c>
      <c r="K213" s="2" t="s">
        <v>77</v>
      </c>
      <c r="L213" s="2" t="s">
        <v>74</v>
      </c>
      <c r="M213" s="2" t="s">
        <v>75</v>
      </c>
      <c r="N213" s="2" t="s">
        <v>76</v>
      </c>
      <c r="O213" s="2" t="s">
        <v>101</v>
      </c>
      <c r="P213" s="2" t="str">
        <f>"                              "</f>
        <v xml:space="preserve">          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5.65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</v>
      </c>
      <c r="BJ213" s="2">
        <v>0.2</v>
      </c>
      <c r="BK213" s="2">
        <v>1</v>
      </c>
      <c r="BL213" s="2">
        <v>45.15</v>
      </c>
      <c r="BM213" s="2">
        <v>6.32</v>
      </c>
      <c r="BN213" s="2">
        <v>51.47</v>
      </c>
      <c r="BO213" s="2">
        <v>51.47</v>
      </c>
      <c r="BR213" s="2" t="s">
        <v>614</v>
      </c>
      <c r="BS213" s="3">
        <v>43073</v>
      </c>
      <c r="BT213" s="4">
        <v>0.36944444444444446</v>
      </c>
      <c r="BU213" s="2" t="s">
        <v>375</v>
      </c>
      <c r="BV213" s="2" t="s">
        <v>85</v>
      </c>
      <c r="BY213" s="2">
        <v>1200</v>
      </c>
      <c r="BZ213" s="2" t="s">
        <v>27</v>
      </c>
      <c r="CA213" s="2" t="s">
        <v>366</v>
      </c>
      <c r="CC213" s="2" t="s">
        <v>75</v>
      </c>
      <c r="CD213" s="2">
        <v>1600</v>
      </c>
      <c r="CE213" s="2" t="s">
        <v>95</v>
      </c>
      <c r="CF213" s="3">
        <v>43074</v>
      </c>
      <c r="CI213" s="2">
        <v>1</v>
      </c>
      <c r="CJ213" s="2">
        <v>1</v>
      </c>
      <c r="CK213" s="2">
        <v>21</v>
      </c>
      <c r="CL213" s="2" t="s">
        <v>89</v>
      </c>
    </row>
    <row r="214" spans="1:90">
      <c r="A214" s="2" t="s">
        <v>71</v>
      </c>
      <c r="B214" s="2" t="s">
        <v>72</v>
      </c>
      <c r="C214" s="2" t="s">
        <v>73</v>
      </c>
      <c r="E214" s="2" t="str">
        <f>"FES1162593073"</f>
        <v>FES1162593073</v>
      </c>
      <c r="F214" s="3">
        <v>43070</v>
      </c>
      <c r="G214" s="2">
        <v>201806</v>
      </c>
      <c r="H214" s="2" t="s">
        <v>74</v>
      </c>
      <c r="I214" s="2" t="s">
        <v>75</v>
      </c>
      <c r="J214" s="2" t="s">
        <v>97</v>
      </c>
      <c r="K214" s="2" t="s">
        <v>77</v>
      </c>
      <c r="L214" s="2" t="s">
        <v>158</v>
      </c>
      <c r="M214" s="2" t="s">
        <v>159</v>
      </c>
      <c r="N214" s="2" t="s">
        <v>615</v>
      </c>
      <c r="O214" s="2" t="s">
        <v>101</v>
      </c>
      <c r="P214" s="2" t="str">
        <f>"21706051773                   "</f>
        <v xml:space="preserve">21706051773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5.65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1</v>
      </c>
      <c r="BJ214" s="2">
        <v>0.2</v>
      </c>
      <c r="BK214" s="2">
        <v>1</v>
      </c>
      <c r="BL214" s="2">
        <v>45.15</v>
      </c>
      <c r="BM214" s="2">
        <v>6.32</v>
      </c>
      <c r="BN214" s="2">
        <v>51.47</v>
      </c>
      <c r="BO214" s="2">
        <v>51.47</v>
      </c>
      <c r="BQ214" s="2" t="s">
        <v>102</v>
      </c>
      <c r="BR214" s="2" t="s">
        <v>103</v>
      </c>
      <c r="BS214" s="3">
        <v>43073</v>
      </c>
      <c r="BT214" s="4">
        <v>0.41666666666666669</v>
      </c>
      <c r="BU214" s="2" t="s">
        <v>616</v>
      </c>
      <c r="BV214" s="2" t="s">
        <v>85</v>
      </c>
      <c r="BY214" s="2">
        <v>1200</v>
      </c>
      <c r="BZ214" s="2" t="s">
        <v>27</v>
      </c>
      <c r="CC214" s="2" t="s">
        <v>159</v>
      </c>
      <c r="CD214" s="2">
        <v>200</v>
      </c>
      <c r="CE214" s="2" t="s">
        <v>120</v>
      </c>
      <c r="CF214" s="3">
        <v>43075</v>
      </c>
      <c r="CI214" s="2">
        <v>1</v>
      </c>
      <c r="CJ214" s="2">
        <v>1</v>
      </c>
      <c r="CK214" s="2">
        <v>21</v>
      </c>
      <c r="CL214" s="2" t="s">
        <v>89</v>
      </c>
    </row>
    <row r="215" spans="1:90">
      <c r="A215" s="2" t="s">
        <v>71</v>
      </c>
      <c r="B215" s="2" t="s">
        <v>72</v>
      </c>
      <c r="C215" s="2" t="s">
        <v>73</v>
      </c>
      <c r="E215" s="2" t="str">
        <f>"FES1162593376"</f>
        <v>FES1162593376</v>
      </c>
      <c r="F215" s="3">
        <v>43073</v>
      </c>
      <c r="G215" s="2">
        <v>201806</v>
      </c>
      <c r="H215" s="2" t="s">
        <v>74</v>
      </c>
      <c r="I215" s="2" t="s">
        <v>75</v>
      </c>
      <c r="J215" s="2" t="s">
        <v>97</v>
      </c>
      <c r="K215" s="2" t="s">
        <v>77</v>
      </c>
      <c r="L215" s="2" t="s">
        <v>74</v>
      </c>
      <c r="M215" s="2" t="s">
        <v>75</v>
      </c>
      <c r="N215" s="2" t="s">
        <v>617</v>
      </c>
      <c r="O215" s="2" t="s">
        <v>101</v>
      </c>
      <c r="P215" s="2" t="str">
        <f>"2170602843                    "</f>
        <v xml:space="preserve">2170602843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4.41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35.270000000000003</v>
      </c>
      <c r="BM215" s="2">
        <v>4.9400000000000004</v>
      </c>
      <c r="BN215" s="2">
        <v>40.21</v>
      </c>
      <c r="BO215" s="2">
        <v>40.21</v>
      </c>
      <c r="BR215" s="2" t="s">
        <v>103</v>
      </c>
      <c r="BS215" s="3">
        <v>43075</v>
      </c>
      <c r="BT215" s="4">
        <v>0.34375</v>
      </c>
      <c r="BU215" s="2" t="s">
        <v>618</v>
      </c>
      <c r="BV215" s="2" t="s">
        <v>89</v>
      </c>
      <c r="BW215" s="2" t="s">
        <v>149</v>
      </c>
      <c r="BX215" s="2" t="s">
        <v>456</v>
      </c>
      <c r="BY215" s="2">
        <v>1200</v>
      </c>
      <c r="BZ215" s="2" t="s">
        <v>27</v>
      </c>
      <c r="CA215" s="2" t="s">
        <v>619</v>
      </c>
      <c r="CC215" s="2" t="s">
        <v>75</v>
      </c>
      <c r="CD215" s="2">
        <v>1609</v>
      </c>
      <c r="CE215" s="2" t="s">
        <v>120</v>
      </c>
      <c r="CF215" s="3">
        <v>43077</v>
      </c>
      <c r="CI215" s="2">
        <v>1</v>
      </c>
      <c r="CJ215" s="2">
        <v>2</v>
      </c>
      <c r="CK215" s="2">
        <v>22</v>
      </c>
      <c r="CL215" s="2" t="s">
        <v>89</v>
      </c>
    </row>
    <row r="216" spans="1:90">
      <c r="A216" s="2" t="s">
        <v>71</v>
      </c>
      <c r="B216" s="2" t="s">
        <v>72</v>
      </c>
      <c r="C216" s="2" t="s">
        <v>73</v>
      </c>
      <c r="E216" s="2" t="str">
        <f>"FES1162593339"</f>
        <v>FES1162593339</v>
      </c>
      <c r="F216" s="3">
        <v>43073</v>
      </c>
      <c r="G216" s="2">
        <v>201806</v>
      </c>
      <c r="H216" s="2" t="s">
        <v>74</v>
      </c>
      <c r="I216" s="2" t="s">
        <v>75</v>
      </c>
      <c r="J216" s="2" t="s">
        <v>97</v>
      </c>
      <c r="K216" s="2" t="s">
        <v>77</v>
      </c>
      <c r="L216" s="2" t="s">
        <v>221</v>
      </c>
      <c r="M216" s="2" t="s">
        <v>222</v>
      </c>
      <c r="N216" s="2" t="s">
        <v>620</v>
      </c>
      <c r="O216" s="2" t="s">
        <v>101</v>
      </c>
      <c r="P216" s="2" t="str">
        <f>"2170598942                    "</f>
        <v xml:space="preserve">2170598942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14.12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5</v>
      </c>
      <c r="BJ216" s="2">
        <v>3.4</v>
      </c>
      <c r="BK216" s="2">
        <v>5</v>
      </c>
      <c r="BL216" s="2">
        <v>112.84</v>
      </c>
      <c r="BM216" s="2">
        <v>15.8</v>
      </c>
      <c r="BN216" s="2">
        <v>128.63999999999999</v>
      </c>
      <c r="BO216" s="2">
        <v>128.63999999999999</v>
      </c>
      <c r="BQ216" s="2" t="s">
        <v>102</v>
      </c>
      <c r="BR216" s="2" t="s">
        <v>103</v>
      </c>
      <c r="BS216" s="3">
        <v>43074</v>
      </c>
      <c r="BT216" s="4">
        <v>0.47361111111111115</v>
      </c>
      <c r="BU216" s="2" t="s">
        <v>621</v>
      </c>
      <c r="BV216" s="2" t="s">
        <v>89</v>
      </c>
      <c r="BY216" s="2">
        <v>17136.080000000002</v>
      </c>
      <c r="BZ216" s="2" t="s">
        <v>27</v>
      </c>
      <c r="CA216" s="2" t="s">
        <v>225</v>
      </c>
      <c r="CC216" s="2" t="s">
        <v>222</v>
      </c>
      <c r="CD216" s="2">
        <v>4133</v>
      </c>
      <c r="CE216" s="2" t="s">
        <v>288</v>
      </c>
      <c r="CF216" s="3">
        <v>43075</v>
      </c>
      <c r="CI216" s="2">
        <v>1</v>
      </c>
      <c r="CJ216" s="2">
        <v>1</v>
      </c>
      <c r="CK216" s="2">
        <v>21</v>
      </c>
      <c r="CL216" s="2" t="s">
        <v>89</v>
      </c>
    </row>
    <row r="217" spans="1:90">
      <c r="A217" s="2" t="s">
        <v>71</v>
      </c>
      <c r="B217" s="2" t="s">
        <v>72</v>
      </c>
      <c r="C217" s="2" t="s">
        <v>73</v>
      </c>
      <c r="E217" s="2" t="str">
        <f>"FES1162593370"</f>
        <v>FES1162593370</v>
      </c>
      <c r="F217" s="3">
        <v>43073</v>
      </c>
      <c r="G217" s="2">
        <v>201806</v>
      </c>
      <c r="H217" s="2" t="s">
        <v>74</v>
      </c>
      <c r="I217" s="2" t="s">
        <v>75</v>
      </c>
      <c r="J217" s="2" t="s">
        <v>97</v>
      </c>
      <c r="K217" s="2" t="s">
        <v>77</v>
      </c>
      <c r="L217" s="2" t="s">
        <v>74</v>
      </c>
      <c r="M217" s="2" t="s">
        <v>75</v>
      </c>
      <c r="N217" s="2" t="s">
        <v>204</v>
      </c>
      <c r="O217" s="2" t="s">
        <v>101</v>
      </c>
      <c r="P217" s="2" t="str">
        <f>"2170602693                    "</f>
        <v xml:space="preserve">2170602693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4.41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35.270000000000003</v>
      </c>
      <c r="BM217" s="2">
        <v>4.9400000000000004</v>
      </c>
      <c r="BN217" s="2">
        <v>40.21</v>
      </c>
      <c r="BO217" s="2">
        <v>40.21</v>
      </c>
      <c r="BQ217" s="2" t="s">
        <v>102</v>
      </c>
      <c r="BR217" s="2" t="s">
        <v>103</v>
      </c>
      <c r="BS217" s="3">
        <v>43074</v>
      </c>
      <c r="BT217" s="4">
        <v>0.32291666666666669</v>
      </c>
      <c r="BU217" s="2" t="s">
        <v>622</v>
      </c>
      <c r="BV217" s="2" t="s">
        <v>85</v>
      </c>
      <c r="BY217" s="2">
        <v>1200</v>
      </c>
      <c r="BZ217" s="2" t="s">
        <v>27</v>
      </c>
      <c r="CA217" s="2" t="s">
        <v>206</v>
      </c>
      <c r="CC217" s="2" t="s">
        <v>75</v>
      </c>
      <c r="CD217" s="2">
        <v>1645</v>
      </c>
      <c r="CE217" s="2" t="s">
        <v>120</v>
      </c>
      <c r="CF217" s="3">
        <v>43077</v>
      </c>
      <c r="CI217" s="2">
        <v>1</v>
      </c>
      <c r="CJ217" s="2">
        <v>1</v>
      </c>
      <c r="CK217" s="2">
        <v>22</v>
      </c>
      <c r="CL217" s="2" t="s">
        <v>89</v>
      </c>
    </row>
    <row r="218" spans="1:90">
      <c r="A218" s="2" t="s">
        <v>71</v>
      </c>
      <c r="B218" s="2" t="s">
        <v>72</v>
      </c>
      <c r="C218" s="2" t="s">
        <v>73</v>
      </c>
      <c r="E218" s="2" t="str">
        <f>"FES1162592916"</f>
        <v>FES1162592916</v>
      </c>
      <c r="F218" s="3">
        <v>43073</v>
      </c>
      <c r="G218" s="2">
        <v>201806</v>
      </c>
      <c r="H218" s="2" t="s">
        <v>74</v>
      </c>
      <c r="I218" s="2" t="s">
        <v>75</v>
      </c>
      <c r="J218" s="2" t="s">
        <v>97</v>
      </c>
      <c r="K218" s="2" t="s">
        <v>77</v>
      </c>
      <c r="L218" s="2" t="s">
        <v>136</v>
      </c>
      <c r="M218" s="2" t="s">
        <v>137</v>
      </c>
      <c r="N218" s="2" t="s">
        <v>147</v>
      </c>
      <c r="O218" s="2" t="s">
        <v>101</v>
      </c>
      <c r="P218" s="2" t="str">
        <f>"2170605299                    "</f>
        <v xml:space="preserve">2170605299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5.65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45.15</v>
      </c>
      <c r="BM218" s="2">
        <v>6.32</v>
      </c>
      <c r="BN218" s="2">
        <v>51.47</v>
      </c>
      <c r="BO218" s="2">
        <v>51.47</v>
      </c>
      <c r="BQ218" s="2" t="s">
        <v>82</v>
      </c>
      <c r="BR218" s="2" t="s">
        <v>103</v>
      </c>
      <c r="BS218" s="3">
        <v>43074</v>
      </c>
      <c r="BT218" s="4">
        <v>0.33333333333333331</v>
      </c>
      <c r="BU218" s="2" t="s">
        <v>623</v>
      </c>
      <c r="BV218" s="2" t="s">
        <v>85</v>
      </c>
      <c r="BY218" s="2">
        <v>1200</v>
      </c>
      <c r="BZ218" s="2" t="s">
        <v>27</v>
      </c>
      <c r="CA218" s="2" t="s">
        <v>180</v>
      </c>
      <c r="CC218" s="2" t="s">
        <v>137</v>
      </c>
      <c r="CD218" s="2">
        <v>6014</v>
      </c>
      <c r="CE218" s="2" t="s">
        <v>120</v>
      </c>
      <c r="CF218" s="3">
        <v>43075</v>
      </c>
      <c r="CI218" s="2">
        <v>1</v>
      </c>
      <c r="CJ218" s="2">
        <v>1</v>
      </c>
      <c r="CK218" s="2">
        <v>21</v>
      </c>
      <c r="CL218" s="2" t="s">
        <v>89</v>
      </c>
    </row>
    <row r="219" spans="1:90">
      <c r="A219" s="2" t="s">
        <v>71</v>
      </c>
      <c r="B219" s="2" t="s">
        <v>72</v>
      </c>
      <c r="C219" s="2" t="s">
        <v>73</v>
      </c>
      <c r="E219" s="2" t="str">
        <f>"FES1162593233"</f>
        <v>FES1162593233</v>
      </c>
      <c r="F219" s="3">
        <v>43070</v>
      </c>
      <c r="G219" s="2">
        <v>201806</v>
      </c>
      <c r="H219" s="2" t="s">
        <v>74</v>
      </c>
      <c r="I219" s="2" t="s">
        <v>75</v>
      </c>
      <c r="J219" s="2" t="s">
        <v>97</v>
      </c>
      <c r="K219" s="2" t="s">
        <v>77</v>
      </c>
      <c r="L219" s="2" t="s">
        <v>125</v>
      </c>
      <c r="M219" s="2" t="s">
        <v>126</v>
      </c>
      <c r="N219" s="2" t="s">
        <v>624</v>
      </c>
      <c r="O219" s="2" t="s">
        <v>101</v>
      </c>
      <c r="P219" s="2" t="str">
        <f>"2170605142                    "</f>
        <v xml:space="preserve">2170605142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8.4700000000000006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3</v>
      </c>
      <c r="BJ219" s="2">
        <v>2.7</v>
      </c>
      <c r="BK219" s="2">
        <v>3</v>
      </c>
      <c r="BL219" s="2">
        <v>67.709999999999994</v>
      </c>
      <c r="BM219" s="2">
        <v>9.48</v>
      </c>
      <c r="BN219" s="2">
        <v>77.19</v>
      </c>
      <c r="BO219" s="2">
        <v>77.19</v>
      </c>
      <c r="BQ219" s="2" t="s">
        <v>82</v>
      </c>
      <c r="BR219" s="2" t="s">
        <v>103</v>
      </c>
      <c r="BS219" s="3">
        <v>43073</v>
      </c>
      <c r="BT219" s="4">
        <v>0.34513888888888888</v>
      </c>
      <c r="BU219" s="2" t="s">
        <v>625</v>
      </c>
      <c r="BV219" s="2" t="s">
        <v>85</v>
      </c>
      <c r="BY219" s="2">
        <v>13454</v>
      </c>
      <c r="BZ219" s="2" t="s">
        <v>27</v>
      </c>
      <c r="CA219" s="2" t="s">
        <v>626</v>
      </c>
      <c r="CC219" s="2" t="s">
        <v>126</v>
      </c>
      <c r="CD219" s="2">
        <v>4051</v>
      </c>
      <c r="CE219" s="2" t="s">
        <v>95</v>
      </c>
      <c r="CF219" s="3">
        <v>43074</v>
      </c>
      <c r="CI219" s="2">
        <v>1</v>
      </c>
      <c r="CJ219" s="2">
        <v>1</v>
      </c>
      <c r="CK219" s="2">
        <v>21</v>
      </c>
      <c r="CL219" s="2" t="s">
        <v>89</v>
      </c>
    </row>
    <row r="220" spans="1:90">
      <c r="A220" s="2" t="s">
        <v>71</v>
      </c>
      <c r="B220" s="2" t="s">
        <v>72</v>
      </c>
      <c r="C220" s="2" t="s">
        <v>73</v>
      </c>
      <c r="E220" s="2" t="str">
        <f>"FES1162593715"</f>
        <v>FES1162593715</v>
      </c>
      <c r="F220" s="3">
        <v>43073</v>
      </c>
      <c r="G220" s="2">
        <v>201806</v>
      </c>
      <c r="H220" s="2" t="s">
        <v>74</v>
      </c>
      <c r="I220" s="2" t="s">
        <v>75</v>
      </c>
      <c r="J220" s="2" t="s">
        <v>97</v>
      </c>
      <c r="K220" s="2" t="s">
        <v>77</v>
      </c>
      <c r="L220" s="2" t="s">
        <v>145</v>
      </c>
      <c r="M220" s="2" t="s">
        <v>146</v>
      </c>
      <c r="N220" s="2" t="s">
        <v>627</v>
      </c>
      <c r="O220" s="2" t="s">
        <v>101</v>
      </c>
      <c r="P220" s="2" t="str">
        <f>"2170605788                    "</f>
        <v xml:space="preserve">2170605788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5.65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</v>
      </c>
      <c r="BJ220" s="2">
        <v>0.2</v>
      </c>
      <c r="BK220" s="2">
        <v>1</v>
      </c>
      <c r="BL220" s="2">
        <v>45.15</v>
      </c>
      <c r="BM220" s="2">
        <v>6.32</v>
      </c>
      <c r="BN220" s="2">
        <v>51.47</v>
      </c>
      <c r="BO220" s="2">
        <v>51.47</v>
      </c>
      <c r="BQ220" s="2" t="s">
        <v>82</v>
      </c>
      <c r="BR220" s="2" t="s">
        <v>103</v>
      </c>
      <c r="BS220" s="3">
        <v>43074</v>
      </c>
      <c r="BT220" s="4">
        <v>0.41250000000000003</v>
      </c>
      <c r="BU220" s="2" t="s">
        <v>628</v>
      </c>
      <c r="BV220" s="2" t="s">
        <v>85</v>
      </c>
      <c r="BY220" s="2">
        <v>1200</v>
      </c>
      <c r="BZ220" s="2" t="s">
        <v>27</v>
      </c>
      <c r="CA220" s="2" t="s">
        <v>629</v>
      </c>
      <c r="CC220" s="2" t="s">
        <v>146</v>
      </c>
      <c r="CD220" s="2">
        <v>5201</v>
      </c>
      <c r="CE220" s="2" t="s">
        <v>120</v>
      </c>
      <c r="CF220" s="3">
        <v>43076</v>
      </c>
      <c r="CI220" s="2">
        <v>1</v>
      </c>
      <c r="CJ220" s="2">
        <v>1</v>
      </c>
      <c r="CK220" s="2">
        <v>21</v>
      </c>
      <c r="CL220" s="2" t="s">
        <v>89</v>
      </c>
    </row>
    <row r="221" spans="1:90">
      <c r="A221" s="2" t="s">
        <v>71</v>
      </c>
      <c r="B221" s="2" t="s">
        <v>72</v>
      </c>
      <c r="C221" s="2" t="s">
        <v>73</v>
      </c>
      <c r="E221" s="2" t="str">
        <f>"FES1162593261"</f>
        <v>FES1162593261</v>
      </c>
      <c r="F221" s="3">
        <v>43070</v>
      </c>
      <c r="G221" s="2">
        <v>201806</v>
      </c>
      <c r="H221" s="2" t="s">
        <v>74</v>
      </c>
      <c r="I221" s="2" t="s">
        <v>75</v>
      </c>
      <c r="J221" s="2" t="s">
        <v>97</v>
      </c>
      <c r="K221" s="2" t="s">
        <v>77</v>
      </c>
      <c r="L221" s="2" t="s">
        <v>106</v>
      </c>
      <c r="M221" s="2" t="s">
        <v>107</v>
      </c>
      <c r="N221" s="2" t="s">
        <v>630</v>
      </c>
      <c r="O221" s="2" t="s">
        <v>101</v>
      </c>
      <c r="P221" s="2" t="str">
        <f>"217605197                     "</f>
        <v xml:space="preserve">217605197 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4.41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35.270000000000003</v>
      </c>
      <c r="BM221" s="2">
        <v>4.9400000000000004</v>
      </c>
      <c r="BN221" s="2">
        <v>40.21</v>
      </c>
      <c r="BO221" s="2">
        <v>40.21</v>
      </c>
      <c r="BQ221" s="2" t="s">
        <v>631</v>
      </c>
      <c r="BR221" s="2" t="s">
        <v>103</v>
      </c>
      <c r="BS221" s="3">
        <v>43073</v>
      </c>
      <c r="BT221" s="4">
        <v>0.3527777777777778</v>
      </c>
      <c r="BU221" s="2" t="s">
        <v>632</v>
      </c>
      <c r="BV221" s="2" t="s">
        <v>85</v>
      </c>
      <c r="BY221" s="2">
        <v>1200</v>
      </c>
      <c r="CA221" s="2" t="s">
        <v>453</v>
      </c>
      <c r="CC221" s="2" t="s">
        <v>107</v>
      </c>
      <c r="CD221" s="2">
        <v>2093</v>
      </c>
      <c r="CE221" s="2" t="s">
        <v>120</v>
      </c>
      <c r="CF221" s="3">
        <v>43075</v>
      </c>
      <c r="CI221" s="2">
        <v>1</v>
      </c>
      <c r="CJ221" s="2">
        <v>1</v>
      </c>
      <c r="CK221" s="2">
        <v>22</v>
      </c>
      <c r="CL221" s="2" t="s">
        <v>89</v>
      </c>
    </row>
    <row r="222" spans="1:90">
      <c r="A222" s="2" t="s">
        <v>71</v>
      </c>
      <c r="B222" s="2" t="s">
        <v>72</v>
      </c>
      <c r="C222" s="2" t="s">
        <v>73</v>
      </c>
      <c r="E222" s="2" t="str">
        <f>"FES1162593552"</f>
        <v>FES1162593552</v>
      </c>
      <c r="F222" s="3">
        <v>43073</v>
      </c>
      <c r="G222" s="2">
        <v>201806</v>
      </c>
      <c r="H222" s="2" t="s">
        <v>74</v>
      </c>
      <c r="I222" s="2" t="s">
        <v>75</v>
      </c>
      <c r="J222" s="2" t="s">
        <v>97</v>
      </c>
      <c r="K222" s="2" t="s">
        <v>77</v>
      </c>
      <c r="L222" s="2" t="s">
        <v>162</v>
      </c>
      <c r="M222" s="2" t="s">
        <v>163</v>
      </c>
      <c r="N222" s="2" t="s">
        <v>164</v>
      </c>
      <c r="O222" s="2" t="s">
        <v>101</v>
      </c>
      <c r="P222" s="2" t="str">
        <f>"2170605658                    "</f>
        <v xml:space="preserve">2170605658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4.41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35.270000000000003</v>
      </c>
      <c r="BM222" s="2">
        <v>4.9400000000000004</v>
      </c>
      <c r="BN222" s="2">
        <v>40.21</v>
      </c>
      <c r="BO222" s="2">
        <v>40.21</v>
      </c>
      <c r="BQ222" s="2" t="s">
        <v>102</v>
      </c>
      <c r="BR222" s="2" t="s">
        <v>103</v>
      </c>
      <c r="BS222" s="3">
        <v>43074</v>
      </c>
      <c r="BT222" s="4">
        <v>0.41666666666666669</v>
      </c>
      <c r="BU222" s="2" t="s">
        <v>205</v>
      </c>
      <c r="BV222" s="2" t="s">
        <v>85</v>
      </c>
      <c r="BY222" s="2">
        <v>1200</v>
      </c>
      <c r="BZ222" s="2" t="s">
        <v>27</v>
      </c>
      <c r="CC222" s="2" t="s">
        <v>163</v>
      </c>
      <c r="CD222" s="2">
        <v>1451</v>
      </c>
      <c r="CE222" s="2" t="s">
        <v>120</v>
      </c>
      <c r="CF222" s="3">
        <v>43075</v>
      </c>
      <c r="CI222" s="2">
        <v>1</v>
      </c>
      <c r="CJ222" s="2">
        <v>1</v>
      </c>
      <c r="CK222" s="2">
        <v>22</v>
      </c>
      <c r="CL222" s="2" t="s">
        <v>89</v>
      </c>
    </row>
    <row r="223" spans="1:90">
      <c r="A223" s="2" t="s">
        <v>71</v>
      </c>
      <c r="B223" s="2" t="s">
        <v>72</v>
      </c>
      <c r="C223" s="2" t="s">
        <v>73</v>
      </c>
      <c r="E223" s="2" t="str">
        <f>"FES1162593292"</f>
        <v>FES1162593292</v>
      </c>
      <c r="F223" s="3">
        <v>43070</v>
      </c>
      <c r="G223" s="2">
        <v>201806</v>
      </c>
      <c r="H223" s="2" t="s">
        <v>74</v>
      </c>
      <c r="I223" s="2" t="s">
        <v>75</v>
      </c>
      <c r="J223" s="2" t="s">
        <v>97</v>
      </c>
      <c r="K223" s="2" t="s">
        <v>77</v>
      </c>
      <c r="L223" s="2" t="s">
        <v>115</v>
      </c>
      <c r="M223" s="2" t="s">
        <v>116</v>
      </c>
      <c r="N223" s="2" t="s">
        <v>633</v>
      </c>
      <c r="O223" s="2" t="s">
        <v>101</v>
      </c>
      <c r="P223" s="2" t="str">
        <f>"217065498                     "</f>
        <v xml:space="preserve">217065498 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4.41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35.270000000000003</v>
      </c>
      <c r="BM223" s="2">
        <v>4.9400000000000004</v>
      </c>
      <c r="BN223" s="2">
        <v>40.21</v>
      </c>
      <c r="BO223" s="2">
        <v>40.21</v>
      </c>
      <c r="BQ223" s="2" t="s">
        <v>634</v>
      </c>
      <c r="BR223" s="2" t="s">
        <v>103</v>
      </c>
      <c r="BS223" s="3">
        <v>43073</v>
      </c>
      <c r="BT223" s="4">
        <v>0.37013888888888885</v>
      </c>
      <c r="BU223" s="2" t="s">
        <v>635</v>
      </c>
      <c r="BV223" s="2" t="s">
        <v>85</v>
      </c>
      <c r="BY223" s="2">
        <v>1200</v>
      </c>
      <c r="CA223" s="2" t="s">
        <v>386</v>
      </c>
      <c r="CC223" s="2" t="s">
        <v>116</v>
      </c>
      <c r="CD223" s="2">
        <v>1459</v>
      </c>
      <c r="CE223" s="2" t="s">
        <v>120</v>
      </c>
      <c r="CF223" s="3">
        <v>43075</v>
      </c>
      <c r="CI223" s="2">
        <v>1</v>
      </c>
      <c r="CJ223" s="2">
        <v>1</v>
      </c>
      <c r="CK223" s="2">
        <v>22</v>
      </c>
      <c r="CL223" s="2" t="s">
        <v>89</v>
      </c>
    </row>
    <row r="224" spans="1:90">
      <c r="A224" s="2" t="s">
        <v>71</v>
      </c>
      <c r="B224" s="2" t="s">
        <v>72</v>
      </c>
      <c r="C224" s="2" t="s">
        <v>73</v>
      </c>
      <c r="E224" s="2" t="str">
        <f>"FES1162593476"</f>
        <v>FES1162593476</v>
      </c>
      <c r="F224" s="3">
        <v>43073</v>
      </c>
      <c r="G224" s="2">
        <v>201806</v>
      </c>
      <c r="H224" s="2" t="s">
        <v>74</v>
      </c>
      <c r="I224" s="2" t="s">
        <v>75</v>
      </c>
      <c r="J224" s="2" t="s">
        <v>97</v>
      </c>
      <c r="K224" s="2" t="s">
        <v>77</v>
      </c>
      <c r="L224" s="2" t="s">
        <v>115</v>
      </c>
      <c r="M224" s="2" t="s">
        <v>116</v>
      </c>
      <c r="N224" s="2" t="s">
        <v>117</v>
      </c>
      <c r="O224" s="2" t="s">
        <v>101</v>
      </c>
      <c r="P224" s="2" t="str">
        <f>"2170604973                    "</f>
        <v xml:space="preserve">2170604973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4.41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</v>
      </c>
      <c r="BJ224" s="2">
        <v>0.2</v>
      </c>
      <c r="BK224" s="2">
        <v>1</v>
      </c>
      <c r="BL224" s="2">
        <v>35.270000000000003</v>
      </c>
      <c r="BM224" s="2">
        <v>4.9400000000000004</v>
      </c>
      <c r="BN224" s="2">
        <v>40.21</v>
      </c>
      <c r="BO224" s="2">
        <v>40.21</v>
      </c>
      <c r="BQ224" s="2" t="s">
        <v>102</v>
      </c>
      <c r="BR224" s="2" t="s">
        <v>103</v>
      </c>
      <c r="BS224" s="3">
        <v>43074</v>
      </c>
      <c r="BT224" s="4">
        <v>0.4513888888888889</v>
      </c>
      <c r="BU224" s="2" t="s">
        <v>118</v>
      </c>
      <c r="BV224" s="2" t="s">
        <v>85</v>
      </c>
      <c r="BY224" s="2">
        <v>1200</v>
      </c>
      <c r="BZ224" s="2" t="s">
        <v>27</v>
      </c>
      <c r="CA224" s="2" t="s">
        <v>119</v>
      </c>
      <c r="CC224" s="2" t="s">
        <v>116</v>
      </c>
      <c r="CD224" s="2">
        <v>1459</v>
      </c>
      <c r="CE224" s="2" t="s">
        <v>120</v>
      </c>
      <c r="CF224" s="3">
        <v>43077</v>
      </c>
      <c r="CI224" s="2">
        <v>1</v>
      </c>
      <c r="CJ224" s="2">
        <v>1</v>
      </c>
      <c r="CK224" s="2">
        <v>22</v>
      </c>
      <c r="CL224" s="2" t="s">
        <v>89</v>
      </c>
    </row>
    <row r="225" spans="1:90">
      <c r="A225" s="2" t="s">
        <v>71</v>
      </c>
      <c r="B225" s="2" t="s">
        <v>72</v>
      </c>
      <c r="C225" s="2" t="s">
        <v>73</v>
      </c>
      <c r="E225" s="2" t="str">
        <f>"FES1162593133"</f>
        <v>FES1162593133</v>
      </c>
      <c r="F225" s="3">
        <v>43070</v>
      </c>
      <c r="G225" s="2">
        <v>201806</v>
      </c>
      <c r="H225" s="2" t="s">
        <v>74</v>
      </c>
      <c r="I225" s="2" t="s">
        <v>75</v>
      </c>
      <c r="J225" s="2" t="s">
        <v>97</v>
      </c>
      <c r="K225" s="2" t="s">
        <v>77</v>
      </c>
      <c r="L225" s="2" t="s">
        <v>158</v>
      </c>
      <c r="M225" s="2" t="s">
        <v>159</v>
      </c>
      <c r="N225" s="2" t="s">
        <v>588</v>
      </c>
      <c r="O225" s="2" t="s">
        <v>101</v>
      </c>
      <c r="P225" s="2" t="str">
        <f>"2170603607                    "</f>
        <v xml:space="preserve">2170603607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5.65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45.15</v>
      </c>
      <c r="BM225" s="2">
        <v>6.32</v>
      </c>
      <c r="BN225" s="2">
        <v>51.47</v>
      </c>
      <c r="BO225" s="2">
        <v>51.47</v>
      </c>
      <c r="BQ225" s="2" t="s">
        <v>102</v>
      </c>
      <c r="BR225" s="2" t="s">
        <v>103</v>
      </c>
      <c r="BS225" s="3">
        <v>43073</v>
      </c>
      <c r="BT225" s="4">
        <v>0.52777777777777779</v>
      </c>
      <c r="BU225" s="2" t="s">
        <v>636</v>
      </c>
      <c r="BV225" s="2" t="s">
        <v>85</v>
      </c>
      <c r="BY225" s="2">
        <v>1200</v>
      </c>
      <c r="BZ225" s="2" t="s">
        <v>27</v>
      </c>
      <c r="CA225" s="2" t="s">
        <v>590</v>
      </c>
      <c r="CC225" s="2" t="s">
        <v>159</v>
      </c>
      <c r="CD225" s="2">
        <v>40</v>
      </c>
      <c r="CE225" s="2" t="s">
        <v>120</v>
      </c>
      <c r="CF225" s="3">
        <v>43075</v>
      </c>
      <c r="CI225" s="2">
        <v>1</v>
      </c>
      <c r="CJ225" s="2">
        <v>1</v>
      </c>
      <c r="CK225" s="2">
        <v>21</v>
      </c>
      <c r="CL225" s="2" t="s">
        <v>89</v>
      </c>
    </row>
    <row r="226" spans="1:90">
      <c r="A226" s="2" t="s">
        <v>71</v>
      </c>
      <c r="B226" s="2" t="s">
        <v>72</v>
      </c>
      <c r="C226" s="2" t="s">
        <v>73</v>
      </c>
      <c r="E226" s="2" t="str">
        <f>"FES1162593333"</f>
        <v>FES1162593333</v>
      </c>
      <c r="F226" s="3">
        <v>43073</v>
      </c>
      <c r="G226" s="2">
        <v>201806</v>
      </c>
      <c r="H226" s="2" t="s">
        <v>74</v>
      </c>
      <c r="I226" s="2" t="s">
        <v>75</v>
      </c>
      <c r="J226" s="2" t="s">
        <v>97</v>
      </c>
      <c r="K226" s="2" t="s">
        <v>77</v>
      </c>
      <c r="L226" s="2" t="s">
        <v>152</v>
      </c>
      <c r="M226" s="2" t="s">
        <v>153</v>
      </c>
      <c r="N226" s="2" t="s">
        <v>637</v>
      </c>
      <c r="O226" s="2" t="s">
        <v>101</v>
      </c>
      <c r="P226" s="2" t="str">
        <f>"2170597508                    "</f>
        <v xml:space="preserve">2170597508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4.41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5</v>
      </c>
      <c r="BJ226" s="2">
        <v>3.4</v>
      </c>
      <c r="BK226" s="2">
        <v>5</v>
      </c>
      <c r="BL226" s="2">
        <v>35.270000000000003</v>
      </c>
      <c r="BM226" s="2">
        <v>4.9400000000000004</v>
      </c>
      <c r="BN226" s="2">
        <v>40.21</v>
      </c>
      <c r="BO226" s="2">
        <v>40.21</v>
      </c>
      <c r="BQ226" s="2" t="s">
        <v>102</v>
      </c>
      <c r="BR226" s="2" t="s">
        <v>103</v>
      </c>
      <c r="BS226" s="3">
        <v>43076</v>
      </c>
      <c r="BT226" s="4">
        <v>0.41666666666666669</v>
      </c>
      <c r="BU226" s="2" t="s">
        <v>638</v>
      </c>
      <c r="BV226" s="2" t="s">
        <v>89</v>
      </c>
      <c r="BW226" s="2" t="s">
        <v>156</v>
      </c>
      <c r="BX226" s="2" t="s">
        <v>438</v>
      </c>
      <c r="BY226" s="2">
        <v>16779.93</v>
      </c>
      <c r="BZ226" s="2" t="s">
        <v>27</v>
      </c>
      <c r="CC226" s="2" t="s">
        <v>153</v>
      </c>
      <c r="CD226" s="2">
        <v>1406</v>
      </c>
      <c r="CE226" s="2" t="s">
        <v>95</v>
      </c>
      <c r="CF226" s="3">
        <v>43080</v>
      </c>
      <c r="CI226" s="2">
        <v>1</v>
      </c>
      <c r="CJ226" s="2">
        <v>3</v>
      </c>
      <c r="CK226" s="2">
        <v>22</v>
      </c>
      <c r="CL226" s="2" t="s">
        <v>89</v>
      </c>
    </row>
    <row r="227" spans="1:90">
      <c r="A227" s="2" t="s">
        <v>71</v>
      </c>
      <c r="B227" s="2" t="s">
        <v>72</v>
      </c>
      <c r="C227" s="2" t="s">
        <v>73</v>
      </c>
      <c r="E227" s="2" t="str">
        <f>"FES1162593152"</f>
        <v>FES1162593152</v>
      </c>
      <c r="F227" s="3">
        <v>43070</v>
      </c>
      <c r="G227" s="2">
        <v>201806</v>
      </c>
      <c r="H227" s="2" t="s">
        <v>74</v>
      </c>
      <c r="I227" s="2" t="s">
        <v>75</v>
      </c>
      <c r="J227" s="2" t="s">
        <v>97</v>
      </c>
      <c r="K227" s="2" t="s">
        <v>77</v>
      </c>
      <c r="L227" s="2" t="s">
        <v>277</v>
      </c>
      <c r="M227" s="2" t="s">
        <v>278</v>
      </c>
      <c r="N227" s="2" t="s">
        <v>639</v>
      </c>
      <c r="O227" s="2" t="s">
        <v>101</v>
      </c>
      <c r="P227" s="2" t="str">
        <f>"2170605199                    "</f>
        <v xml:space="preserve">2170605199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4.41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2.7</v>
      </c>
      <c r="BJ227" s="2">
        <v>1.7</v>
      </c>
      <c r="BK227" s="2">
        <v>3</v>
      </c>
      <c r="BL227" s="2">
        <v>35.270000000000003</v>
      </c>
      <c r="BM227" s="2">
        <v>4.9400000000000004</v>
      </c>
      <c r="BN227" s="2">
        <v>40.21</v>
      </c>
      <c r="BO227" s="2">
        <v>40.21</v>
      </c>
      <c r="BQ227" s="2" t="s">
        <v>142</v>
      </c>
      <c r="BR227" s="2" t="s">
        <v>103</v>
      </c>
      <c r="BS227" s="3">
        <v>43073</v>
      </c>
      <c r="BT227" s="4">
        <v>0.40347222222222223</v>
      </c>
      <c r="BU227" s="2" t="s">
        <v>640</v>
      </c>
      <c r="BV227" s="2" t="s">
        <v>85</v>
      </c>
      <c r="BY227" s="2">
        <v>8254.19</v>
      </c>
      <c r="CA227" s="2" t="s">
        <v>320</v>
      </c>
      <c r="CC227" s="2" t="s">
        <v>278</v>
      </c>
      <c r="CD227" s="2">
        <v>2163</v>
      </c>
      <c r="CE227" s="2" t="s">
        <v>95</v>
      </c>
      <c r="CF227" s="3">
        <v>43075</v>
      </c>
      <c r="CI227" s="2">
        <v>1</v>
      </c>
      <c r="CJ227" s="2">
        <v>1</v>
      </c>
      <c r="CK227" s="2">
        <v>22</v>
      </c>
      <c r="CL227" s="2" t="s">
        <v>89</v>
      </c>
    </row>
    <row r="228" spans="1:90">
      <c r="A228" s="2" t="s">
        <v>71</v>
      </c>
      <c r="B228" s="2" t="s">
        <v>72</v>
      </c>
      <c r="C228" s="2" t="s">
        <v>73</v>
      </c>
      <c r="E228" s="2" t="str">
        <f>"FES1162593535"</f>
        <v>FES1162593535</v>
      </c>
      <c r="F228" s="3">
        <v>43073</v>
      </c>
      <c r="G228" s="2">
        <v>201806</v>
      </c>
      <c r="H228" s="2" t="s">
        <v>74</v>
      </c>
      <c r="I228" s="2" t="s">
        <v>75</v>
      </c>
      <c r="J228" s="2" t="s">
        <v>97</v>
      </c>
      <c r="K228" s="2" t="s">
        <v>77</v>
      </c>
      <c r="L228" s="2" t="s">
        <v>162</v>
      </c>
      <c r="M228" s="2" t="s">
        <v>163</v>
      </c>
      <c r="N228" s="2" t="s">
        <v>398</v>
      </c>
      <c r="O228" s="2" t="s">
        <v>101</v>
      </c>
      <c r="P228" s="2" t="str">
        <f>"2170605637                    "</f>
        <v xml:space="preserve">2170605637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4.41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2</v>
      </c>
      <c r="BJ228" s="2">
        <v>3</v>
      </c>
      <c r="BK228" s="2">
        <v>3</v>
      </c>
      <c r="BL228" s="2">
        <v>35.270000000000003</v>
      </c>
      <c r="BM228" s="2">
        <v>4.9400000000000004</v>
      </c>
      <c r="BN228" s="2">
        <v>40.21</v>
      </c>
      <c r="BO228" s="2">
        <v>40.21</v>
      </c>
      <c r="BQ228" s="2" t="s">
        <v>102</v>
      </c>
      <c r="BR228" s="2" t="s">
        <v>103</v>
      </c>
      <c r="BS228" s="3">
        <v>43074</v>
      </c>
      <c r="BT228" s="4">
        <v>0.4375</v>
      </c>
      <c r="BU228" s="2" t="s">
        <v>641</v>
      </c>
      <c r="BV228" s="2" t="s">
        <v>85</v>
      </c>
      <c r="BY228" s="2">
        <v>15246</v>
      </c>
      <c r="BZ228" s="2" t="s">
        <v>27</v>
      </c>
      <c r="CC228" s="2" t="s">
        <v>163</v>
      </c>
      <c r="CD228" s="2">
        <v>1449</v>
      </c>
      <c r="CE228" s="2" t="s">
        <v>356</v>
      </c>
      <c r="CF228" s="3">
        <v>43077</v>
      </c>
      <c r="CI228" s="2">
        <v>1</v>
      </c>
      <c r="CJ228" s="2">
        <v>1</v>
      </c>
      <c r="CK228" s="2">
        <v>22</v>
      </c>
      <c r="CL228" s="2" t="s">
        <v>89</v>
      </c>
    </row>
    <row r="229" spans="1:90">
      <c r="A229" s="2" t="s">
        <v>71</v>
      </c>
      <c r="B229" s="2" t="s">
        <v>72</v>
      </c>
      <c r="C229" s="2" t="s">
        <v>73</v>
      </c>
      <c r="E229" s="2" t="str">
        <f>"FES1162593067"</f>
        <v>FES1162593067</v>
      </c>
      <c r="F229" s="3">
        <v>43070</v>
      </c>
      <c r="G229" s="2">
        <v>201806</v>
      </c>
      <c r="H229" s="2" t="s">
        <v>74</v>
      </c>
      <c r="I229" s="2" t="s">
        <v>75</v>
      </c>
      <c r="J229" s="2" t="s">
        <v>97</v>
      </c>
      <c r="K229" s="2" t="s">
        <v>77</v>
      </c>
      <c r="L229" s="2" t="s">
        <v>115</v>
      </c>
      <c r="M229" s="2" t="s">
        <v>116</v>
      </c>
      <c r="N229" s="2" t="s">
        <v>458</v>
      </c>
      <c r="O229" s="2" t="s">
        <v>101</v>
      </c>
      <c r="P229" s="2" t="str">
        <f>"2170605440                    "</f>
        <v xml:space="preserve">2170605440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4.41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7.1</v>
      </c>
      <c r="BJ229" s="2">
        <v>4.4000000000000004</v>
      </c>
      <c r="BK229" s="2">
        <v>8</v>
      </c>
      <c r="BL229" s="2">
        <v>35.270000000000003</v>
      </c>
      <c r="BM229" s="2">
        <v>4.9400000000000004</v>
      </c>
      <c r="BN229" s="2">
        <v>40.21</v>
      </c>
      <c r="BO229" s="2">
        <v>40.21</v>
      </c>
      <c r="BR229" s="2" t="s">
        <v>103</v>
      </c>
      <c r="BS229" s="3">
        <v>43074</v>
      </c>
      <c r="BT229" s="4">
        <v>0.4375</v>
      </c>
      <c r="BU229" s="2" t="s">
        <v>459</v>
      </c>
      <c r="BV229" s="2" t="s">
        <v>89</v>
      </c>
      <c r="BW229" s="2" t="s">
        <v>149</v>
      </c>
      <c r="BX229" s="2" t="s">
        <v>456</v>
      </c>
      <c r="BY229" s="2">
        <v>22237.06</v>
      </c>
      <c r="CA229" s="2" t="s">
        <v>119</v>
      </c>
      <c r="CC229" s="2" t="s">
        <v>116</v>
      </c>
      <c r="CD229" s="2">
        <v>1460</v>
      </c>
      <c r="CE229" s="2" t="s">
        <v>95</v>
      </c>
      <c r="CF229" s="3">
        <v>43077</v>
      </c>
      <c r="CI229" s="2">
        <v>1</v>
      </c>
      <c r="CJ229" s="2">
        <v>2</v>
      </c>
      <c r="CK229" s="2">
        <v>22</v>
      </c>
      <c r="CL229" s="2" t="s">
        <v>89</v>
      </c>
    </row>
    <row r="230" spans="1:90">
      <c r="A230" s="2" t="s">
        <v>71</v>
      </c>
      <c r="B230" s="2" t="s">
        <v>72</v>
      </c>
      <c r="C230" s="2" t="s">
        <v>73</v>
      </c>
      <c r="E230" s="2" t="str">
        <f>"FES1162593468"</f>
        <v>FES1162593468</v>
      </c>
      <c r="F230" s="3">
        <v>43073</v>
      </c>
      <c r="G230" s="2">
        <v>201806</v>
      </c>
      <c r="H230" s="2" t="s">
        <v>74</v>
      </c>
      <c r="I230" s="2" t="s">
        <v>75</v>
      </c>
      <c r="J230" s="2" t="s">
        <v>97</v>
      </c>
      <c r="K230" s="2" t="s">
        <v>77</v>
      </c>
      <c r="L230" s="2" t="s">
        <v>162</v>
      </c>
      <c r="M230" s="2" t="s">
        <v>163</v>
      </c>
      <c r="N230" s="2" t="s">
        <v>642</v>
      </c>
      <c r="O230" s="2" t="s">
        <v>101</v>
      </c>
      <c r="P230" s="2" t="str">
        <f>"2170604819                    "</f>
        <v xml:space="preserve">2170604819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5.47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9.4</v>
      </c>
      <c r="BJ230" s="2">
        <v>5.0999999999999996</v>
      </c>
      <c r="BK230" s="2">
        <v>10</v>
      </c>
      <c r="BL230" s="2">
        <v>43.73</v>
      </c>
      <c r="BM230" s="2">
        <v>6.12</v>
      </c>
      <c r="BN230" s="2">
        <v>49.85</v>
      </c>
      <c r="BO230" s="2">
        <v>49.85</v>
      </c>
      <c r="BQ230" s="2" t="s">
        <v>102</v>
      </c>
      <c r="BR230" s="2" t="s">
        <v>103</v>
      </c>
      <c r="BS230" s="3">
        <v>43074</v>
      </c>
      <c r="BT230" s="4">
        <v>0.41666666666666669</v>
      </c>
      <c r="BU230" s="2" t="s">
        <v>205</v>
      </c>
      <c r="BV230" s="2" t="s">
        <v>85</v>
      </c>
      <c r="BY230" s="2">
        <v>25745.64</v>
      </c>
      <c r="BZ230" s="2" t="s">
        <v>27</v>
      </c>
      <c r="CC230" s="2" t="s">
        <v>163</v>
      </c>
      <c r="CD230" s="2">
        <v>1451</v>
      </c>
      <c r="CE230" s="2" t="s">
        <v>95</v>
      </c>
      <c r="CF230" s="3">
        <v>43075</v>
      </c>
      <c r="CI230" s="2">
        <v>1</v>
      </c>
      <c r="CJ230" s="2">
        <v>1</v>
      </c>
      <c r="CK230" s="2">
        <v>22</v>
      </c>
      <c r="CL230" s="2" t="s">
        <v>89</v>
      </c>
    </row>
    <row r="231" spans="1:90">
      <c r="A231" s="2" t="s">
        <v>71</v>
      </c>
      <c r="B231" s="2" t="s">
        <v>72</v>
      </c>
      <c r="C231" s="2" t="s">
        <v>73</v>
      </c>
      <c r="E231" s="2" t="str">
        <f>"FES1162593268"</f>
        <v>FES1162593268</v>
      </c>
      <c r="F231" s="3">
        <v>43070</v>
      </c>
      <c r="G231" s="2">
        <v>201806</v>
      </c>
      <c r="H231" s="2" t="s">
        <v>74</v>
      </c>
      <c r="I231" s="2" t="s">
        <v>75</v>
      </c>
      <c r="J231" s="2" t="s">
        <v>97</v>
      </c>
      <c r="K231" s="2" t="s">
        <v>77</v>
      </c>
      <c r="L231" s="2" t="s">
        <v>106</v>
      </c>
      <c r="M231" s="2" t="s">
        <v>107</v>
      </c>
      <c r="N231" s="2" t="s">
        <v>108</v>
      </c>
      <c r="O231" s="2" t="s">
        <v>101</v>
      </c>
      <c r="P231" s="2" t="str">
        <f>"2170605565                    "</f>
        <v xml:space="preserve">2170605565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4.41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2.2999999999999998</v>
      </c>
      <c r="BJ231" s="2">
        <v>1.7</v>
      </c>
      <c r="BK231" s="2">
        <v>3</v>
      </c>
      <c r="BL231" s="2">
        <v>35.270000000000003</v>
      </c>
      <c r="BM231" s="2">
        <v>4.9400000000000004</v>
      </c>
      <c r="BN231" s="2">
        <v>40.21</v>
      </c>
      <c r="BO231" s="2">
        <v>40.21</v>
      </c>
      <c r="BQ231" s="2" t="s">
        <v>82</v>
      </c>
      <c r="BR231" s="2" t="s">
        <v>103</v>
      </c>
      <c r="BS231" s="3">
        <v>43073</v>
      </c>
      <c r="BT231" s="4">
        <v>0.39097222222222222</v>
      </c>
      <c r="BU231" s="2" t="s">
        <v>643</v>
      </c>
      <c r="BV231" s="2" t="s">
        <v>85</v>
      </c>
      <c r="BY231" s="2">
        <v>8527.2000000000007</v>
      </c>
      <c r="CA231" s="2" t="s">
        <v>644</v>
      </c>
      <c r="CC231" s="2" t="s">
        <v>107</v>
      </c>
      <c r="CD231" s="2">
        <v>2094</v>
      </c>
      <c r="CE231" s="2" t="s">
        <v>95</v>
      </c>
      <c r="CF231" s="3">
        <v>43075</v>
      </c>
      <c r="CI231" s="2">
        <v>1</v>
      </c>
      <c r="CJ231" s="2">
        <v>1</v>
      </c>
      <c r="CK231" s="2">
        <v>22</v>
      </c>
      <c r="CL231" s="2" t="s">
        <v>89</v>
      </c>
    </row>
    <row r="232" spans="1:90">
      <c r="A232" s="2" t="s">
        <v>71</v>
      </c>
      <c r="B232" s="2" t="s">
        <v>72</v>
      </c>
      <c r="C232" s="2" t="s">
        <v>73</v>
      </c>
      <c r="E232" s="2" t="str">
        <f>"FES1162593406"</f>
        <v>FES1162593406</v>
      </c>
      <c r="F232" s="3">
        <v>43073</v>
      </c>
      <c r="G232" s="2">
        <v>201806</v>
      </c>
      <c r="H232" s="2" t="s">
        <v>74</v>
      </c>
      <c r="I232" s="2" t="s">
        <v>75</v>
      </c>
      <c r="J232" s="2" t="s">
        <v>97</v>
      </c>
      <c r="K232" s="2" t="s">
        <v>77</v>
      </c>
      <c r="L232" s="2" t="s">
        <v>74</v>
      </c>
      <c r="M232" s="2" t="s">
        <v>75</v>
      </c>
      <c r="N232" s="2" t="s">
        <v>645</v>
      </c>
      <c r="O232" s="2" t="s">
        <v>101</v>
      </c>
      <c r="P232" s="2" t="str">
        <f>"2170603243                    "</f>
        <v xml:space="preserve">2170603243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4.41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1</v>
      </c>
      <c r="BJ232" s="2">
        <v>0.2</v>
      </c>
      <c r="BK232" s="2">
        <v>1</v>
      </c>
      <c r="BL232" s="2">
        <v>35.270000000000003</v>
      </c>
      <c r="BM232" s="2">
        <v>4.9400000000000004</v>
      </c>
      <c r="BN232" s="2">
        <v>40.21</v>
      </c>
      <c r="BO232" s="2">
        <v>40.21</v>
      </c>
      <c r="BQ232" s="2" t="s">
        <v>102</v>
      </c>
      <c r="BR232" s="2" t="s">
        <v>103</v>
      </c>
      <c r="BS232" s="3">
        <v>43074</v>
      </c>
      <c r="BT232" s="4">
        <v>0.4375</v>
      </c>
      <c r="BU232" s="2" t="s">
        <v>646</v>
      </c>
      <c r="BV232" s="2" t="s">
        <v>85</v>
      </c>
      <c r="BY232" s="2">
        <v>1200</v>
      </c>
      <c r="BZ232" s="2" t="s">
        <v>27</v>
      </c>
      <c r="CA232" s="2" t="s">
        <v>203</v>
      </c>
      <c r="CC232" s="2" t="s">
        <v>75</v>
      </c>
      <c r="CD232" s="2">
        <v>1665</v>
      </c>
      <c r="CE232" s="2" t="s">
        <v>120</v>
      </c>
      <c r="CF232" s="3">
        <v>43077</v>
      </c>
      <c r="CI232" s="2">
        <v>1</v>
      </c>
      <c r="CJ232" s="2">
        <v>1</v>
      </c>
      <c r="CK232" s="2">
        <v>22</v>
      </c>
      <c r="CL232" s="2" t="s">
        <v>89</v>
      </c>
    </row>
    <row r="233" spans="1:90">
      <c r="A233" s="2" t="s">
        <v>71</v>
      </c>
      <c r="B233" s="2" t="s">
        <v>72</v>
      </c>
      <c r="C233" s="2" t="s">
        <v>73</v>
      </c>
      <c r="E233" s="2" t="str">
        <f>"FES1162593097"</f>
        <v>FES1162593097</v>
      </c>
      <c r="F233" s="3">
        <v>43070</v>
      </c>
      <c r="G233" s="2">
        <v>201806</v>
      </c>
      <c r="H233" s="2" t="s">
        <v>74</v>
      </c>
      <c r="I233" s="2" t="s">
        <v>75</v>
      </c>
      <c r="J233" s="2" t="s">
        <v>97</v>
      </c>
      <c r="K233" s="2" t="s">
        <v>77</v>
      </c>
      <c r="L233" s="2" t="s">
        <v>106</v>
      </c>
      <c r="M233" s="2" t="s">
        <v>107</v>
      </c>
      <c r="N233" s="2" t="s">
        <v>647</v>
      </c>
      <c r="O233" s="2" t="s">
        <v>101</v>
      </c>
      <c r="P233" s="2" t="str">
        <f>"2170604545                    "</f>
        <v xml:space="preserve">2170604545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4.41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2</v>
      </c>
      <c r="BJ233" s="2">
        <v>3</v>
      </c>
      <c r="BK233" s="2">
        <v>3</v>
      </c>
      <c r="BL233" s="2">
        <v>35.270000000000003</v>
      </c>
      <c r="BM233" s="2">
        <v>4.9400000000000004</v>
      </c>
      <c r="BN233" s="2">
        <v>40.21</v>
      </c>
      <c r="BO233" s="2">
        <v>40.21</v>
      </c>
      <c r="BQ233" s="2" t="s">
        <v>648</v>
      </c>
      <c r="BR233" s="2" t="s">
        <v>103</v>
      </c>
      <c r="BS233" s="3">
        <v>43073</v>
      </c>
      <c r="BT233" s="4">
        <v>0.41666666666666669</v>
      </c>
      <c r="BU233" s="2" t="s">
        <v>649</v>
      </c>
      <c r="BV233" s="2" t="s">
        <v>85</v>
      </c>
      <c r="BY233" s="2">
        <v>15186.6</v>
      </c>
      <c r="BZ233" s="2" t="s">
        <v>27</v>
      </c>
      <c r="CA233" s="2" t="s">
        <v>293</v>
      </c>
      <c r="CC233" s="2" t="s">
        <v>107</v>
      </c>
      <c r="CD233" s="2">
        <v>1820</v>
      </c>
      <c r="CE233" s="2" t="s">
        <v>87</v>
      </c>
      <c r="CF233" s="3">
        <v>43075</v>
      </c>
      <c r="CI233" s="2">
        <v>1</v>
      </c>
      <c r="CJ233" s="2">
        <v>1</v>
      </c>
      <c r="CK233" s="2">
        <v>22</v>
      </c>
      <c r="CL233" s="2" t="s">
        <v>89</v>
      </c>
    </row>
    <row r="234" spans="1:90">
      <c r="A234" s="2" t="s">
        <v>71</v>
      </c>
      <c r="B234" s="2" t="s">
        <v>72</v>
      </c>
      <c r="C234" s="2" t="s">
        <v>73</v>
      </c>
      <c r="E234" s="2" t="str">
        <f>"FES1162593470"</f>
        <v>FES1162593470</v>
      </c>
      <c r="F234" s="3">
        <v>43073</v>
      </c>
      <c r="G234" s="2">
        <v>201806</v>
      </c>
      <c r="H234" s="2" t="s">
        <v>74</v>
      </c>
      <c r="I234" s="2" t="s">
        <v>75</v>
      </c>
      <c r="J234" s="2" t="s">
        <v>97</v>
      </c>
      <c r="K234" s="2" t="s">
        <v>77</v>
      </c>
      <c r="L234" s="2" t="s">
        <v>74</v>
      </c>
      <c r="M234" s="2" t="s">
        <v>75</v>
      </c>
      <c r="N234" s="2" t="s">
        <v>650</v>
      </c>
      <c r="O234" s="2" t="s">
        <v>101</v>
      </c>
      <c r="P234" s="2" t="str">
        <f>"2170604838                    "</f>
        <v xml:space="preserve">2170604838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4.41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2.2999999999999998</v>
      </c>
      <c r="BJ234" s="2">
        <v>3.2</v>
      </c>
      <c r="BK234" s="2">
        <v>4</v>
      </c>
      <c r="BL234" s="2">
        <v>35.270000000000003</v>
      </c>
      <c r="BM234" s="2">
        <v>4.9400000000000004</v>
      </c>
      <c r="BN234" s="2">
        <v>40.21</v>
      </c>
      <c r="BO234" s="2">
        <v>40.21</v>
      </c>
      <c r="BR234" s="2" t="s">
        <v>103</v>
      </c>
      <c r="BS234" s="3">
        <v>43074</v>
      </c>
      <c r="BT234" s="4">
        <v>0.4375</v>
      </c>
      <c r="BU234" s="2" t="s">
        <v>522</v>
      </c>
      <c r="BV234" s="2" t="s">
        <v>85</v>
      </c>
      <c r="BY234" s="2">
        <v>16102.8</v>
      </c>
      <c r="BZ234" s="2" t="s">
        <v>27</v>
      </c>
      <c r="CA234" s="2" t="s">
        <v>203</v>
      </c>
      <c r="CC234" s="2" t="s">
        <v>75</v>
      </c>
      <c r="CD234" s="2">
        <v>1666</v>
      </c>
      <c r="CE234" s="2" t="s">
        <v>87</v>
      </c>
      <c r="CF234" s="3">
        <v>43077</v>
      </c>
      <c r="CI234" s="2">
        <v>1</v>
      </c>
      <c r="CJ234" s="2">
        <v>1</v>
      </c>
      <c r="CK234" s="2">
        <v>22</v>
      </c>
      <c r="CL234" s="2" t="s">
        <v>89</v>
      </c>
    </row>
    <row r="235" spans="1:90">
      <c r="A235" s="2" t="s">
        <v>71</v>
      </c>
      <c r="B235" s="2" t="s">
        <v>72</v>
      </c>
      <c r="C235" s="2" t="s">
        <v>73</v>
      </c>
      <c r="E235" s="2" t="str">
        <f>"FES1162593188"</f>
        <v>FES1162593188</v>
      </c>
      <c r="F235" s="3">
        <v>43070</v>
      </c>
      <c r="G235" s="2">
        <v>201806</v>
      </c>
      <c r="H235" s="2" t="s">
        <v>74</v>
      </c>
      <c r="I235" s="2" t="s">
        <v>75</v>
      </c>
      <c r="J235" s="2" t="s">
        <v>97</v>
      </c>
      <c r="K235" s="2" t="s">
        <v>77</v>
      </c>
      <c r="L235" s="2" t="s">
        <v>74</v>
      </c>
      <c r="M235" s="2" t="s">
        <v>75</v>
      </c>
      <c r="N235" s="2" t="s">
        <v>204</v>
      </c>
      <c r="O235" s="2" t="s">
        <v>101</v>
      </c>
      <c r="P235" s="2" t="str">
        <f>"FES1162593188                 "</f>
        <v xml:space="preserve">FES1162593188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4.41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</v>
      </c>
      <c r="BJ235" s="2">
        <v>0.2</v>
      </c>
      <c r="BK235" s="2">
        <v>1</v>
      </c>
      <c r="BL235" s="2">
        <v>35.270000000000003</v>
      </c>
      <c r="BM235" s="2">
        <v>4.9400000000000004</v>
      </c>
      <c r="BN235" s="2">
        <v>40.21</v>
      </c>
      <c r="BO235" s="2">
        <v>40.21</v>
      </c>
      <c r="BQ235" s="2" t="s">
        <v>102</v>
      </c>
      <c r="BR235" s="2" t="s">
        <v>103</v>
      </c>
      <c r="BS235" s="3">
        <v>43073</v>
      </c>
      <c r="BT235" s="4">
        <v>0.30208333333333331</v>
      </c>
      <c r="BU235" s="2" t="s">
        <v>205</v>
      </c>
      <c r="BV235" s="2" t="s">
        <v>85</v>
      </c>
      <c r="BY235" s="2">
        <v>1200</v>
      </c>
      <c r="CA235" s="2" t="s">
        <v>206</v>
      </c>
      <c r="CC235" s="2" t="s">
        <v>75</v>
      </c>
      <c r="CD235" s="2">
        <v>1645</v>
      </c>
      <c r="CE235" s="2" t="s">
        <v>120</v>
      </c>
      <c r="CF235" s="3">
        <v>43075</v>
      </c>
      <c r="CI235" s="2">
        <v>1</v>
      </c>
      <c r="CJ235" s="2">
        <v>1</v>
      </c>
      <c r="CK235" s="2">
        <v>22</v>
      </c>
      <c r="CL235" s="2" t="s">
        <v>89</v>
      </c>
    </row>
    <row r="236" spans="1:90">
      <c r="A236" s="2" t="s">
        <v>71</v>
      </c>
      <c r="B236" s="2" t="s">
        <v>72</v>
      </c>
      <c r="C236" s="2" t="s">
        <v>73</v>
      </c>
      <c r="E236" s="2" t="str">
        <f>"FES1162593461"</f>
        <v>FES1162593461</v>
      </c>
      <c r="F236" s="3">
        <v>43073</v>
      </c>
      <c r="G236" s="2">
        <v>201806</v>
      </c>
      <c r="H236" s="2" t="s">
        <v>74</v>
      </c>
      <c r="I236" s="2" t="s">
        <v>75</v>
      </c>
      <c r="J236" s="2" t="s">
        <v>97</v>
      </c>
      <c r="K236" s="2" t="s">
        <v>77</v>
      </c>
      <c r="L236" s="2" t="s">
        <v>651</v>
      </c>
      <c r="M236" s="2" t="s">
        <v>652</v>
      </c>
      <c r="N236" s="2" t="s">
        <v>653</v>
      </c>
      <c r="O236" s="2" t="s">
        <v>101</v>
      </c>
      <c r="P236" s="2" t="str">
        <f>"2170604736                    "</f>
        <v xml:space="preserve">2170604736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7.94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</v>
      </c>
      <c r="BJ236" s="2">
        <v>0.2</v>
      </c>
      <c r="BK236" s="2">
        <v>1</v>
      </c>
      <c r="BL236" s="2">
        <v>63.49</v>
      </c>
      <c r="BM236" s="2">
        <v>8.89</v>
      </c>
      <c r="BN236" s="2">
        <v>72.38</v>
      </c>
      <c r="BO236" s="2">
        <v>72.38</v>
      </c>
      <c r="BQ236" s="2" t="s">
        <v>654</v>
      </c>
      <c r="BR236" s="2" t="s">
        <v>103</v>
      </c>
      <c r="BS236" s="3">
        <v>43074</v>
      </c>
      <c r="BT236" s="4">
        <v>0.47569444444444442</v>
      </c>
      <c r="BU236" s="2" t="s">
        <v>655</v>
      </c>
      <c r="BV236" s="2" t="s">
        <v>85</v>
      </c>
      <c r="BY236" s="2">
        <v>1200</v>
      </c>
      <c r="BZ236" s="2" t="s">
        <v>27</v>
      </c>
      <c r="CA236" s="2" t="s">
        <v>656</v>
      </c>
      <c r="CC236" s="2" t="s">
        <v>652</v>
      </c>
      <c r="CD236" s="2">
        <v>250</v>
      </c>
      <c r="CE236" s="2" t="s">
        <v>120</v>
      </c>
      <c r="CF236" s="3">
        <v>43077</v>
      </c>
      <c r="CI236" s="2">
        <v>1</v>
      </c>
      <c r="CJ236" s="2">
        <v>1</v>
      </c>
      <c r="CK236" s="2">
        <v>24</v>
      </c>
      <c r="CL236" s="2" t="s">
        <v>89</v>
      </c>
    </row>
    <row r="237" spans="1:90">
      <c r="A237" s="2" t="s">
        <v>71</v>
      </c>
      <c r="B237" s="2" t="s">
        <v>72</v>
      </c>
      <c r="C237" s="2" t="s">
        <v>73</v>
      </c>
      <c r="E237" s="2" t="str">
        <f>"FES1162593095"</f>
        <v>FES1162593095</v>
      </c>
      <c r="F237" s="3">
        <v>43070</v>
      </c>
      <c r="G237" s="2">
        <v>201806</v>
      </c>
      <c r="H237" s="2" t="s">
        <v>74</v>
      </c>
      <c r="I237" s="2" t="s">
        <v>75</v>
      </c>
      <c r="J237" s="2" t="s">
        <v>97</v>
      </c>
      <c r="K237" s="2" t="s">
        <v>77</v>
      </c>
      <c r="L237" s="2" t="s">
        <v>74</v>
      </c>
      <c r="M237" s="2" t="s">
        <v>75</v>
      </c>
      <c r="N237" s="2" t="s">
        <v>201</v>
      </c>
      <c r="O237" s="2" t="s">
        <v>101</v>
      </c>
      <c r="P237" s="2" t="str">
        <f>"2170604493                    "</f>
        <v xml:space="preserve">2170604493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4.9400000000000004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8.1999999999999993</v>
      </c>
      <c r="BJ237" s="2">
        <v>3.2</v>
      </c>
      <c r="BK237" s="2">
        <v>9</v>
      </c>
      <c r="BL237" s="2">
        <v>39.5</v>
      </c>
      <c r="BM237" s="2">
        <v>5.53</v>
      </c>
      <c r="BN237" s="2">
        <v>45.03</v>
      </c>
      <c r="BO237" s="2">
        <v>45.03</v>
      </c>
      <c r="BQ237" s="2" t="s">
        <v>102</v>
      </c>
      <c r="BR237" s="2" t="s">
        <v>103</v>
      </c>
      <c r="BS237" s="3">
        <v>43073</v>
      </c>
      <c r="BT237" s="4">
        <v>0.4375</v>
      </c>
      <c r="BU237" s="2" t="s">
        <v>428</v>
      </c>
      <c r="BV237" s="2" t="s">
        <v>85</v>
      </c>
      <c r="BY237" s="2">
        <v>16105.01</v>
      </c>
      <c r="CC237" s="2" t="s">
        <v>75</v>
      </c>
      <c r="CD237" s="2">
        <v>1665</v>
      </c>
      <c r="CE237" s="2" t="s">
        <v>95</v>
      </c>
      <c r="CF237" s="3">
        <v>43075</v>
      </c>
      <c r="CI237" s="2">
        <v>1</v>
      </c>
      <c r="CJ237" s="2">
        <v>1</v>
      </c>
      <c r="CK237" s="2">
        <v>22</v>
      </c>
      <c r="CL237" s="2" t="s">
        <v>89</v>
      </c>
    </row>
    <row r="238" spans="1:90">
      <c r="A238" s="2" t="s">
        <v>71</v>
      </c>
      <c r="B238" s="2" t="s">
        <v>72</v>
      </c>
      <c r="C238" s="2" t="s">
        <v>73</v>
      </c>
      <c r="E238" s="2" t="str">
        <f>"FES1162593318"</f>
        <v>FES1162593318</v>
      </c>
      <c r="F238" s="3">
        <v>43073</v>
      </c>
      <c r="G238" s="2">
        <v>201806</v>
      </c>
      <c r="H238" s="2" t="s">
        <v>74</v>
      </c>
      <c r="I238" s="2" t="s">
        <v>75</v>
      </c>
      <c r="J238" s="2" t="s">
        <v>97</v>
      </c>
      <c r="K238" s="2" t="s">
        <v>77</v>
      </c>
      <c r="L238" s="2" t="s">
        <v>295</v>
      </c>
      <c r="M238" s="2" t="s">
        <v>296</v>
      </c>
      <c r="N238" s="2" t="s">
        <v>657</v>
      </c>
      <c r="O238" s="2" t="s">
        <v>101</v>
      </c>
      <c r="P238" s="2" t="str">
        <f>"217060594                     "</f>
        <v xml:space="preserve">217060594 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7.94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63.49</v>
      </c>
      <c r="BM238" s="2">
        <v>8.89</v>
      </c>
      <c r="BN238" s="2">
        <v>72.38</v>
      </c>
      <c r="BO238" s="2">
        <v>72.38</v>
      </c>
      <c r="BQ238" s="2" t="s">
        <v>658</v>
      </c>
      <c r="BR238" s="2" t="s">
        <v>103</v>
      </c>
      <c r="BS238" s="3">
        <v>43074</v>
      </c>
      <c r="BT238" s="4">
        <v>0.59722222222222221</v>
      </c>
      <c r="BU238" s="2" t="s">
        <v>659</v>
      </c>
      <c r="BV238" s="2" t="s">
        <v>85</v>
      </c>
      <c r="BY238" s="2">
        <v>1200</v>
      </c>
      <c r="BZ238" s="2" t="s">
        <v>27</v>
      </c>
      <c r="CC238" s="2" t="s">
        <v>296</v>
      </c>
      <c r="CD238" s="2">
        <v>208</v>
      </c>
      <c r="CE238" s="2" t="s">
        <v>120</v>
      </c>
      <c r="CF238" s="3">
        <v>43076</v>
      </c>
      <c r="CI238" s="2">
        <v>1</v>
      </c>
      <c r="CJ238" s="2">
        <v>1</v>
      </c>
      <c r="CK238" s="2">
        <v>24</v>
      </c>
      <c r="CL238" s="2" t="s">
        <v>89</v>
      </c>
    </row>
    <row r="239" spans="1:90">
      <c r="A239" s="2" t="s">
        <v>71</v>
      </c>
      <c r="B239" s="2" t="s">
        <v>72</v>
      </c>
      <c r="C239" s="2" t="s">
        <v>73</v>
      </c>
      <c r="E239" s="2" t="str">
        <f>"FES1162593695"</f>
        <v>FES1162593695</v>
      </c>
      <c r="F239" s="3">
        <v>43073</v>
      </c>
      <c r="G239" s="2">
        <v>201806</v>
      </c>
      <c r="H239" s="2" t="s">
        <v>74</v>
      </c>
      <c r="I239" s="2" t="s">
        <v>75</v>
      </c>
      <c r="J239" s="2" t="s">
        <v>97</v>
      </c>
      <c r="K239" s="2" t="s">
        <v>77</v>
      </c>
      <c r="L239" s="2" t="s">
        <v>136</v>
      </c>
      <c r="M239" s="2" t="s">
        <v>137</v>
      </c>
      <c r="N239" s="2" t="s">
        <v>660</v>
      </c>
      <c r="O239" s="2" t="s">
        <v>101</v>
      </c>
      <c r="P239" s="2" t="str">
        <f>"2170605265                    "</f>
        <v xml:space="preserve">2170605265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5.65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</v>
      </c>
      <c r="BJ239" s="2">
        <v>0.2</v>
      </c>
      <c r="BK239" s="2">
        <v>1</v>
      </c>
      <c r="BL239" s="2">
        <v>45.15</v>
      </c>
      <c r="BM239" s="2">
        <v>6.32</v>
      </c>
      <c r="BN239" s="2">
        <v>51.47</v>
      </c>
      <c r="BO239" s="2">
        <v>51.47</v>
      </c>
      <c r="BQ239" s="2" t="s">
        <v>102</v>
      </c>
      <c r="BR239" s="2" t="s">
        <v>103</v>
      </c>
      <c r="BS239" s="3">
        <v>43074</v>
      </c>
      <c r="BT239" s="4">
        <v>0.43055555555555558</v>
      </c>
      <c r="BU239" s="2" t="s">
        <v>661</v>
      </c>
      <c r="BV239" s="2" t="s">
        <v>85</v>
      </c>
      <c r="BY239" s="2">
        <v>1200</v>
      </c>
      <c r="BZ239" s="2" t="s">
        <v>27</v>
      </c>
      <c r="CA239" s="2" t="s">
        <v>180</v>
      </c>
      <c r="CC239" s="2" t="s">
        <v>137</v>
      </c>
      <c r="CD239" s="2">
        <v>6001</v>
      </c>
      <c r="CE239" s="2" t="s">
        <v>120</v>
      </c>
      <c r="CF239" s="3">
        <v>43075</v>
      </c>
      <c r="CI239" s="2">
        <v>1</v>
      </c>
      <c r="CJ239" s="2">
        <v>1</v>
      </c>
      <c r="CK239" s="2">
        <v>21</v>
      </c>
      <c r="CL239" s="2" t="s">
        <v>89</v>
      </c>
    </row>
    <row r="240" spans="1:90">
      <c r="A240" s="2" t="s">
        <v>71</v>
      </c>
      <c r="B240" s="2" t="s">
        <v>72</v>
      </c>
      <c r="C240" s="2" t="s">
        <v>73</v>
      </c>
      <c r="E240" s="2" t="str">
        <f>"FES1162593096"</f>
        <v>FES1162593096</v>
      </c>
      <c r="F240" s="3">
        <v>43070</v>
      </c>
      <c r="G240" s="2">
        <v>201806</v>
      </c>
      <c r="H240" s="2" t="s">
        <v>74</v>
      </c>
      <c r="I240" s="2" t="s">
        <v>75</v>
      </c>
      <c r="J240" s="2" t="s">
        <v>97</v>
      </c>
      <c r="K240" s="2" t="s">
        <v>77</v>
      </c>
      <c r="L240" s="2" t="s">
        <v>74</v>
      </c>
      <c r="M240" s="2" t="s">
        <v>75</v>
      </c>
      <c r="N240" s="2" t="s">
        <v>201</v>
      </c>
      <c r="O240" s="2" t="s">
        <v>101</v>
      </c>
      <c r="P240" s="2" t="str">
        <f>"2170604502                    "</f>
        <v xml:space="preserve">2170604502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6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10.9</v>
      </c>
      <c r="BJ240" s="2">
        <v>3.3</v>
      </c>
      <c r="BK240" s="2">
        <v>11</v>
      </c>
      <c r="BL240" s="2">
        <v>47.96</v>
      </c>
      <c r="BM240" s="2">
        <v>6.71</v>
      </c>
      <c r="BN240" s="2">
        <v>54.67</v>
      </c>
      <c r="BO240" s="2">
        <v>54.67</v>
      </c>
      <c r="BQ240" s="2" t="s">
        <v>102</v>
      </c>
      <c r="BR240" s="2" t="s">
        <v>103</v>
      </c>
      <c r="BS240" s="3">
        <v>43073</v>
      </c>
      <c r="BT240" s="4">
        <v>0.4375</v>
      </c>
      <c r="BU240" s="2" t="s">
        <v>428</v>
      </c>
      <c r="BV240" s="2" t="s">
        <v>85</v>
      </c>
      <c r="BY240" s="2">
        <v>16420.990000000002</v>
      </c>
      <c r="CC240" s="2" t="s">
        <v>75</v>
      </c>
      <c r="CD240" s="2">
        <v>1665</v>
      </c>
      <c r="CE240" s="2" t="s">
        <v>95</v>
      </c>
      <c r="CF240" s="3">
        <v>43075</v>
      </c>
      <c r="CI240" s="2">
        <v>1</v>
      </c>
      <c r="CJ240" s="2">
        <v>1</v>
      </c>
      <c r="CK240" s="2">
        <v>22</v>
      </c>
      <c r="CL240" s="2" t="s">
        <v>89</v>
      </c>
    </row>
    <row r="241" spans="1:90">
      <c r="A241" s="2" t="s">
        <v>71</v>
      </c>
      <c r="B241" s="2" t="s">
        <v>72</v>
      </c>
      <c r="C241" s="2" t="s">
        <v>73</v>
      </c>
      <c r="E241" s="2" t="str">
        <f>"FES1162593686"</f>
        <v>FES1162593686</v>
      </c>
      <c r="F241" s="3">
        <v>43073</v>
      </c>
      <c r="G241" s="2">
        <v>201806</v>
      </c>
      <c r="H241" s="2" t="s">
        <v>74</v>
      </c>
      <c r="I241" s="2" t="s">
        <v>75</v>
      </c>
      <c r="J241" s="2" t="s">
        <v>97</v>
      </c>
      <c r="K241" s="2" t="s">
        <v>77</v>
      </c>
      <c r="L241" s="2" t="s">
        <v>136</v>
      </c>
      <c r="M241" s="2" t="s">
        <v>137</v>
      </c>
      <c r="N241" s="2" t="s">
        <v>662</v>
      </c>
      <c r="O241" s="2" t="s">
        <v>101</v>
      </c>
      <c r="P241" s="2" t="str">
        <f>"2170604920                    "</f>
        <v xml:space="preserve">2170604920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5.65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45.15</v>
      </c>
      <c r="BM241" s="2">
        <v>6.32</v>
      </c>
      <c r="BN241" s="2">
        <v>51.47</v>
      </c>
      <c r="BO241" s="2">
        <v>51.47</v>
      </c>
      <c r="BQ241" s="2" t="s">
        <v>128</v>
      </c>
      <c r="BR241" s="2" t="s">
        <v>103</v>
      </c>
      <c r="BS241" s="3">
        <v>43074</v>
      </c>
      <c r="BT241" s="4">
        <v>0.31458333333333333</v>
      </c>
      <c r="BU241" s="2" t="s">
        <v>663</v>
      </c>
      <c r="BV241" s="2" t="s">
        <v>85</v>
      </c>
      <c r="BY241" s="2">
        <v>1200</v>
      </c>
      <c r="BZ241" s="2" t="s">
        <v>27</v>
      </c>
      <c r="CA241" s="2" t="s">
        <v>448</v>
      </c>
      <c r="CC241" s="2" t="s">
        <v>137</v>
      </c>
      <c r="CD241" s="2">
        <v>6012</v>
      </c>
      <c r="CE241" s="2" t="s">
        <v>120</v>
      </c>
      <c r="CF241" s="3">
        <v>43075</v>
      </c>
      <c r="CI241" s="2">
        <v>1</v>
      </c>
      <c r="CJ241" s="2">
        <v>1</v>
      </c>
      <c r="CK241" s="2">
        <v>21</v>
      </c>
      <c r="CL241" s="2" t="s">
        <v>89</v>
      </c>
    </row>
    <row r="242" spans="1:90">
      <c r="A242" s="2" t="s">
        <v>71</v>
      </c>
      <c r="B242" s="2" t="s">
        <v>72</v>
      </c>
      <c r="C242" s="2" t="s">
        <v>73</v>
      </c>
      <c r="E242" s="2" t="str">
        <f>"FES1162593253"</f>
        <v>FES1162593253</v>
      </c>
      <c r="F242" s="3">
        <v>43070</v>
      </c>
      <c r="G242" s="2">
        <v>201806</v>
      </c>
      <c r="H242" s="2" t="s">
        <v>74</v>
      </c>
      <c r="I242" s="2" t="s">
        <v>75</v>
      </c>
      <c r="J242" s="2" t="s">
        <v>97</v>
      </c>
      <c r="K242" s="2" t="s">
        <v>77</v>
      </c>
      <c r="L242" s="2" t="s">
        <v>125</v>
      </c>
      <c r="M242" s="2" t="s">
        <v>126</v>
      </c>
      <c r="N242" s="2" t="s">
        <v>664</v>
      </c>
      <c r="O242" s="2" t="s">
        <v>101</v>
      </c>
      <c r="P242" s="2" t="str">
        <f>"2170605214                    "</f>
        <v xml:space="preserve">2170605214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12.71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4.3</v>
      </c>
      <c r="BJ242" s="2">
        <v>3.6</v>
      </c>
      <c r="BK242" s="2">
        <v>4.5</v>
      </c>
      <c r="BL242" s="2">
        <v>101.56</v>
      </c>
      <c r="BM242" s="2">
        <v>14.22</v>
      </c>
      <c r="BN242" s="2">
        <v>115.78</v>
      </c>
      <c r="BO242" s="2">
        <v>115.78</v>
      </c>
      <c r="BQ242" s="2" t="s">
        <v>102</v>
      </c>
      <c r="BR242" s="2" t="s">
        <v>103</v>
      </c>
      <c r="BS242" s="3">
        <v>43073</v>
      </c>
      <c r="BT242" s="4">
        <v>0.42708333333333331</v>
      </c>
      <c r="BU242" s="2" t="s">
        <v>665</v>
      </c>
      <c r="BV242" s="2" t="s">
        <v>85</v>
      </c>
      <c r="BY242" s="2">
        <v>17976.919999999998</v>
      </c>
      <c r="BZ242" s="2" t="s">
        <v>27</v>
      </c>
      <c r="CA242" s="2" t="s">
        <v>666</v>
      </c>
      <c r="CC242" s="2" t="s">
        <v>126</v>
      </c>
      <c r="CD242" s="2">
        <v>4001</v>
      </c>
      <c r="CE242" s="2" t="s">
        <v>95</v>
      </c>
      <c r="CF242" s="3">
        <v>43074</v>
      </c>
      <c r="CI242" s="2">
        <v>1</v>
      </c>
      <c r="CJ242" s="2">
        <v>1</v>
      </c>
      <c r="CK242" s="2">
        <v>21</v>
      </c>
      <c r="CL242" s="2" t="s">
        <v>89</v>
      </c>
    </row>
    <row r="243" spans="1:90">
      <c r="A243" s="2" t="s">
        <v>71</v>
      </c>
      <c r="B243" s="2" t="s">
        <v>72</v>
      </c>
      <c r="C243" s="2" t="s">
        <v>73</v>
      </c>
      <c r="E243" s="2" t="str">
        <f>"FES1162593515"</f>
        <v>FES1162593515</v>
      </c>
      <c r="F243" s="3">
        <v>43073</v>
      </c>
      <c r="G243" s="2">
        <v>201806</v>
      </c>
      <c r="H243" s="2" t="s">
        <v>74</v>
      </c>
      <c r="I243" s="2" t="s">
        <v>75</v>
      </c>
      <c r="J243" s="2" t="s">
        <v>97</v>
      </c>
      <c r="K243" s="2" t="s">
        <v>77</v>
      </c>
      <c r="L243" s="2" t="s">
        <v>189</v>
      </c>
      <c r="M243" s="2" t="s">
        <v>190</v>
      </c>
      <c r="N243" s="2" t="s">
        <v>199</v>
      </c>
      <c r="O243" s="2" t="s">
        <v>101</v>
      </c>
      <c r="P243" s="2" t="str">
        <f>"2170605580                    "</f>
        <v xml:space="preserve">2170605580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5.65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45.15</v>
      </c>
      <c r="BM243" s="2">
        <v>6.32</v>
      </c>
      <c r="BN243" s="2">
        <v>51.47</v>
      </c>
      <c r="BO243" s="2">
        <v>51.47</v>
      </c>
      <c r="BQ243" s="2" t="s">
        <v>102</v>
      </c>
      <c r="BR243" s="2" t="s">
        <v>103</v>
      </c>
      <c r="BS243" s="3">
        <v>43074</v>
      </c>
      <c r="BT243" s="4">
        <v>0.51180555555555551</v>
      </c>
      <c r="BU243" s="2" t="s">
        <v>667</v>
      </c>
      <c r="BV243" s="2" t="s">
        <v>89</v>
      </c>
      <c r="BW243" s="2" t="s">
        <v>156</v>
      </c>
      <c r="BX243" s="2" t="s">
        <v>668</v>
      </c>
      <c r="BY243" s="2">
        <v>1200</v>
      </c>
      <c r="BZ243" s="2" t="s">
        <v>27</v>
      </c>
      <c r="CA243" s="2" t="s">
        <v>669</v>
      </c>
      <c r="CC243" s="2" t="s">
        <v>190</v>
      </c>
      <c r="CD243" s="2">
        <v>157</v>
      </c>
      <c r="CE243" s="2" t="s">
        <v>120</v>
      </c>
      <c r="CF243" s="3">
        <v>43076</v>
      </c>
      <c r="CI243" s="2">
        <v>1</v>
      </c>
      <c r="CJ243" s="2">
        <v>1</v>
      </c>
      <c r="CK243" s="2">
        <v>21</v>
      </c>
      <c r="CL243" s="2" t="s">
        <v>89</v>
      </c>
    </row>
    <row r="244" spans="1:90">
      <c r="A244" s="2" t="s">
        <v>71</v>
      </c>
      <c r="B244" s="2" t="s">
        <v>72</v>
      </c>
      <c r="C244" s="2" t="s">
        <v>73</v>
      </c>
      <c r="E244" s="2" t="str">
        <f>"FES1162593340"</f>
        <v>FES1162593340</v>
      </c>
      <c r="F244" s="3">
        <v>43073</v>
      </c>
      <c r="G244" s="2">
        <v>201806</v>
      </c>
      <c r="H244" s="2" t="s">
        <v>74</v>
      </c>
      <c r="I244" s="2" t="s">
        <v>75</v>
      </c>
      <c r="J244" s="2" t="s">
        <v>97</v>
      </c>
      <c r="K244" s="2" t="s">
        <v>77</v>
      </c>
      <c r="L244" s="2" t="s">
        <v>158</v>
      </c>
      <c r="M244" s="2" t="s">
        <v>159</v>
      </c>
      <c r="N244" s="2" t="s">
        <v>164</v>
      </c>
      <c r="O244" s="2" t="s">
        <v>101</v>
      </c>
      <c r="P244" s="2" t="str">
        <f>"21706095568                   "</f>
        <v xml:space="preserve">21706095568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5.65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45.15</v>
      </c>
      <c r="BM244" s="2">
        <v>6.32</v>
      </c>
      <c r="BN244" s="2">
        <v>51.47</v>
      </c>
      <c r="BO244" s="2">
        <v>51.47</v>
      </c>
      <c r="BQ244" s="2" t="s">
        <v>102</v>
      </c>
      <c r="BR244" s="2" t="s">
        <v>103</v>
      </c>
      <c r="BS244" s="3">
        <v>43074</v>
      </c>
      <c r="BT244" s="4">
        <v>0.52847222222222223</v>
      </c>
      <c r="BU244" s="2" t="s">
        <v>606</v>
      </c>
      <c r="BV244" s="2" t="s">
        <v>89</v>
      </c>
      <c r="BW244" s="2" t="s">
        <v>156</v>
      </c>
      <c r="BX244" s="2" t="s">
        <v>565</v>
      </c>
      <c r="BY244" s="2">
        <v>1200</v>
      </c>
      <c r="BZ244" s="2" t="s">
        <v>27</v>
      </c>
      <c r="CC244" s="2" t="s">
        <v>159</v>
      </c>
      <c r="CD244" s="2">
        <v>200</v>
      </c>
      <c r="CE244" s="2" t="s">
        <v>120</v>
      </c>
      <c r="CF244" s="3">
        <v>43075</v>
      </c>
      <c r="CI244" s="2">
        <v>1</v>
      </c>
      <c r="CJ244" s="2">
        <v>1</v>
      </c>
      <c r="CK244" s="2">
        <v>21</v>
      </c>
      <c r="CL244" s="2" t="s">
        <v>89</v>
      </c>
    </row>
    <row r="245" spans="1:90">
      <c r="A245" s="2" t="s">
        <v>71</v>
      </c>
      <c r="B245" s="2" t="s">
        <v>72</v>
      </c>
      <c r="C245" s="2" t="s">
        <v>73</v>
      </c>
      <c r="E245" s="2" t="str">
        <f>"FES1162259"</f>
        <v>FES1162259</v>
      </c>
      <c r="F245" s="3">
        <v>43070</v>
      </c>
      <c r="G245" s="2">
        <v>201806</v>
      </c>
      <c r="H245" s="2" t="s">
        <v>74</v>
      </c>
      <c r="I245" s="2" t="s">
        <v>75</v>
      </c>
      <c r="J245" s="2" t="s">
        <v>97</v>
      </c>
      <c r="K245" s="2" t="s">
        <v>77</v>
      </c>
      <c r="L245" s="2" t="s">
        <v>98</v>
      </c>
      <c r="M245" s="2" t="s">
        <v>99</v>
      </c>
      <c r="N245" s="2" t="s">
        <v>670</v>
      </c>
      <c r="O245" s="2" t="s">
        <v>101</v>
      </c>
      <c r="P245" s="2" t="str">
        <f>"2170604079                    "</f>
        <v xml:space="preserve">2170604079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16.940000000000001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6</v>
      </c>
      <c r="BJ245" s="2">
        <v>1.7</v>
      </c>
      <c r="BK245" s="2">
        <v>6</v>
      </c>
      <c r="BL245" s="2">
        <v>135.4</v>
      </c>
      <c r="BM245" s="2">
        <v>18.96</v>
      </c>
      <c r="BN245" s="2">
        <v>154.36000000000001</v>
      </c>
      <c r="BO245" s="2">
        <v>154.36000000000001</v>
      </c>
      <c r="BQ245" s="2" t="s">
        <v>102</v>
      </c>
      <c r="BR245" s="2" t="s">
        <v>103</v>
      </c>
      <c r="BS245" s="3">
        <v>43073</v>
      </c>
      <c r="BT245" s="4">
        <v>0.39583333333333331</v>
      </c>
      <c r="BU245" s="2" t="s">
        <v>671</v>
      </c>
      <c r="BV245" s="2" t="s">
        <v>85</v>
      </c>
      <c r="BY245" s="2">
        <v>8612.73</v>
      </c>
      <c r="BZ245" s="2" t="s">
        <v>27</v>
      </c>
      <c r="CA245" s="2" t="s">
        <v>105</v>
      </c>
      <c r="CC245" s="2" t="s">
        <v>99</v>
      </c>
      <c r="CD245" s="2">
        <v>3200</v>
      </c>
      <c r="CE245" s="2" t="s">
        <v>95</v>
      </c>
      <c r="CF245" s="3">
        <v>43074</v>
      </c>
      <c r="CI245" s="2">
        <v>1</v>
      </c>
      <c r="CJ245" s="2">
        <v>1</v>
      </c>
      <c r="CK245" s="2">
        <v>21</v>
      </c>
      <c r="CL245" s="2" t="s">
        <v>89</v>
      </c>
    </row>
    <row r="246" spans="1:90">
      <c r="A246" s="2" t="s">
        <v>71</v>
      </c>
      <c r="B246" s="2" t="s">
        <v>72</v>
      </c>
      <c r="C246" s="2" t="s">
        <v>73</v>
      </c>
      <c r="E246" s="2" t="str">
        <f>"FES1162593404"</f>
        <v>FES1162593404</v>
      </c>
      <c r="F246" s="3">
        <v>43073</v>
      </c>
      <c r="G246" s="2">
        <v>201806</v>
      </c>
      <c r="H246" s="2" t="s">
        <v>74</v>
      </c>
      <c r="I246" s="2" t="s">
        <v>75</v>
      </c>
      <c r="J246" s="2" t="s">
        <v>97</v>
      </c>
      <c r="K246" s="2" t="s">
        <v>77</v>
      </c>
      <c r="L246" s="2" t="s">
        <v>90</v>
      </c>
      <c r="M246" s="2" t="s">
        <v>91</v>
      </c>
      <c r="N246" s="2" t="s">
        <v>92</v>
      </c>
      <c r="O246" s="2" t="s">
        <v>101</v>
      </c>
      <c r="P246" s="2" t="str">
        <f>"2170603228 3                  "</f>
        <v xml:space="preserve">2170603228 3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4.41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35.270000000000003</v>
      </c>
      <c r="BM246" s="2">
        <v>4.9400000000000004</v>
      </c>
      <c r="BN246" s="2">
        <v>40.21</v>
      </c>
      <c r="BO246" s="2">
        <v>40.21</v>
      </c>
      <c r="BQ246" s="2" t="s">
        <v>102</v>
      </c>
      <c r="BR246" s="2" t="s">
        <v>103</v>
      </c>
      <c r="BS246" s="3">
        <v>43076</v>
      </c>
      <c r="BT246" s="4">
        <v>0.55347222222222225</v>
      </c>
      <c r="BU246" s="2" t="s">
        <v>672</v>
      </c>
      <c r="BV246" s="2" t="s">
        <v>89</v>
      </c>
      <c r="BW246" s="2" t="s">
        <v>149</v>
      </c>
      <c r="BX246" s="2" t="s">
        <v>668</v>
      </c>
      <c r="BY246" s="2">
        <v>1200</v>
      </c>
      <c r="BZ246" s="2" t="s">
        <v>27</v>
      </c>
      <c r="CA246" s="2" t="s">
        <v>362</v>
      </c>
      <c r="CC246" s="2" t="s">
        <v>91</v>
      </c>
      <c r="CD246" s="2">
        <v>1559</v>
      </c>
      <c r="CE246" s="2" t="s">
        <v>120</v>
      </c>
      <c r="CF246" s="3">
        <v>43080</v>
      </c>
      <c r="CI246" s="2">
        <v>1</v>
      </c>
      <c r="CJ246" s="2">
        <v>3</v>
      </c>
      <c r="CK246" s="2">
        <v>22</v>
      </c>
      <c r="CL246" s="2" t="s">
        <v>89</v>
      </c>
    </row>
    <row r="247" spans="1:90">
      <c r="A247" s="2" t="s">
        <v>71</v>
      </c>
      <c r="B247" s="2" t="s">
        <v>72</v>
      </c>
      <c r="C247" s="2" t="s">
        <v>73</v>
      </c>
      <c r="E247" s="2" t="str">
        <f>"FES1162593176"</f>
        <v>FES1162593176</v>
      </c>
      <c r="F247" s="3">
        <v>43070</v>
      </c>
      <c r="G247" s="2">
        <v>201806</v>
      </c>
      <c r="H247" s="2" t="s">
        <v>74</v>
      </c>
      <c r="I247" s="2" t="s">
        <v>75</v>
      </c>
      <c r="J247" s="2" t="s">
        <v>97</v>
      </c>
      <c r="K247" s="2" t="s">
        <v>77</v>
      </c>
      <c r="L247" s="2" t="s">
        <v>90</v>
      </c>
      <c r="M247" s="2" t="s">
        <v>91</v>
      </c>
      <c r="N247" s="2" t="s">
        <v>673</v>
      </c>
      <c r="O247" s="2" t="s">
        <v>101</v>
      </c>
      <c r="P247" s="2" t="str">
        <f>"2170597279                    "</f>
        <v xml:space="preserve">2170597279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4.41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5</v>
      </c>
      <c r="BJ247" s="2">
        <v>2.5</v>
      </c>
      <c r="BK247" s="2">
        <v>5</v>
      </c>
      <c r="BL247" s="2">
        <v>35.270000000000003</v>
      </c>
      <c r="BM247" s="2">
        <v>4.9400000000000004</v>
      </c>
      <c r="BN247" s="2">
        <v>40.21</v>
      </c>
      <c r="BO247" s="2">
        <v>40.21</v>
      </c>
      <c r="BQ247" s="2" t="s">
        <v>82</v>
      </c>
      <c r="BR247" s="2" t="s">
        <v>103</v>
      </c>
      <c r="BS247" s="3">
        <v>43073</v>
      </c>
      <c r="BT247" s="4">
        <v>0.4375</v>
      </c>
      <c r="BU247" s="2" t="s">
        <v>674</v>
      </c>
      <c r="BV247" s="2" t="s">
        <v>85</v>
      </c>
      <c r="BY247" s="2">
        <v>12636</v>
      </c>
      <c r="CC247" s="2" t="s">
        <v>91</v>
      </c>
      <c r="CD247" s="2">
        <v>1559</v>
      </c>
      <c r="CE247" s="2" t="s">
        <v>95</v>
      </c>
      <c r="CF247" s="3">
        <v>43075</v>
      </c>
      <c r="CI247" s="2">
        <v>1</v>
      </c>
      <c r="CJ247" s="2">
        <v>1</v>
      </c>
      <c r="CK247" s="2">
        <v>22</v>
      </c>
      <c r="CL247" s="2" t="s">
        <v>89</v>
      </c>
    </row>
    <row r="248" spans="1:90">
      <c r="A248" s="2" t="s">
        <v>71</v>
      </c>
      <c r="B248" s="2" t="s">
        <v>72</v>
      </c>
      <c r="C248" s="2" t="s">
        <v>73</v>
      </c>
      <c r="E248" s="2" t="str">
        <f>"FES1162593452"</f>
        <v>FES1162593452</v>
      </c>
      <c r="F248" s="3">
        <v>43073</v>
      </c>
      <c r="G248" s="2">
        <v>201806</v>
      </c>
      <c r="H248" s="2" t="s">
        <v>74</v>
      </c>
      <c r="I248" s="2" t="s">
        <v>75</v>
      </c>
      <c r="J248" s="2" t="s">
        <v>97</v>
      </c>
      <c r="K248" s="2" t="s">
        <v>77</v>
      </c>
      <c r="L248" s="2" t="s">
        <v>158</v>
      </c>
      <c r="M248" s="2" t="s">
        <v>159</v>
      </c>
      <c r="N248" s="2" t="s">
        <v>675</v>
      </c>
      <c r="O248" s="2" t="s">
        <v>101</v>
      </c>
      <c r="P248" s="2" t="str">
        <f>"2170604395                    "</f>
        <v xml:space="preserve">2170604395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5.65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45.15</v>
      </c>
      <c r="BM248" s="2">
        <v>6.32</v>
      </c>
      <c r="BN248" s="2">
        <v>51.47</v>
      </c>
      <c r="BO248" s="2">
        <v>51.47</v>
      </c>
      <c r="BQ248" s="2" t="s">
        <v>676</v>
      </c>
      <c r="BR248" s="2" t="s">
        <v>103</v>
      </c>
      <c r="BS248" s="3">
        <v>43074</v>
      </c>
      <c r="BT248" s="4">
        <v>0.3972222222222222</v>
      </c>
      <c r="BU248" s="2" t="s">
        <v>677</v>
      </c>
      <c r="BV248" s="2" t="s">
        <v>85</v>
      </c>
      <c r="BY248" s="2">
        <v>1200</v>
      </c>
      <c r="BZ248" s="2" t="s">
        <v>27</v>
      </c>
      <c r="CA248" s="2" t="s">
        <v>678</v>
      </c>
      <c r="CC248" s="2" t="s">
        <v>159</v>
      </c>
      <c r="CD248" s="2">
        <v>184</v>
      </c>
      <c r="CE248" s="2" t="s">
        <v>120</v>
      </c>
      <c r="CF248" s="3">
        <v>43076</v>
      </c>
      <c r="CI248" s="2">
        <v>1</v>
      </c>
      <c r="CJ248" s="2">
        <v>1</v>
      </c>
      <c r="CK248" s="2">
        <v>21</v>
      </c>
      <c r="CL248" s="2" t="s">
        <v>89</v>
      </c>
    </row>
    <row r="249" spans="1:90">
      <c r="A249" s="2" t="s">
        <v>71</v>
      </c>
      <c r="B249" s="2" t="s">
        <v>72</v>
      </c>
      <c r="C249" s="2" t="s">
        <v>73</v>
      </c>
      <c r="E249" s="2" t="str">
        <f>"FES1162593283"</f>
        <v>FES1162593283</v>
      </c>
      <c r="F249" s="3">
        <v>43070</v>
      </c>
      <c r="G249" s="2">
        <v>201806</v>
      </c>
      <c r="H249" s="2" t="s">
        <v>74</v>
      </c>
      <c r="I249" s="2" t="s">
        <v>75</v>
      </c>
      <c r="J249" s="2" t="s">
        <v>97</v>
      </c>
      <c r="K249" s="2" t="s">
        <v>77</v>
      </c>
      <c r="L249" s="2" t="s">
        <v>173</v>
      </c>
      <c r="M249" s="2" t="s">
        <v>174</v>
      </c>
      <c r="N249" s="2" t="s">
        <v>679</v>
      </c>
      <c r="O249" s="2" t="s">
        <v>101</v>
      </c>
      <c r="P249" s="2" t="str">
        <f>"2170605577                    "</f>
        <v xml:space="preserve">2170605577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53.64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18.399999999999999</v>
      </c>
      <c r="BJ249" s="2">
        <v>18.7</v>
      </c>
      <c r="BK249" s="2">
        <v>19</v>
      </c>
      <c r="BL249" s="2">
        <v>428.72</v>
      </c>
      <c r="BM249" s="2">
        <v>60.02</v>
      </c>
      <c r="BN249" s="2">
        <v>488.74</v>
      </c>
      <c r="BO249" s="2">
        <v>488.74</v>
      </c>
      <c r="BQ249" s="2" t="s">
        <v>680</v>
      </c>
      <c r="BR249" s="2" t="s">
        <v>103</v>
      </c>
      <c r="BS249" s="3">
        <v>43074</v>
      </c>
      <c r="BT249" s="4">
        <v>0.45833333333333331</v>
      </c>
      <c r="BU249" s="2" t="s">
        <v>681</v>
      </c>
      <c r="BV249" s="2" t="s">
        <v>89</v>
      </c>
      <c r="BW249" s="2" t="s">
        <v>149</v>
      </c>
      <c r="BX249" s="2" t="s">
        <v>368</v>
      </c>
      <c r="BY249" s="2">
        <v>93308.54</v>
      </c>
      <c r="CC249" s="2" t="s">
        <v>174</v>
      </c>
      <c r="CD249" s="2">
        <v>7530</v>
      </c>
      <c r="CE249" s="2" t="s">
        <v>95</v>
      </c>
      <c r="CF249" s="3">
        <v>43074</v>
      </c>
      <c r="CI249" s="2">
        <v>1</v>
      </c>
      <c r="CJ249" s="2">
        <v>2</v>
      </c>
      <c r="CK249" s="2">
        <v>21</v>
      </c>
      <c r="CL249" s="2" t="s">
        <v>89</v>
      </c>
    </row>
    <row r="250" spans="1:90">
      <c r="A250" s="2" t="s">
        <v>71</v>
      </c>
      <c r="B250" s="2" t="s">
        <v>72</v>
      </c>
      <c r="C250" s="2" t="s">
        <v>73</v>
      </c>
      <c r="E250" s="2" t="str">
        <f>"FES1162593337"</f>
        <v>FES1162593337</v>
      </c>
      <c r="F250" s="3">
        <v>43073</v>
      </c>
      <c r="G250" s="2">
        <v>201806</v>
      </c>
      <c r="H250" s="2" t="s">
        <v>74</v>
      </c>
      <c r="I250" s="2" t="s">
        <v>75</v>
      </c>
      <c r="J250" s="2" t="s">
        <v>97</v>
      </c>
      <c r="K250" s="2" t="s">
        <v>77</v>
      </c>
      <c r="L250" s="2" t="s">
        <v>682</v>
      </c>
      <c r="M250" s="2" t="s">
        <v>683</v>
      </c>
      <c r="N250" s="2" t="s">
        <v>684</v>
      </c>
      <c r="O250" s="2" t="s">
        <v>101</v>
      </c>
      <c r="P250" s="2" t="str">
        <f>"2170608605                    "</f>
        <v xml:space="preserve">2170608605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10.94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0.2</v>
      </c>
      <c r="BK250" s="2">
        <v>1</v>
      </c>
      <c r="BL250" s="2">
        <v>87.47</v>
      </c>
      <c r="BM250" s="2">
        <v>12.25</v>
      </c>
      <c r="BN250" s="2">
        <v>99.72</v>
      </c>
      <c r="BO250" s="2">
        <v>99.72</v>
      </c>
      <c r="BQ250" s="2" t="s">
        <v>685</v>
      </c>
      <c r="BR250" s="2" t="s">
        <v>103</v>
      </c>
      <c r="BS250" s="3">
        <v>43074</v>
      </c>
      <c r="BT250" s="4">
        <v>0</v>
      </c>
      <c r="BU250" s="2" t="s">
        <v>597</v>
      </c>
      <c r="BV250" s="2" t="s">
        <v>85</v>
      </c>
      <c r="BY250" s="2">
        <v>1200</v>
      </c>
      <c r="BZ250" s="2" t="s">
        <v>27</v>
      </c>
      <c r="CC250" s="2" t="s">
        <v>683</v>
      </c>
      <c r="CD250" s="2">
        <v>6300</v>
      </c>
      <c r="CE250" s="2" t="s">
        <v>120</v>
      </c>
      <c r="CF250" s="3">
        <v>43087</v>
      </c>
      <c r="CI250" s="2">
        <v>3</v>
      </c>
      <c r="CJ250" s="2">
        <v>1</v>
      </c>
      <c r="CK250" s="2">
        <v>23</v>
      </c>
      <c r="CL250" s="2" t="s">
        <v>89</v>
      </c>
    </row>
    <row r="251" spans="1:90">
      <c r="A251" s="2" t="s">
        <v>71</v>
      </c>
      <c r="B251" s="2" t="s">
        <v>72</v>
      </c>
      <c r="C251" s="2" t="s">
        <v>73</v>
      </c>
      <c r="E251" s="2" t="str">
        <f>"FES1162593632"</f>
        <v>FES1162593632</v>
      </c>
      <c r="F251" s="3">
        <v>43073</v>
      </c>
      <c r="G251" s="2">
        <v>201806</v>
      </c>
      <c r="H251" s="2" t="s">
        <v>74</v>
      </c>
      <c r="I251" s="2" t="s">
        <v>75</v>
      </c>
      <c r="J251" s="2" t="s">
        <v>97</v>
      </c>
      <c r="K251" s="2" t="s">
        <v>77</v>
      </c>
      <c r="L251" s="2" t="s">
        <v>145</v>
      </c>
      <c r="M251" s="2" t="s">
        <v>146</v>
      </c>
      <c r="N251" s="2" t="s">
        <v>147</v>
      </c>
      <c r="O251" s="2" t="s">
        <v>101</v>
      </c>
      <c r="P251" s="2" t="str">
        <f>"2170604070                    "</f>
        <v xml:space="preserve">2170604070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5.65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45.15</v>
      </c>
      <c r="BM251" s="2">
        <v>6.32</v>
      </c>
      <c r="BN251" s="2">
        <v>51.47</v>
      </c>
      <c r="BO251" s="2">
        <v>51.47</v>
      </c>
      <c r="BQ251" s="2" t="s">
        <v>686</v>
      </c>
      <c r="BR251" s="2" t="s">
        <v>103</v>
      </c>
      <c r="BS251" s="3">
        <v>43074</v>
      </c>
      <c r="BT251" s="4">
        <v>0.41666666666666669</v>
      </c>
      <c r="BU251" s="2" t="s">
        <v>148</v>
      </c>
      <c r="BV251" s="2" t="s">
        <v>85</v>
      </c>
      <c r="BY251" s="2">
        <v>1200</v>
      </c>
      <c r="BZ251" s="2" t="s">
        <v>27</v>
      </c>
      <c r="CC251" s="2" t="s">
        <v>146</v>
      </c>
      <c r="CD251" s="2">
        <v>5201</v>
      </c>
      <c r="CE251" s="2" t="s">
        <v>120</v>
      </c>
      <c r="CF251" s="3">
        <v>43076</v>
      </c>
      <c r="CI251" s="2">
        <v>1</v>
      </c>
      <c r="CJ251" s="2">
        <v>1</v>
      </c>
      <c r="CK251" s="2">
        <v>21</v>
      </c>
      <c r="CL251" s="2" t="s">
        <v>89</v>
      </c>
    </row>
    <row r="252" spans="1:90">
      <c r="A252" s="2" t="s">
        <v>71</v>
      </c>
      <c r="B252" s="2" t="s">
        <v>72</v>
      </c>
      <c r="C252" s="2" t="s">
        <v>73</v>
      </c>
      <c r="E252" s="2" t="str">
        <f>"FES1162593278"</f>
        <v>FES1162593278</v>
      </c>
      <c r="F252" s="3">
        <v>43070</v>
      </c>
      <c r="G252" s="2">
        <v>201806</v>
      </c>
      <c r="H252" s="2" t="s">
        <v>74</v>
      </c>
      <c r="I252" s="2" t="s">
        <v>75</v>
      </c>
      <c r="J252" s="2" t="s">
        <v>97</v>
      </c>
      <c r="K252" s="2" t="s">
        <v>77</v>
      </c>
      <c r="L252" s="2" t="s">
        <v>152</v>
      </c>
      <c r="M252" s="2" t="s">
        <v>153</v>
      </c>
      <c r="N252" s="2" t="s">
        <v>309</v>
      </c>
      <c r="O252" s="2" t="s">
        <v>101</v>
      </c>
      <c r="P252" s="2" t="str">
        <f>"2170605574                    "</f>
        <v xml:space="preserve">2170605574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4.41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35.270000000000003</v>
      </c>
      <c r="BM252" s="2">
        <v>4.9400000000000004</v>
      </c>
      <c r="BN252" s="2">
        <v>40.21</v>
      </c>
      <c r="BO252" s="2">
        <v>40.21</v>
      </c>
      <c r="BQ252" s="2" t="s">
        <v>390</v>
      </c>
      <c r="BR252" s="2" t="s">
        <v>103</v>
      </c>
      <c r="BS252" s="3">
        <v>43073</v>
      </c>
      <c r="BT252" s="4">
        <v>0.38263888888888892</v>
      </c>
      <c r="BU252" s="2" t="s">
        <v>687</v>
      </c>
      <c r="BV252" s="2" t="s">
        <v>85</v>
      </c>
      <c r="BY252" s="2">
        <v>1200</v>
      </c>
      <c r="BZ252" s="2" t="s">
        <v>27</v>
      </c>
      <c r="CA252" s="2" t="s">
        <v>392</v>
      </c>
      <c r="CC252" s="2" t="s">
        <v>153</v>
      </c>
      <c r="CD252" s="2">
        <v>1406</v>
      </c>
      <c r="CE252" s="2" t="s">
        <v>120</v>
      </c>
      <c r="CF252" s="3">
        <v>43074</v>
      </c>
      <c r="CI252" s="2">
        <v>1</v>
      </c>
      <c r="CJ252" s="2">
        <v>1</v>
      </c>
      <c r="CK252" s="2">
        <v>22</v>
      </c>
      <c r="CL252" s="2" t="s">
        <v>89</v>
      </c>
    </row>
    <row r="253" spans="1:90">
      <c r="A253" s="2" t="s">
        <v>71</v>
      </c>
      <c r="B253" s="2" t="s">
        <v>72</v>
      </c>
      <c r="C253" s="2" t="s">
        <v>73</v>
      </c>
      <c r="E253" s="2" t="str">
        <f>"FES1162593396"</f>
        <v>FES1162593396</v>
      </c>
      <c r="F253" s="3">
        <v>43073</v>
      </c>
      <c r="G253" s="2">
        <v>201806</v>
      </c>
      <c r="H253" s="2" t="s">
        <v>74</v>
      </c>
      <c r="I253" s="2" t="s">
        <v>75</v>
      </c>
      <c r="J253" s="2" t="s">
        <v>97</v>
      </c>
      <c r="K253" s="2" t="s">
        <v>77</v>
      </c>
      <c r="L253" s="2" t="s">
        <v>74</v>
      </c>
      <c r="M253" s="2" t="s">
        <v>75</v>
      </c>
      <c r="N253" s="2" t="s">
        <v>688</v>
      </c>
      <c r="O253" s="2" t="s">
        <v>101</v>
      </c>
      <c r="P253" s="2" t="str">
        <f>"2170603124                    "</f>
        <v xml:space="preserve">2170603124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4.41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35.270000000000003</v>
      </c>
      <c r="BM253" s="2">
        <v>4.9400000000000004</v>
      </c>
      <c r="BN253" s="2">
        <v>40.21</v>
      </c>
      <c r="BO253" s="2">
        <v>40.21</v>
      </c>
      <c r="BQ253" s="2" t="s">
        <v>82</v>
      </c>
      <c r="BR253" s="2" t="s">
        <v>103</v>
      </c>
      <c r="BS253" s="3">
        <v>43074</v>
      </c>
      <c r="BT253" s="4">
        <v>0.4375</v>
      </c>
      <c r="BU253" s="2" t="s">
        <v>689</v>
      </c>
      <c r="BV253" s="2" t="s">
        <v>85</v>
      </c>
      <c r="BY253" s="2">
        <v>1200</v>
      </c>
      <c r="BZ253" s="2" t="s">
        <v>27</v>
      </c>
      <c r="CA253" s="2" t="s">
        <v>203</v>
      </c>
      <c r="CC253" s="2" t="s">
        <v>75</v>
      </c>
      <c r="CD253" s="2">
        <v>1666</v>
      </c>
      <c r="CE253" s="2" t="s">
        <v>120</v>
      </c>
      <c r="CF253" s="3">
        <v>43077</v>
      </c>
      <c r="CI253" s="2">
        <v>1</v>
      </c>
      <c r="CJ253" s="2">
        <v>1</v>
      </c>
      <c r="CK253" s="2">
        <v>22</v>
      </c>
      <c r="CL253" s="2" t="s">
        <v>89</v>
      </c>
    </row>
    <row r="254" spans="1:90">
      <c r="A254" s="2" t="s">
        <v>71</v>
      </c>
      <c r="B254" s="2" t="s">
        <v>72</v>
      </c>
      <c r="C254" s="2" t="s">
        <v>73</v>
      </c>
      <c r="E254" s="2" t="str">
        <f>"FES1162593062"</f>
        <v>FES1162593062</v>
      </c>
      <c r="F254" s="3">
        <v>43070</v>
      </c>
      <c r="G254" s="2">
        <v>201806</v>
      </c>
      <c r="H254" s="2" t="s">
        <v>74</v>
      </c>
      <c r="I254" s="2" t="s">
        <v>75</v>
      </c>
      <c r="J254" s="2" t="s">
        <v>97</v>
      </c>
      <c r="K254" s="2" t="s">
        <v>77</v>
      </c>
      <c r="L254" s="2" t="s">
        <v>98</v>
      </c>
      <c r="M254" s="2" t="s">
        <v>99</v>
      </c>
      <c r="N254" s="2" t="s">
        <v>670</v>
      </c>
      <c r="O254" s="2" t="s">
        <v>101</v>
      </c>
      <c r="P254" s="2" t="str">
        <f>"2170604037                    "</f>
        <v xml:space="preserve">2170604037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8.4700000000000006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3</v>
      </c>
      <c r="BJ254" s="2">
        <v>1.5</v>
      </c>
      <c r="BK254" s="2">
        <v>3</v>
      </c>
      <c r="BL254" s="2">
        <v>67.709999999999994</v>
      </c>
      <c r="BM254" s="2">
        <v>9.48</v>
      </c>
      <c r="BN254" s="2">
        <v>77.19</v>
      </c>
      <c r="BO254" s="2">
        <v>77.19</v>
      </c>
      <c r="BQ254" s="2" t="s">
        <v>102</v>
      </c>
      <c r="BR254" s="2" t="s">
        <v>103</v>
      </c>
      <c r="BS254" s="3">
        <v>43073</v>
      </c>
      <c r="BT254" s="4">
        <v>0.39583333333333331</v>
      </c>
      <c r="BU254" s="2" t="s">
        <v>671</v>
      </c>
      <c r="BV254" s="2" t="s">
        <v>85</v>
      </c>
      <c r="BY254" s="2">
        <v>7416.36</v>
      </c>
      <c r="BZ254" s="2" t="s">
        <v>27</v>
      </c>
      <c r="CA254" s="2" t="s">
        <v>105</v>
      </c>
      <c r="CC254" s="2" t="s">
        <v>99</v>
      </c>
      <c r="CD254" s="2">
        <v>3200</v>
      </c>
      <c r="CE254" s="2" t="s">
        <v>95</v>
      </c>
      <c r="CF254" s="3">
        <v>43074</v>
      </c>
      <c r="CI254" s="2">
        <v>1</v>
      </c>
      <c r="CJ254" s="2">
        <v>1</v>
      </c>
      <c r="CK254" s="2">
        <v>21</v>
      </c>
      <c r="CL254" s="2" t="s">
        <v>89</v>
      </c>
    </row>
    <row r="255" spans="1:90">
      <c r="A255" s="2" t="s">
        <v>71</v>
      </c>
      <c r="B255" s="2" t="s">
        <v>72</v>
      </c>
      <c r="C255" s="2" t="s">
        <v>73</v>
      </c>
      <c r="E255" s="2" t="str">
        <f>"FES1162593367"</f>
        <v>FES1162593367</v>
      </c>
      <c r="F255" s="3">
        <v>43073</v>
      </c>
      <c r="G255" s="2">
        <v>201806</v>
      </c>
      <c r="H255" s="2" t="s">
        <v>74</v>
      </c>
      <c r="I255" s="2" t="s">
        <v>75</v>
      </c>
      <c r="J255" s="2" t="s">
        <v>97</v>
      </c>
      <c r="K255" s="2" t="s">
        <v>77</v>
      </c>
      <c r="L255" s="2" t="s">
        <v>136</v>
      </c>
      <c r="M255" s="2" t="s">
        <v>137</v>
      </c>
      <c r="N255" s="2" t="s">
        <v>138</v>
      </c>
      <c r="O255" s="2" t="s">
        <v>101</v>
      </c>
      <c r="P255" s="2" t="str">
        <f>"2170602560                    "</f>
        <v xml:space="preserve">2170602560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5.65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45.15</v>
      </c>
      <c r="BM255" s="2">
        <v>6.32</v>
      </c>
      <c r="BN255" s="2">
        <v>51.47</v>
      </c>
      <c r="BO255" s="2">
        <v>51.47</v>
      </c>
      <c r="BQ255" s="2" t="s">
        <v>82</v>
      </c>
      <c r="BR255" s="2" t="s">
        <v>103</v>
      </c>
      <c r="BS255" s="3">
        <v>43074</v>
      </c>
      <c r="BT255" s="4">
        <v>0.35416666666666669</v>
      </c>
      <c r="BU255" s="2" t="s">
        <v>690</v>
      </c>
      <c r="BV255" s="2" t="s">
        <v>85</v>
      </c>
      <c r="BY255" s="2">
        <v>1200</v>
      </c>
      <c r="BZ255" s="2" t="s">
        <v>27</v>
      </c>
      <c r="CA255" s="2" t="s">
        <v>448</v>
      </c>
      <c r="CC255" s="2" t="s">
        <v>137</v>
      </c>
      <c r="CD255" s="2">
        <v>6001</v>
      </c>
      <c r="CE255" s="2" t="s">
        <v>120</v>
      </c>
      <c r="CF255" s="3">
        <v>43075</v>
      </c>
      <c r="CI255" s="2">
        <v>1</v>
      </c>
      <c r="CJ255" s="2">
        <v>1</v>
      </c>
      <c r="CK255" s="2">
        <v>21</v>
      </c>
      <c r="CL255" s="2" t="s">
        <v>89</v>
      </c>
    </row>
    <row r="256" spans="1:90">
      <c r="A256" s="2" t="s">
        <v>71</v>
      </c>
      <c r="B256" s="2" t="s">
        <v>72</v>
      </c>
      <c r="C256" s="2" t="s">
        <v>73</v>
      </c>
      <c r="E256" s="2" t="str">
        <f>"FES1162593198"</f>
        <v>FES1162593198</v>
      </c>
      <c r="F256" s="3">
        <v>43070</v>
      </c>
      <c r="G256" s="2">
        <v>201806</v>
      </c>
      <c r="H256" s="2" t="s">
        <v>74</v>
      </c>
      <c r="I256" s="2" t="s">
        <v>75</v>
      </c>
      <c r="J256" s="2" t="s">
        <v>97</v>
      </c>
      <c r="K256" s="2" t="s">
        <v>77</v>
      </c>
      <c r="L256" s="2" t="s">
        <v>547</v>
      </c>
      <c r="M256" s="2" t="s">
        <v>548</v>
      </c>
      <c r="N256" s="2" t="s">
        <v>691</v>
      </c>
      <c r="O256" s="2" t="s">
        <v>101</v>
      </c>
      <c r="P256" s="2" t="str">
        <f>"2170603250                    "</f>
        <v xml:space="preserve">2170603250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4.41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1</v>
      </c>
      <c r="BJ256" s="2">
        <v>0.2</v>
      </c>
      <c r="BK256" s="2">
        <v>1</v>
      </c>
      <c r="BL256" s="2">
        <v>35.270000000000003</v>
      </c>
      <c r="BM256" s="2">
        <v>4.9400000000000004</v>
      </c>
      <c r="BN256" s="2">
        <v>40.21</v>
      </c>
      <c r="BO256" s="2">
        <v>40.21</v>
      </c>
      <c r="BQ256" s="2" t="s">
        <v>82</v>
      </c>
      <c r="BR256" s="2" t="s">
        <v>103</v>
      </c>
      <c r="BS256" s="3">
        <v>43073</v>
      </c>
      <c r="BT256" s="4">
        <v>0.33333333333333331</v>
      </c>
      <c r="BU256" s="2" t="s">
        <v>692</v>
      </c>
      <c r="BV256" s="2" t="s">
        <v>85</v>
      </c>
      <c r="BY256" s="2">
        <v>1200</v>
      </c>
      <c r="CA256" s="2" t="s">
        <v>693</v>
      </c>
      <c r="CC256" s="2" t="s">
        <v>548</v>
      </c>
      <c r="CD256" s="2">
        <v>1501</v>
      </c>
      <c r="CE256" s="2" t="s">
        <v>120</v>
      </c>
      <c r="CF256" s="3">
        <v>43075</v>
      </c>
      <c r="CI256" s="2">
        <v>1</v>
      </c>
      <c r="CJ256" s="2">
        <v>1</v>
      </c>
      <c r="CK256" s="2">
        <v>22</v>
      </c>
      <c r="CL256" s="2" t="s">
        <v>89</v>
      </c>
    </row>
    <row r="257" spans="1:90">
      <c r="A257" s="2" t="s">
        <v>71</v>
      </c>
      <c r="B257" s="2" t="s">
        <v>72</v>
      </c>
      <c r="C257" s="2" t="s">
        <v>73</v>
      </c>
      <c r="E257" s="2" t="str">
        <f>"FES1162593409"</f>
        <v>FES1162593409</v>
      </c>
      <c r="F257" s="3">
        <v>43073</v>
      </c>
      <c r="G257" s="2">
        <v>201806</v>
      </c>
      <c r="H257" s="2" t="s">
        <v>74</v>
      </c>
      <c r="I257" s="2" t="s">
        <v>75</v>
      </c>
      <c r="J257" s="2" t="s">
        <v>97</v>
      </c>
      <c r="K257" s="2" t="s">
        <v>77</v>
      </c>
      <c r="L257" s="2" t="s">
        <v>136</v>
      </c>
      <c r="M257" s="2" t="s">
        <v>137</v>
      </c>
      <c r="N257" s="2" t="s">
        <v>138</v>
      </c>
      <c r="O257" s="2" t="s">
        <v>101</v>
      </c>
      <c r="P257" s="2" t="str">
        <f>"2170603283                    "</f>
        <v xml:space="preserve">2170603283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5.65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45.15</v>
      </c>
      <c r="BM257" s="2">
        <v>6.32</v>
      </c>
      <c r="BN257" s="2">
        <v>51.47</v>
      </c>
      <c r="BO257" s="2">
        <v>51.47</v>
      </c>
      <c r="BQ257" s="2" t="s">
        <v>82</v>
      </c>
      <c r="BR257" s="2" t="s">
        <v>103</v>
      </c>
      <c r="BS257" s="3">
        <v>43074</v>
      </c>
      <c r="BT257" s="4">
        <v>0.35416666666666669</v>
      </c>
      <c r="BU257" s="2" t="s">
        <v>690</v>
      </c>
      <c r="BV257" s="2" t="s">
        <v>85</v>
      </c>
      <c r="BY257" s="2">
        <v>1200</v>
      </c>
      <c r="BZ257" s="2" t="s">
        <v>27</v>
      </c>
      <c r="CA257" s="2" t="s">
        <v>448</v>
      </c>
      <c r="CC257" s="2" t="s">
        <v>137</v>
      </c>
      <c r="CD257" s="2">
        <v>6001</v>
      </c>
      <c r="CE257" s="2" t="s">
        <v>120</v>
      </c>
      <c r="CF257" s="3">
        <v>43075</v>
      </c>
      <c r="CI257" s="2">
        <v>1</v>
      </c>
      <c r="CJ257" s="2">
        <v>1</v>
      </c>
      <c r="CK257" s="2">
        <v>21</v>
      </c>
      <c r="CL257" s="2" t="s">
        <v>89</v>
      </c>
    </row>
    <row r="258" spans="1:90">
      <c r="A258" s="2" t="s">
        <v>71</v>
      </c>
      <c r="B258" s="2" t="s">
        <v>72</v>
      </c>
      <c r="C258" s="2" t="s">
        <v>73</v>
      </c>
      <c r="E258" s="2" t="str">
        <f>"FES1162593093"</f>
        <v>FES1162593093</v>
      </c>
      <c r="F258" s="3">
        <v>43070</v>
      </c>
      <c r="G258" s="2">
        <v>201806</v>
      </c>
      <c r="H258" s="2" t="s">
        <v>74</v>
      </c>
      <c r="I258" s="2" t="s">
        <v>75</v>
      </c>
      <c r="J258" s="2" t="s">
        <v>97</v>
      </c>
      <c r="K258" s="2" t="s">
        <v>77</v>
      </c>
      <c r="L258" s="2" t="s">
        <v>74</v>
      </c>
      <c r="M258" s="2" t="s">
        <v>75</v>
      </c>
      <c r="N258" s="2" t="s">
        <v>201</v>
      </c>
      <c r="O258" s="2" t="s">
        <v>101</v>
      </c>
      <c r="P258" s="2" t="str">
        <f>"2170604474                    "</f>
        <v xml:space="preserve">2170604474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4.41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1</v>
      </c>
      <c r="BJ258" s="2">
        <v>0.2</v>
      </c>
      <c r="BK258" s="2">
        <v>1</v>
      </c>
      <c r="BL258" s="2">
        <v>35.270000000000003</v>
      </c>
      <c r="BM258" s="2">
        <v>4.9400000000000004</v>
      </c>
      <c r="BN258" s="2">
        <v>40.21</v>
      </c>
      <c r="BO258" s="2">
        <v>40.21</v>
      </c>
      <c r="BQ258" s="2" t="s">
        <v>102</v>
      </c>
      <c r="BR258" s="2" t="s">
        <v>103</v>
      </c>
      <c r="BS258" s="3">
        <v>43073</v>
      </c>
      <c r="BT258" s="4">
        <v>0.4375</v>
      </c>
      <c r="BU258" s="2" t="s">
        <v>428</v>
      </c>
      <c r="BV258" s="2" t="s">
        <v>85</v>
      </c>
      <c r="BY258" s="2">
        <v>1200</v>
      </c>
      <c r="CC258" s="2" t="s">
        <v>75</v>
      </c>
      <c r="CD258" s="2">
        <v>1665</v>
      </c>
      <c r="CE258" s="2" t="s">
        <v>120</v>
      </c>
      <c r="CF258" s="3">
        <v>43075</v>
      </c>
      <c r="CI258" s="2">
        <v>1</v>
      </c>
      <c r="CJ258" s="2">
        <v>1</v>
      </c>
      <c r="CK258" s="2">
        <v>22</v>
      </c>
      <c r="CL258" s="2" t="s">
        <v>89</v>
      </c>
    </row>
    <row r="259" spans="1:90">
      <c r="A259" s="2" t="s">
        <v>71</v>
      </c>
      <c r="B259" s="2" t="s">
        <v>72</v>
      </c>
      <c r="C259" s="2" t="s">
        <v>73</v>
      </c>
      <c r="E259" s="2" t="str">
        <f>"FES1162593616"</f>
        <v>FES1162593616</v>
      </c>
      <c r="F259" s="3">
        <v>43073</v>
      </c>
      <c r="G259" s="2">
        <v>201806</v>
      </c>
      <c r="H259" s="2" t="s">
        <v>74</v>
      </c>
      <c r="I259" s="2" t="s">
        <v>75</v>
      </c>
      <c r="J259" s="2" t="s">
        <v>97</v>
      </c>
      <c r="K259" s="2" t="s">
        <v>77</v>
      </c>
      <c r="L259" s="2" t="s">
        <v>111</v>
      </c>
      <c r="M259" s="2" t="s">
        <v>112</v>
      </c>
      <c r="N259" s="2" t="s">
        <v>694</v>
      </c>
      <c r="O259" s="2" t="s">
        <v>101</v>
      </c>
      <c r="P259" s="2" t="str">
        <f>"2170605729                    "</f>
        <v xml:space="preserve">2170605729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5.65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</v>
      </c>
      <c r="BJ259" s="2">
        <v>0.2</v>
      </c>
      <c r="BK259" s="2">
        <v>1</v>
      </c>
      <c r="BL259" s="2">
        <v>45.15</v>
      </c>
      <c r="BM259" s="2">
        <v>6.32</v>
      </c>
      <c r="BN259" s="2">
        <v>51.47</v>
      </c>
      <c r="BO259" s="2">
        <v>51.47</v>
      </c>
      <c r="BQ259" s="2" t="s">
        <v>102</v>
      </c>
      <c r="BR259" s="2" t="s">
        <v>103</v>
      </c>
      <c r="BS259" s="3">
        <v>43074</v>
      </c>
      <c r="BT259" s="4">
        <v>0.34027777777777773</v>
      </c>
      <c r="BU259" s="2" t="s">
        <v>114</v>
      </c>
      <c r="BV259" s="2" t="s">
        <v>85</v>
      </c>
      <c r="BY259" s="2">
        <v>1200</v>
      </c>
      <c r="BZ259" s="2" t="s">
        <v>27</v>
      </c>
      <c r="CA259" s="2" t="s">
        <v>605</v>
      </c>
      <c r="CC259" s="2" t="s">
        <v>112</v>
      </c>
      <c r="CD259" s="2">
        <v>6220</v>
      </c>
      <c r="CE259" s="2" t="s">
        <v>120</v>
      </c>
      <c r="CF259" s="3">
        <v>43075</v>
      </c>
      <c r="CI259" s="2">
        <v>1</v>
      </c>
      <c r="CJ259" s="2">
        <v>1</v>
      </c>
      <c r="CK259" s="2">
        <v>21</v>
      </c>
      <c r="CL259" s="2" t="s">
        <v>89</v>
      </c>
    </row>
    <row r="260" spans="1:90">
      <c r="A260" s="2" t="s">
        <v>71</v>
      </c>
      <c r="B260" s="2" t="s">
        <v>72</v>
      </c>
      <c r="C260" s="2" t="s">
        <v>73</v>
      </c>
      <c r="E260" s="2" t="str">
        <f>"FES1162593244"</f>
        <v>FES1162593244</v>
      </c>
      <c r="F260" s="3">
        <v>43070</v>
      </c>
      <c r="G260" s="2">
        <v>201806</v>
      </c>
      <c r="H260" s="2" t="s">
        <v>74</v>
      </c>
      <c r="I260" s="2" t="s">
        <v>75</v>
      </c>
      <c r="J260" s="2" t="s">
        <v>97</v>
      </c>
      <c r="K260" s="2" t="s">
        <v>77</v>
      </c>
      <c r="L260" s="2" t="s">
        <v>74</v>
      </c>
      <c r="M260" s="2" t="s">
        <v>75</v>
      </c>
      <c r="N260" s="2" t="s">
        <v>695</v>
      </c>
      <c r="O260" s="2" t="s">
        <v>101</v>
      </c>
      <c r="P260" s="2" t="str">
        <f>"2170604521                    "</f>
        <v xml:space="preserve">2170604521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4.41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2.4</v>
      </c>
      <c r="BJ260" s="2">
        <v>0.7</v>
      </c>
      <c r="BK260" s="2">
        <v>3</v>
      </c>
      <c r="BL260" s="2">
        <v>35.270000000000003</v>
      </c>
      <c r="BM260" s="2">
        <v>4.9400000000000004</v>
      </c>
      <c r="BN260" s="2">
        <v>40.21</v>
      </c>
      <c r="BO260" s="2">
        <v>40.21</v>
      </c>
      <c r="BQ260" s="2" t="s">
        <v>696</v>
      </c>
      <c r="BR260" s="2" t="s">
        <v>103</v>
      </c>
      <c r="BS260" s="3">
        <v>43073</v>
      </c>
      <c r="BT260" s="4">
        <v>0.32222222222222224</v>
      </c>
      <c r="BU260" s="2" t="s">
        <v>697</v>
      </c>
      <c r="BV260" s="2" t="s">
        <v>85</v>
      </c>
      <c r="BY260" s="2">
        <v>3458.26</v>
      </c>
      <c r="BZ260" s="2" t="s">
        <v>27</v>
      </c>
      <c r="CA260" s="2" t="s">
        <v>366</v>
      </c>
      <c r="CC260" s="2" t="s">
        <v>75</v>
      </c>
      <c r="CD260" s="2">
        <v>1601</v>
      </c>
      <c r="CE260" s="2" t="s">
        <v>95</v>
      </c>
      <c r="CF260" s="3">
        <v>43074</v>
      </c>
      <c r="CI260" s="2">
        <v>1</v>
      </c>
      <c r="CJ260" s="2">
        <v>1</v>
      </c>
      <c r="CK260" s="2">
        <v>22</v>
      </c>
      <c r="CL260" s="2" t="s">
        <v>89</v>
      </c>
    </row>
    <row r="261" spans="1:90">
      <c r="A261" s="2" t="s">
        <v>71</v>
      </c>
      <c r="B261" s="2" t="s">
        <v>72</v>
      </c>
      <c r="C261" s="2" t="s">
        <v>73</v>
      </c>
      <c r="E261" s="2" t="str">
        <f>"FES1162593595"</f>
        <v>FES1162593595</v>
      </c>
      <c r="F261" s="3">
        <v>43073</v>
      </c>
      <c r="G261" s="2">
        <v>201806</v>
      </c>
      <c r="H261" s="2" t="s">
        <v>74</v>
      </c>
      <c r="I261" s="2" t="s">
        <v>75</v>
      </c>
      <c r="J261" s="2" t="s">
        <v>97</v>
      </c>
      <c r="K261" s="2" t="s">
        <v>77</v>
      </c>
      <c r="L261" s="2" t="s">
        <v>136</v>
      </c>
      <c r="M261" s="2" t="s">
        <v>137</v>
      </c>
      <c r="N261" s="2" t="s">
        <v>138</v>
      </c>
      <c r="O261" s="2" t="s">
        <v>101</v>
      </c>
      <c r="P261" s="2" t="str">
        <f>"2170605711                    "</f>
        <v xml:space="preserve">2170605711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5.65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1</v>
      </c>
      <c r="BJ261" s="2">
        <v>0.2</v>
      </c>
      <c r="BK261" s="2">
        <v>1</v>
      </c>
      <c r="BL261" s="2">
        <v>45.15</v>
      </c>
      <c r="BM261" s="2">
        <v>6.32</v>
      </c>
      <c r="BN261" s="2">
        <v>51.47</v>
      </c>
      <c r="BO261" s="2">
        <v>51.47</v>
      </c>
      <c r="BQ261" s="2" t="s">
        <v>82</v>
      </c>
      <c r="BR261" s="2" t="s">
        <v>103</v>
      </c>
      <c r="BS261" s="3">
        <v>43074</v>
      </c>
      <c r="BT261" s="4">
        <v>0.35416666666666669</v>
      </c>
      <c r="BU261" s="2" t="s">
        <v>690</v>
      </c>
      <c r="BV261" s="2" t="s">
        <v>85</v>
      </c>
      <c r="BY261" s="2">
        <v>1200</v>
      </c>
      <c r="BZ261" s="2" t="s">
        <v>27</v>
      </c>
      <c r="CA261" s="2" t="s">
        <v>448</v>
      </c>
      <c r="CC261" s="2" t="s">
        <v>137</v>
      </c>
      <c r="CD261" s="2">
        <v>6001</v>
      </c>
      <c r="CE261" s="2" t="s">
        <v>120</v>
      </c>
      <c r="CF261" s="3">
        <v>43075</v>
      </c>
      <c r="CI261" s="2">
        <v>1</v>
      </c>
      <c r="CJ261" s="2">
        <v>1</v>
      </c>
      <c r="CK261" s="2">
        <v>21</v>
      </c>
      <c r="CL261" s="2" t="s">
        <v>89</v>
      </c>
    </row>
    <row r="262" spans="1:90">
      <c r="A262" s="2" t="s">
        <v>71</v>
      </c>
      <c r="B262" s="2" t="s">
        <v>72</v>
      </c>
      <c r="C262" s="2" t="s">
        <v>73</v>
      </c>
      <c r="E262" s="2" t="str">
        <f>"FES1162593307"</f>
        <v>FES1162593307</v>
      </c>
      <c r="F262" s="3">
        <v>43070</v>
      </c>
      <c r="G262" s="2">
        <v>201806</v>
      </c>
      <c r="H262" s="2" t="s">
        <v>74</v>
      </c>
      <c r="I262" s="2" t="s">
        <v>75</v>
      </c>
      <c r="J262" s="2" t="s">
        <v>97</v>
      </c>
      <c r="K262" s="2" t="s">
        <v>77</v>
      </c>
      <c r="L262" s="2" t="s">
        <v>173</v>
      </c>
      <c r="M262" s="2" t="s">
        <v>174</v>
      </c>
      <c r="N262" s="2" t="s">
        <v>175</v>
      </c>
      <c r="O262" s="2" t="s">
        <v>101</v>
      </c>
      <c r="P262" s="2" t="str">
        <f>"2170605608                    "</f>
        <v xml:space="preserve">2170605608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5.65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45.15</v>
      </c>
      <c r="BM262" s="2">
        <v>6.32</v>
      </c>
      <c r="BN262" s="2">
        <v>51.47</v>
      </c>
      <c r="BO262" s="2">
        <v>51.47</v>
      </c>
      <c r="BQ262" s="2" t="s">
        <v>102</v>
      </c>
      <c r="BR262" s="2" t="s">
        <v>103</v>
      </c>
      <c r="BS262" s="3">
        <v>43073</v>
      </c>
      <c r="BT262" s="4">
        <v>0.42152777777777778</v>
      </c>
      <c r="BU262" s="2" t="s">
        <v>176</v>
      </c>
      <c r="BV262" s="2" t="s">
        <v>85</v>
      </c>
      <c r="BY262" s="2">
        <v>1200</v>
      </c>
      <c r="BZ262" s="2" t="s">
        <v>27</v>
      </c>
      <c r="CA262" s="2" t="s">
        <v>177</v>
      </c>
      <c r="CC262" s="2" t="s">
        <v>174</v>
      </c>
      <c r="CD262" s="2">
        <v>7405</v>
      </c>
      <c r="CE262" s="2" t="s">
        <v>120</v>
      </c>
      <c r="CF262" s="3">
        <v>43074</v>
      </c>
      <c r="CI262" s="2">
        <v>1</v>
      </c>
      <c r="CJ262" s="2">
        <v>1</v>
      </c>
      <c r="CK262" s="2">
        <v>21</v>
      </c>
      <c r="CL262" s="2" t="s">
        <v>89</v>
      </c>
    </row>
    <row r="263" spans="1:90">
      <c r="A263" s="2" t="s">
        <v>71</v>
      </c>
      <c r="B263" s="2" t="s">
        <v>72</v>
      </c>
      <c r="C263" s="2" t="s">
        <v>73</v>
      </c>
      <c r="E263" s="2" t="str">
        <f>"FES1162593378"</f>
        <v>FES1162593378</v>
      </c>
      <c r="F263" s="3">
        <v>43073</v>
      </c>
      <c r="G263" s="2">
        <v>201806</v>
      </c>
      <c r="H263" s="2" t="s">
        <v>74</v>
      </c>
      <c r="I263" s="2" t="s">
        <v>75</v>
      </c>
      <c r="J263" s="2" t="s">
        <v>97</v>
      </c>
      <c r="K263" s="2" t="s">
        <v>77</v>
      </c>
      <c r="L263" s="2" t="s">
        <v>115</v>
      </c>
      <c r="M263" s="2" t="s">
        <v>116</v>
      </c>
      <c r="N263" s="2" t="s">
        <v>698</v>
      </c>
      <c r="O263" s="2" t="s">
        <v>101</v>
      </c>
      <c r="P263" s="2" t="str">
        <f>"2170602879                    "</f>
        <v xml:space="preserve">2170602879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4.41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35.270000000000003</v>
      </c>
      <c r="BM263" s="2">
        <v>4.9400000000000004</v>
      </c>
      <c r="BN263" s="2">
        <v>40.21</v>
      </c>
      <c r="BO263" s="2">
        <v>40.21</v>
      </c>
      <c r="BQ263" s="2" t="s">
        <v>142</v>
      </c>
      <c r="BR263" s="2" t="s">
        <v>103</v>
      </c>
      <c r="BS263" s="3">
        <v>43077</v>
      </c>
      <c r="BT263" s="4">
        <v>0.32291666666666669</v>
      </c>
      <c r="BU263" s="2" t="s">
        <v>699</v>
      </c>
      <c r="BV263" s="2" t="s">
        <v>89</v>
      </c>
      <c r="BW263" s="2" t="s">
        <v>149</v>
      </c>
      <c r="BX263" s="2" t="s">
        <v>157</v>
      </c>
      <c r="BY263" s="2">
        <v>1200</v>
      </c>
      <c r="BZ263" s="2" t="s">
        <v>27</v>
      </c>
      <c r="CC263" s="2" t="s">
        <v>116</v>
      </c>
      <c r="CD263" s="2">
        <v>1459</v>
      </c>
      <c r="CE263" s="2" t="s">
        <v>120</v>
      </c>
      <c r="CF263" s="3">
        <v>43080</v>
      </c>
      <c r="CI263" s="2">
        <v>1</v>
      </c>
      <c r="CJ263" s="2">
        <v>4</v>
      </c>
      <c r="CK263" s="2">
        <v>22</v>
      </c>
      <c r="CL263" s="2" t="s">
        <v>89</v>
      </c>
    </row>
    <row r="264" spans="1:90">
      <c r="A264" s="2" t="s">
        <v>71</v>
      </c>
      <c r="B264" s="2" t="s">
        <v>72</v>
      </c>
      <c r="C264" s="2" t="s">
        <v>73</v>
      </c>
      <c r="E264" s="2" t="str">
        <f>"FES1162593217"</f>
        <v>FES1162593217</v>
      </c>
      <c r="F264" s="3">
        <v>43070</v>
      </c>
      <c r="G264" s="2">
        <v>201806</v>
      </c>
      <c r="H264" s="2" t="s">
        <v>74</v>
      </c>
      <c r="I264" s="2" t="s">
        <v>75</v>
      </c>
      <c r="J264" s="2" t="s">
        <v>97</v>
      </c>
      <c r="K264" s="2" t="s">
        <v>77</v>
      </c>
      <c r="L264" s="2" t="s">
        <v>158</v>
      </c>
      <c r="M264" s="2" t="s">
        <v>159</v>
      </c>
      <c r="N264" s="2" t="s">
        <v>700</v>
      </c>
      <c r="O264" s="2" t="s">
        <v>101</v>
      </c>
      <c r="P264" s="2" t="str">
        <f>"2170605520                    "</f>
        <v xml:space="preserve">2170605520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5.65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45.15</v>
      </c>
      <c r="BM264" s="2">
        <v>6.32</v>
      </c>
      <c r="BN264" s="2">
        <v>51.47</v>
      </c>
      <c r="BO264" s="2">
        <v>51.47</v>
      </c>
      <c r="BQ264" s="2" t="s">
        <v>102</v>
      </c>
      <c r="BR264" s="2" t="s">
        <v>103</v>
      </c>
      <c r="BS264" s="3">
        <v>43073</v>
      </c>
      <c r="BT264" s="4">
        <v>0.40972222222222227</v>
      </c>
      <c r="BU264" s="2" t="s">
        <v>701</v>
      </c>
      <c r="BV264" s="2" t="s">
        <v>85</v>
      </c>
      <c r="BY264" s="2">
        <v>1200</v>
      </c>
      <c r="BZ264" s="2" t="s">
        <v>27</v>
      </c>
      <c r="CA264" s="2" t="s">
        <v>702</v>
      </c>
      <c r="CC264" s="2" t="s">
        <v>159</v>
      </c>
      <c r="CD264" s="2">
        <v>184</v>
      </c>
      <c r="CE264" s="2" t="s">
        <v>120</v>
      </c>
      <c r="CF264" s="3">
        <v>43075</v>
      </c>
      <c r="CI264" s="2">
        <v>1</v>
      </c>
      <c r="CJ264" s="2">
        <v>1</v>
      </c>
      <c r="CK264" s="2">
        <v>21</v>
      </c>
      <c r="CL264" s="2" t="s">
        <v>89</v>
      </c>
    </row>
    <row r="265" spans="1:90">
      <c r="A265" s="2" t="s">
        <v>71</v>
      </c>
      <c r="B265" s="2" t="s">
        <v>72</v>
      </c>
      <c r="C265" s="2" t="s">
        <v>73</v>
      </c>
      <c r="E265" s="2" t="str">
        <f>"FES1162593360"</f>
        <v>FES1162593360</v>
      </c>
      <c r="F265" s="3">
        <v>43073</v>
      </c>
      <c r="G265" s="2">
        <v>201806</v>
      </c>
      <c r="H265" s="2" t="s">
        <v>74</v>
      </c>
      <c r="I265" s="2" t="s">
        <v>75</v>
      </c>
      <c r="J265" s="2" t="s">
        <v>97</v>
      </c>
      <c r="K265" s="2" t="s">
        <v>77</v>
      </c>
      <c r="L265" s="2" t="s">
        <v>136</v>
      </c>
      <c r="M265" s="2" t="s">
        <v>137</v>
      </c>
      <c r="N265" s="2" t="s">
        <v>138</v>
      </c>
      <c r="O265" s="2" t="s">
        <v>101</v>
      </c>
      <c r="P265" s="2" t="str">
        <f>"2170602533                    "</f>
        <v xml:space="preserve">2170602533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5.65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1</v>
      </c>
      <c r="BJ265" s="2">
        <v>0.2</v>
      </c>
      <c r="BK265" s="2">
        <v>1</v>
      </c>
      <c r="BL265" s="2">
        <v>45.15</v>
      </c>
      <c r="BM265" s="2">
        <v>6.32</v>
      </c>
      <c r="BN265" s="2">
        <v>51.47</v>
      </c>
      <c r="BO265" s="2">
        <v>51.47</v>
      </c>
      <c r="BQ265" s="2" t="s">
        <v>82</v>
      </c>
      <c r="BR265" s="2" t="s">
        <v>103</v>
      </c>
      <c r="BS265" s="3">
        <v>43074</v>
      </c>
      <c r="BT265" s="4">
        <v>0.35416666666666669</v>
      </c>
      <c r="BU265" s="2" t="s">
        <v>690</v>
      </c>
      <c r="BV265" s="2" t="s">
        <v>85</v>
      </c>
      <c r="BY265" s="2">
        <v>1200</v>
      </c>
      <c r="BZ265" s="2" t="s">
        <v>27</v>
      </c>
      <c r="CA265" s="2" t="s">
        <v>448</v>
      </c>
      <c r="CC265" s="2" t="s">
        <v>137</v>
      </c>
      <c r="CD265" s="2">
        <v>6001</v>
      </c>
      <c r="CE265" s="2" t="s">
        <v>120</v>
      </c>
      <c r="CF265" s="3">
        <v>43075</v>
      </c>
      <c r="CI265" s="2">
        <v>1</v>
      </c>
      <c r="CJ265" s="2">
        <v>1</v>
      </c>
      <c r="CK265" s="2">
        <v>21</v>
      </c>
      <c r="CL265" s="2" t="s">
        <v>89</v>
      </c>
    </row>
    <row r="266" spans="1:90">
      <c r="A266" s="2" t="s">
        <v>71</v>
      </c>
      <c r="B266" s="2" t="s">
        <v>72</v>
      </c>
      <c r="C266" s="2" t="s">
        <v>73</v>
      </c>
      <c r="E266" s="2" t="str">
        <f>"FES1162593221"</f>
        <v>FES1162593221</v>
      </c>
      <c r="F266" s="3">
        <v>43070</v>
      </c>
      <c r="G266" s="2">
        <v>201806</v>
      </c>
      <c r="H266" s="2" t="s">
        <v>74</v>
      </c>
      <c r="I266" s="2" t="s">
        <v>75</v>
      </c>
      <c r="J266" s="2" t="s">
        <v>97</v>
      </c>
      <c r="K266" s="2" t="s">
        <v>77</v>
      </c>
      <c r="L266" s="2" t="s">
        <v>90</v>
      </c>
      <c r="M266" s="2" t="s">
        <v>91</v>
      </c>
      <c r="N266" s="2" t="s">
        <v>92</v>
      </c>
      <c r="O266" s="2" t="s">
        <v>101</v>
      </c>
      <c r="P266" s="2" t="str">
        <f>"2170602395                    "</f>
        <v xml:space="preserve">2170602395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4.41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2.2000000000000002</v>
      </c>
      <c r="BJ266" s="2">
        <v>1.7</v>
      </c>
      <c r="BK266" s="2">
        <v>3</v>
      </c>
      <c r="BL266" s="2">
        <v>35.270000000000003</v>
      </c>
      <c r="BM266" s="2">
        <v>4.9400000000000004</v>
      </c>
      <c r="BN266" s="2">
        <v>40.21</v>
      </c>
      <c r="BO266" s="2">
        <v>40.21</v>
      </c>
      <c r="BQ266" s="2" t="s">
        <v>102</v>
      </c>
      <c r="BR266" s="2" t="s">
        <v>103</v>
      </c>
      <c r="BS266" s="3">
        <v>43073</v>
      </c>
      <c r="BT266" s="4">
        <v>0.4375</v>
      </c>
      <c r="BU266" s="2" t="s">
        <v>703</v>
      </c>
      <c r="BV266" s="2" t="s">
        <v>85</v>
      </c>
      <c r="BY266" s="2">
        <v>8351.42</v>
      </c>
      <c r="CC266" s="2" t="s">
        <v>91</v>
      </c>
      <c r="CD266" s="2">
        <v>1559</v>
      </c>
      <c r="CE266" s="2" t="s">
        <v>95</v>
      </c>
      <c r="CF266" s="3">
        <v>43075</v>
      </c>
      <c r="CI266" s="2">
        <v>1</v>
      </c>
      <c r="CJ266" s="2">
        <v>1</v>
      </c>
      <c r="CK266" s="2">
        <v>22</v>
      </c>
      <c r="CL266" s="2" t="s">
        <v>89</v>
      </c>
    </row>
    <row r="267" spans="1:90">
      <c r="A267" s="2" t="s">
        <v>71</v>
      </c>
      <c r="B267" s="2" t="s">
        <v>72</v>
      </c>
      <c r="C267" s="2" t="s">
        <v>73</v>
      </c>
      <c r="E267" s="2" t="str">
        <f>"FES1162593717"</f>
        <v>FES1162593717</v>
      </c>
      <c r="F267" s="3">
        <v>43073</v>
      </c>
      <c r="G267" s="2">
        <v>201806</v>
      </c>
      <c r="H267" s="2" t="s">
        <v>74</v>
      </c>
      <c r="I267" s="2" t="s">
        <v>75</v>
      </c>
      <c r="J267" s="2" t="s">
        <v>97</v>
      </c>
      <c r="K267" s="2" t="s">
        <v>77</v>
      </c>
      <c r="L267" s="2" t="s">
        <v>173</v>
      </c>
      <c r="M267" s="2" t="s">
        <v>174</v>
      </c>
      <c r="N267" s="2" t="s">
        <v>381</v>
      </c>
      <c r="O267" s="2" t="s">
        <v>101</v>
      </c>
      <c r="P267" s="2" t="str">
        <f>"2170605791                    "</f>
        <v xml:space="preserve">2170605791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42.35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14.8</v>
      </c>
      <c r="BJ267" s="2">
        <v>10</v>
      </c>
      <c r="BK267" s="2">
        <v>15</v>
      </c>
      <c r="BL267" s="2">
        <v>338.47</v>
      </c>
      <c r="BM267" s="2">
        <v>47.39</v>
      </c>
      <c r="BN267" s="2">
        <v>385.86</v>
      </c>
      <c r="BO267" s="2">
        <v>385.86</v>
      </c>
      <c r="BQ267" s="2" t="s">
        <v>382</v>
      </c>
      <c r="BR267" s="2" t="s">
        <v>103</v>
      </c>
      <c r="BS267" s="3">
        <v>43074</v>
      </c>
      <c r="BT267" s="4">
        <v>0.44305555555555554</v>
      </c>
      <c r="BU267" s="2" t="s">
        <v>176</v>
      </c>
      <c r="BV267" s="2" t="s">
        <v>85</v>
      </c>
      <c r="BY267" s="2">
        <v>50041.1</v>
      </c>
      <c r="BZ267" s="2" t="s">
        <v>27</v>
      </c>
      <c r="CA267" s="2" t="s">
        <v>177</v>
      </c>
      <c r="CC267" s="2" t="s">
        <v>174</v>
      </c>
      <c r="CD267" s="2">
        <v>7405</v>
      </c>
      <c r="CE267" s="2" t="s">
        <v>95</v>
      </c>
      <c r="CF267" s="3">
        <v>43075</v>
      </c>
      <c r="CI267" s="2">
        <v>1</v>
      </c>
      <c r="CJ267" s="2">
        <v>1</v>
      </c>
      <c r="CK267" s="2">
        <v>21</v>
      </c>
      <c r="CL267" s="2" t="s">
        <v>89</v>
      </c>
    </row>
    <row r="268" spans="1:90">
      <c r="A268" s="2" t="s">
        <v>71</v>
      </c>
      <c r="B268" s="2" t="s">
        <v>72</v>
      </c>
      <c r="C268" s="2" t="s">
        <v>73</v>
      </c>
      <c r="E268" s="2" t="str">
        <f>"FES1162593276"</f>
        <v>FES1162593276</v>
      </c>
      <c r="F268" s="3">
        <v>43070</v>
      </c>
      <c r="G268" s="2">
        <v>201806</v>
      </c>
      <c r="H268" s="2" t="s">
        <v>74</v>
      </c>
      <c r="I268" s="2" t="s">
        <v>75</v>
      </c>
      <c r="J268" s="2" t="s">
        <v>97</v>
      </c>
      <c r="K268" s="2" t="s">
        <v>77</v>
      </c>
      <c r="L268" s="2" t="s">
        <v>253</v>
      </c>
      <c r="M268" s="2" t="s">
        <v>254</v>
      </c>
      <c r="N268" s="2" t="s">
        <v>704</v>
      </c>
      <c r="O268" s="2" t="s">
        <v>101</v>
      </c>
      <c r="P268" s="2" t="str">
        <f>"2170605572                    "</f>
        <v xml:space="preserve">2170605572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5.65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</v>
      </c>
      <c r="BJ268" s="2">
        <v>0.2</v>
      </c>
      <c r="BK268" s="2">
        <v>1</v>
      </c>
      <c r="BL268" s="2">
        <v>45.15</v>
      </c>
      <c r="BM268" s="2">
        <v>6.32</v>
      </c>
      <c r="BN268" s="2">
        <v>51.47</v>
      </c>
      <c r="BO268" s="2">
        <v>51.47</v>
      </c>
      <c r="BQ268" s="2" t="s">
        <v>82</v>
      </c>
      <c r="BR268" s="2" t="s">
        <v>103</v>
      </c>
      <c r="BS268" s="3">
        <v>43073</v>
      </c>
      <c r="BT268" s="4">
        <v>0.52430555555555558</v>
      </c>
      <c r="BU268" s="2" t="s">
        <v>705</v>
      </c>
      <c r="BV268" s="2" t="s">
        <v>89</v>
      </c>
      <c r="BY268" s="2">
        <v>1200</v>
      </c>
      <c r="BZ268" s="2" t="s">
        <v>27</v>
      </c>
      <c r="CC268" s="2" t="s">
        <v>254</v>
      </c>
      <c r="CD268" s="2">
        <v>1900</v>
      </c>
      <c r="CE268" s="2" t="s">
        <v>120</v>
      </c>
      <c r="CF268" s="3">
        <v>43075</v>
      </c>
      <c r="CI268" s="2">
        <v>1</v>
      </c>
      <c r="CJ268" s="2">
        <v>1</v>
      </c>
      <c r="CK268" s="2">
        <v>21</v>
      </c>
      <c r="CL268" s="2" t="s">
        <v>89</v>
      </c>
    </row>
    <row r="269" spans="1:90">
      <c r="A269" s="2" t="s">
        <v>71</v>
      </c>
      <c r="B269" s="2" t="s">
        <v>72</v>
      </c>
      <c r="C269" s="2" t="s">
        <v>73</v>
      </c>
      <c r="E269" s="2" t="str">
        <f>"FES1162593258"</f>
        <v>FES1162593258</v>
      </c>
      <c r="F269" s="3">
        <v>43070</v>
      </c>
      <c r="G269" s="2">
        <v>201806</v>
      </c>
      <c r="H269" s="2" t="s">
        <v>74</v>
      </c>
      <c r="I269" s="2" t="s">
        <v>75</v>
      </c>
      <c r="J269" s="2" t="s">
        <v>97</v>
      </c>
      <c r="K269" s="2" t="s">
        <v>77</v>
      </c>
      <c r="L269" s="2" t="s">
        <v>131</v>
      </c>
      <c r="M269" s="2" t="s">
        <v>132</v>
      </c>
      <c r="N269" s="2" t="s">
        <v>228</v>
      </c>
      <c r="O269" s="2" t="s">
        <v>101</v>
      </c>
      <c r="P269" s="2" t="str">
        <f>"2170605558                    "</f>
        <v xml:space="preserve">2170605558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5.65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45.15</v>
      </c>
      <c r="BM269" s="2">
        <v>6.32</v>
      </c>
      <c r="BN269" s="2">
        <v>51.47</v>
      </c>
      <c r="BO269" s="2">
        <v>51.47</v>
      </c>
      <c r="BQ269" s="2" t="s">
        <v>229</v>
      </c>
      <c r="BR269" s="2" t="s">
        <v>103</v>
      </c>
      <c r="BS269" s="3">
        <v>43073</v>
      </c>
      <c r="BT269" s="4">
        <v>0.4201388888888889</v>
      </c>
      <c r="BU269" s="2" t="s">
        <v>230</v>
      </c>
      <c r="BV269" s="2" t="s">
        <v>85</v>
      </c>
      <c r="BY269" s="2">
        <v>1200</v>
      </c>
      <c r="BZ269" s="2" t="s">
        <v>27</v>
      </c>
      <c r="CA269" s="2" t="s">
        <v>231</v>
      </c>
      <c r="CC269" s="2" t="s">
        <v>132</v>
      </c>
      <c r="CD269" s="2">
        <v>4300</v>
      </c>
      <c r="CE269" s="2" t="s">
        <v>120</v>
      </c>
      <c r="CF269" s="3">
        <v>43074</v>
      </c>
      <c r="CI269" s="2">
        <v>1</v>
      </c>
      <c r="CJ269" s="2">
        <v>1</v>
      </c>
      <c r="CK269" s="2">
        <v>21</v>
      </c>
      <c r="CL269" s="2" t="s">
        <v>89</v>
      </c>
    </row>
    <row r="270" spans="1:90">
      <c r="A270" s="2" t="s">
        <v>71</v>
      </c>
      <c r="B270" s="2" t="s">
        <v>72</v>
      </c>
      <c r="C270" s="2" t="s">
        <v>73</v>
      </c>
      <c r="E270" s="2" t="str">
        <f>"FES1162593403"</f>
        <v>FES1162593403</v>
      </c>
      <c r="F270" s="3">
        <v>43073</v>
      </c>
      <c r="G270" s="2">
        <v>201806</v>
      </c>
      <c r="H270" s="2" t="s">
        <v>74</v>
      </c>
      <c r="I270" s="2" t="s">
        <v>75</v>
      </c>
      <c r="J270" s="2" t="s">
        <v>97</v>
      </c>
      <c r="K270" s="2" t="s">
        <v>77</v>
      </c>
      <c r="L270" s="2" t="s">
        <v>145</v>
      </c>
      <c r="M270" s="2" t="s">
        <v>146</v>
      </c>
      <c r="N270" s="2" t="s">
        <v>181</v>
      </c>
      <c r="O270" s="2" t="s">
        <v>101</v>
      </c>
      <c r="P270" s="2" t="str">
        <f>"2170603213                    "</f>
        <v xml:space="preserve">2170603213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5.65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45.15</v>
      </c>
      <c r="BM270" s="2">
        <v>6.32</v>
      </c>
      <c r="BN270" s="2">
        <v>51.47</v>
      </c>
      <c r="BO270" s="2">
        <v>51.47</v>
      </c>
      <c r="BQ270" s="2" t="s">
        <v>82</v>
      </c>
      <c r="BR270" s="2" t="s">
        <v>103</v>
      </c>
      <c r="BS270" s="3">
        <v>43074</v>
      </c>
      <c r="BT270" s="4">
        <v>0.36944444444444446</v>
      </c>
      <c r="BU270" s="2" t="s">
        <v>706</v>
      </c>
      <c r="BV270" s="2" t="s">
        <v>85</v>
      </c>
      <c r="BY270" s="2">
        <v>1200</v>
      </c>
      <c r="BZ270" s="2" t="s">
        <v>27</v>
      </c>
      <c r="CA270" s="2" t="s">
        <v>629</v>
      </c>
      <c r="CC270" s="2" t="s">
        <v>146</v>
      </c>
      <c r="CD270" s="2">
        <v>5201</v>
      </c>
      <c r="CE270" s="2" t="s">
        <v>120</v>
      </c>
      <c r="CF270" s="3">
        <v>43076</v>
      </c>
      <c r="CI270" s="2">
        <v>1</v>
      </c>
      <c r="CJ270" s="2">
        <v>1</v>
      </c>
      <c r="CK270" s="2">
        <v>21</v>
      </c>
      <c r="CL270" s="2" t="s">
        <v>89</v>
      </c>
    </row>
    <row r="271" spans="1:90">
      <c r="A271" s="2" t="s">
        <v>71</v>
      </c>
      <c r="B271" s="2" t="s">
        <v>72</v>
      </c>
      <c r="C271" s="2" t="s">
        <v>73</v>
      </c>
      <c r="E271" s="2" t="str">
        <f>"FES1162593191"</f>
        <v>FES1162593191</v>
      </c>
      <c r="F271" s="3">
        <v>43070</v>
      </c>
      <c r="G271" s="2">
        <v>201806</v>
      </c>
      <c r="H271" s="2" t="s">
        <v>74</v>
      </c>
      <c r="I271" s="2" t="s">
        <v>75</v>
      </c>
      <c r="J271" s="2" t="s">
        <v>97</v>
      </c>
      <c r="K271" s="2" t="s">
        <v>77</v>
      </c>
      <c r="L271" s="2" t="s">
        <v>152</v>
      </c>
      <c r="M271" s="2" t="s">
        <v>153</v>
      </c>
      <c r="N271" s="2" t="s">
        <v>603</v>
      </c>
      <c r="O271" s="2" t="s">
        <v>101</v>
      </c>
      <c r="P271" s="2" t="str">
        <f>"2170603105                    "</f>
        <v xml:space="preserve">2170603105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4.41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35.270000000000003</v>
      </c>
      <c r="BM271" s="2">
        <v>4.9400000000000004</v>
      </c>
      <c r="BN271" s="2">
        <v>40.21</v>
      </c>
      <c r="BO271" s="2">
        <v>40.21</v>
      </c>
      <c r="BQ271" s="2" t="s">
        <v>707</v>
      </c>
      <c r="BR271" s="2" t="s">
        <v>103</v>
      </c>
      <c r="BS271" s="3">
        <v>43073</v>
      </c>
      <c r="BT271" s="4">
        <v>0.4375</v>
      </c>
      <c r="BU271" s="2" t="s">
        <v>708</v>
      </c>
      <c r="BV271" s="2" t="s">
        <v>85</v>
      </c>
      <c r="BY271" s="2">
        <v>1200</v>
      </c>
      <c r="CC271" s="2" t="s">
        <v>153</v>
      </c>
      <c r="CD271" s="2">
        <v>1422</v>
      </c>
      <c r="CE271" s="2" t="s">
        <v>120</v>
      </c>
      <c r="CF271" s="3">
        <v>43075</v>
      </c>
      <c r="CI271" s="2">
        <v>1</v>
      </c>
      <c r="CJ271" s="2">
        <v>1</v>
      </c>
      <c r="CK271" s="2">
        <v>22</v>
      </c>
      <c r="CL271" s="2" t="s">
        <v>89</v>
      </c>
    </row>
    <row r="272" spans="1:90">
      <c r="A272" s="2" t="s">
        <v>71</v>
      </c>
      <c r="B272" s="2" t="s">
        <v>72</v>
      </c>
      <c r="C272" s="2" t="s">
        <v>73</v>
      </c>
      <c r="E272" s="2" t="str">
        <f>"FES1162593344"</f>
        <v>FES1162593344</v>
      </c>
      <c r="F272" s="3">
        <v>43073</v>
      </c>
      <c r="G272" s="2">
        <v>201806</v>
      </c>
      <c r="H272" s="2" t="s">
        <v>74</v>
      </c>
      <c r="I272" s="2" t="s">
        <v>75</v>
      </c>
      <c r="J272" s="2" t="s">
        <v>97</v>
      </c>
      <c r="K272" s="2" t="s">
        <v>77</v>
      </c>
      <c r="L272" s="2" t="s">
        <v>145</v>
      </c>
      <c r="M272" s="2" t="s">
        <v>146</v>
      </c>
      <c r="N272" s="2" t="s">
        <v>709</v>
      </c>
      <c r="O272" s="2" t="s">
        <v>101</v>
      </c>
      <c r="P272" s="2" t="str">
        <f>"2170601493                    "</f>
        <v xml:space="preserve">2170601493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5.65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1</v>
      </c>
      <c r="BJ272" s="2">
        <v>0.2</v>
      </c>
      <c r="BK272" s="2">
        <v>1</v>
      </c>
      <c r="BL272" s="2">
        <v>45.15</v>
      </c>
      <c r="BM272" s="2">
        <v>6.32</v>
      </c>
      <c r="BN272" s="2">
        <v>51.47</v>
      </c>
      <c r="BO272" s="2">
        <v>51.47</v>
      </c>
      <c r="BQ272" s="2" t="s">
        <v>102</v>
      </c>
      <c r="BR272" s="2" t="s">
        <v>103</v>
      </c>
      <c r="BS272" s="3">
        <v>43074</v>
      </c>
      <c r="BT272" s="4">
        <v>0.4375</v>
      </c>
      <c r="BU272" s="2" t="s">
        <v>710</v>
      </c>
      <c r="BV272" s="2" t="s">
        <v>85</v>
      </c>
      <c r="BY272" s="2">
        <v>1200</v>
      </c>
      <c r="BZ272" s="2" t="s">
        <v>27</v>
      </c>
      <c r="CC272" s="2" t="s">
        <v>146</v>
      </c>
      <c r="CD272" s="2">
        <v>5201</v>
      </c>
      <c r="CE272" s="2" t="s">
        <v>120</v>
      </c>
      <c r="CF272" s="3">
        <v>43076</v>
      </c>
      <c r="CI272" s="2">
        <v>1</v>
      </c>
      <c r="CJ272" s="2">
        <v>1</v>
      </c>
      <c r="CK272" s="2">
        <v>21</v>
      </c>
      <c r="CL272" s="2" t="s">
        <v>89</v>
      </c>
    </row>
    <row r="273" spans="1:90">
      <c r="A273" s="2" t="s">
        <v>71</v>
      </c>
      <c r="B273" s="2" t="s">
        <v>72</v>
      </c>
      <c r="C273" s="2" t="s">
        <v>73</v>
      </c>
      <c r="E273" s="2" t="str">
        <f>"FES1162593058"</f>
        <v>FES1162593058</v>
      </c>
      <c r="F273" s="3">
        <v>43070</v>
      </c>
      <c r="G273" s="2">
        <v>201806</v>
      </c>
      <c r="H273" s="2" t="s">
        <v>74</v>
      </c>
      <c r="I273" s="2" t="s">
        <v>75</v>
      </c>
      <c r="J273" s="2" t="s">
        <v>97</v>
      </c>
      <c r="K273" s="2" t="s">
        <v>77</v>
      </c>
      <c r="L273" s="2" t="s">
        <v>168</v>
      </c>
      <c r="M273" s="2" t="s">
        <v>169</v>
      </c>
      <c r="N273" s="2" t="s">
        <v>170</v>
      </c>
      <c r="O273" s="2" t="s">
        <v>101</v>
      </c>
      <c r="P273" s="2" t="str">
        <f>"2170602983                    "</f>
        <v xml:space="preserve">2170602983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5.65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45.15</v>
      </c>
      <c r="BM273" s="2">
        <v>6.32</v>
      </c>
      <c r="BN273" s="2">
        <v>51.47</v>
      </c>
      <c r="BO273" s="2">
        <v>51.47</v>
      </c>
      <c r="BQ273" s="2" t="s">
        <v>128</v>
      </c>
      <c r="BR273" s="2" t="s">
        <v>103</v>
      </c>
      <c r="BS273" s="3">
        <v>43073</v>
      </c>
      <c r="BT273" s="4">
        <v>0.375</v>
      </c>
      <c r="BU273" s="2" t="s">
        <v>711</v>
      </c>
      <c r="BV273" s="2" t="s">
        <v>85</v>
      </c>
      <c r="BY273" s="2">
        <v>1200</v>
      </c>
      <c r="BZ273" s="2" t="s">
        <v>27</v>
      </c>
      <c r="CA273" s="2" t="s">
        <v>712</v>
      </c>
      <c r="CC273" s="2" t="s">
        <v>169</v>
      </c>
      <c r="CD273" s="2">
        <v>3610</v>
      </c>
      <c r="CE273" s="2" t="s">
        <v>120</v>
      </c>
      <c r="CF273" s="3">
        <v>43074</v>
      </c>
      <c r="CI273" s="2">
        <v>1</v>
      </c>
      <c r="CJ273" s="2">
        <v>1</v>
      </c>
      <c r="CK273" s="2">
        <v>21</v>
      </c>
      <c r="CL273" s="2" t="s">
        <v>89</v>
      </c>
    </row>
    <row r="274" spans="1:90">
      <c r="A274" s="2" t="s">
        <v>71</v>
      </c>
      <c r="B274" s="2" t="s">
        <v>72</v>
      </c>
      <c r="C274" s="2" t="s">
        <v>73</v>
      </c>
      <c r="E274" s="2" t="str">
        <f>"FES1162593725"</f>
        <v>FES1162593725</v>
      </c>
      <c r="F274" s="3">
        <v>43073</v>
      </c>
      <c r="G274" s="2">
        <v>201806</v>
      </c>
      <c r="H274" s="2" t="s">
        <v>74</v>
      </c>
      <c r="I274" s="2" t="s">
        <v>75</v>
      </c>
      <c r="J274" s="2" t="s">
        <v>97</v>
      </c>
      <c r="K274" s="2" t="s">
        <v>77</v>
      </c>
      <c r="L274" s="2" t="s">
        <v>713</v>
      </c>
      <c r="M274" s="2" t="s">
        <v>714</v>
      </c>
      <c r="N274" s="2" t="s">
        <v>715</v>
      </c>
      <c r="O274" s="2" t="s">
        <v>101</v>
      </c>
      <c r="P274" s="2" t="str">
        <f>"2170605802                    "</f>
        <v xml:space="preserve">2170605802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10.94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87.47</v>
      </c>
      <c r="BM274" s="2">
        <v>12.25</v>
      </c>
      <c r="BN274" s="2">
        <v>99.72</v>
      </c>
      <c r="BO274" s="2">
        <v>99.72</v>
      </c>
      <c r="BQ274" s="2" t="s">
        <v>716</v>
      </c>
      <c r="BR274" s="2" t="s">
        <v>103</v>
      </c>
      <c r="BS274" s="3">
        <v>43076</v>
      </c>
      <c r="BT274" s="4">
        <v>0.67013888888888884</v>
      </c>
      <c r="BU274" s="2" t="s">
        <v>717</v>
      </c>
      <c r="BV274" s="2" t="s">
        <v>85</v>
      </c>
      <c r="BY274" s="2">
        <v>1200</v>
      </c>
      <c r="BZ274" s="2" t="s">
        <v>27</v>
      </c>
      <c r="CC274" s="2" t="s">
        <v>714</v>
      </c>
      <c r="CD274" s="2">
        <v>6310</v>
      </c>
      <c r="CE274" s="2" t="s">
        <v>120</v>
      </c>
      <c r="CI274" s="2">
        <v>4</v>
      </c>
      <c r="CJ274" s="2">
        <v>3</v>
      </c>
      <c r="CK274" s="2">
        <v>23</v>
      </c>
      <c r="CL274" s="2" t="s">
        <v>89</v>
      </c>
    </row>
    <row r="275" spans="1:90">
      <c r="A275" s="2" t="s">
        <v>71</v>
      </c>
      <c r="B275" s="2" t="s">
        <v>72</v>
      </c>
      <c r="C275" s="2" t="s">
        <v>73</v>
      </c>
      <c r="E275" s="2" t="str">
        <f>"FES1162593190"</f>
        <v>FES1162593190</v>
      </c>
      <c r="F275" s="3">
        <v>43070</v>
      </c>
      <c r="G275" s="2">
        <v>201806</v>
      </c>
      <c r="H275" s="2" t="s">
        <v>74</v>
      </c>
      <c r="I275" s="2" t="s">
        <v>75</v>
      </c>
      <c r="J275" s="2" t="s">
        <v>97</v>
      </c>
      <c r="K275" s="2" t="s">
        <v>77</v>
      </c>
      <c r="L275" s="2" t="s">
        <v>152</v>
      </c>
      <c r="M275" s="2" t="s">
        <v>153</v>
      </c>
      <c r="N275" s="2" t="s">
        <v>718</v>
      </c>
      <c r="O275" s="2" t="s">
        <v>101</v>
      </c>
      <c r="P275" s="2" t="str">
        <f>"2170603083                    "</f>
        <v xml:space="preserve">2170603083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4.41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1</v>
      </c>
      <c r="BJ275" s="2">
        <v>0.2</v>
      </c>
      <c r="BK275" s="2">
        <v>1</v>
      </c>
      <c r="BL275" s="2">
        <v>35.270000000000003</v>
      </c>
      <c r="BM275" s="2">
        <v>4.9400000000000004</v>
      </c>
      <c r="BN275" s="2">
        <v>40.21</v>
      </c>
      <c r="BO275" s="2">
        <v>40.21</v>
      </c>
      <c r="BQ275" s="2" t="s">
        <v>142</v>
      </c>
      <c r="BR275" s="2" t="s">
        <v>103</v>
      </c>
      <c r="BS275" s="3">
        <v>43073</v>
      </c>
      <c r="BT275" s="4">
        <v>0.39374999999999999</v>
      </c>
      <c r="BU275" s="2" t="s">
        <v>719</v>
      </c>
      <c r="BV275" s="2" t="s">
        <v>85</v>
      </c>
      <c r="BY275" s="2">
        <v>1200</v>
      </c>
      <c r="BZ275" s="2" t="s">
        <v>27</v>
      </c>
      <c r="CA275" s="2" t="s">
        <v>392</v>
      </c>
      <c r="CC275" s="2" t="s">
        <v>153</v>
      </c>
      <c r="CD275" s="2">
        <v>1406</v>
      </c>
      <c r="CE275" s="2" t="s">
        <v>120</v>
      </c>
      <c r="CF275" s="3">
        <v>43074</v>
      </c>
      <c r="CI275" s="2">
        <v>1</v>
      </c>
      <c r="CJ275" s="2">
        <v>1</v>
      </c>
      <c r="CK275" s="2">
        <v>22</v>
      </c>
      <c r="CL275" s="2" t="s">
        <v>89</v>
      </c>
    </row>
    <row r="276" spans="1:90">
      <c r="A276" s="2" t="s">
        <v>71</v>
      </c>
      <c r="B276" s="2" t="s">
        <v>72</v>
      </c>
      <c r="C276" s="2" t="s">
        <v>73</v>
      </c>
      <c r="E276" s="2" t="str">
        <f>"FES1162593459"</f>
        <v>FES1162593459</v>
      </c>
      <c r="F276" s="3">
        <v>43073</v>
      </c>
      <c r="G276" s="2">
        <v>201806</v>
      </c>
      <c r="H276" s="2" t="s">
        <v>74</v>
      </c>
      <c r="I276" s="2" t="s">
        <v>75</v>
      </c>
      <c r="J276" s="2" t="s">
        <v>97</v>
      </c>
      <c r="K276" s="2" t="s">
        <v>77</v>
      </c>
      <c r="L276" s="2" t="s">
        <v>158</v>
      </c>
      <c r="M276" s="2" t="s">
        <v>159</v>
      </c>
      <c r="N276" s="2" t="s">
        <v>720</v>
      </c>
      <c r="O276" s="2" t="s">
        <v>101</v>
      </c>
      <c r="P276" s="2" t="str">
        <f>"2170604681                    "</f>
        <v xml:space="preserve">2170604681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5.65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45.15</v>
      </c>
      <c r="BM276" s="2">
        <v>6.32</v>
      </c>
      <c r="BN276" s="2">
        <v>51.47</v>
      </c>
      <c r="BO276" s="2">
        <v>51.47</v>
      </c>
      <c r="BQ276" s="2" t="s">
        <v>102</v>
      </c>
      <c r="BR276" s="2" t="s">
        <v>103</v>
      </c>
      <c r="BS276" s="3">
        <v>43074</v>
      </c>
      <c r="BT276" s="4">
        <v>0.47291666666666665</v>
      </c>
      <c r="BU276" s="2" t="s">
        <v>721</v>
      </c>
      <c r="BV276" s="2" t="s">
        <v>85</v>
      </c>
      <c r="BY276" s="2">
        <v>1200</v>
      </c>
      <c r="BZ276" s="2" t="s">
        <v>27</v>
      </c>
      <c r="CC276" s="2" t="s">
        <v>159</v>
      </c>
      <c r="CD276" s="2">
        <v>183</v>
      </c>
      <c r="CE276" s="2" t="s">
        <v>120</v>
      </c>
      <c r="CF276" s="3">
        <v>43075</v>
      </c>
      <c r="CI276" s="2">
        <v>1</v>
      </c>
      <c r="CJ276" s="2">
        <v>1</v>
      </c>
      <c r="CK276" s="2">
        <v>21</v>
      </c>
      <c r="CL276" s="2" t="s">
        <v>89</v>
      </c>
    </row>
    <row r="277" spans="1:90">
      <c r="A277" s="2" t="s">
        <v>71</v>
      </c>
      <c r="B277" s="2" t="s">
        <v>72</v>
      </c>
      <c r="C277" s="2" t="s">
        <v>73</v>
      </c>
      <c r="E277" s="2" t="str">
        <f>"FES1162593166"</f>
        <v>FES1162593166</v>
      </c>
      <c r="F277" s="3">
        <v>43070</v>
      </c>
      <c r="G277" s="2">
        <v>201806</v>
      </c>
      <c r="H277" s="2" t="s">
        <v>74</v>
      </c>
      <c r="I277" s="2" t="s">
        <v>75</v>
      </c>
      <c r="J277" s="2" t="s">
        <v>97</v>
      </c>
      <c r="K277" s="2" t="s">
        <v>77</v>
      </c>
      <c r="L277" s="2" t="s">
        <v>74</v>
      </c>
      <c r="M277" s="2" t="s">
        <v>75</v>
      </c>
      <c r="N277" s="2" t="s">
        <v>722</v>
      </c>
      <c r="O277" s="2" t="s">
        <v>101</v>
      </c>
      <c r="P277" s="2" t="str">
        <f>"2170605461                    "</f>
        <v xml:space="preserve">2170605461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4.41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35.270000000000003</v>
      </c>
      <c r="BM277" s="2">
        <v>4.9400000000000004</v>
      </c>
      <c r="BN277" s="2">
        <v>40.21</v>
      </c>
      <c r="BO277" s="2">
        <v>40.21</v>
      </c>
      <c r="BQ277" s="2" t="s">
        <v>82</v>
      </c>
      <c r="BR277" s="2" t="s">
        <v>103</v>
      </c>
      <c r="BS277" s="3">
        <v>43073</v>
      </c>
      <c r="BT277" s="4">
        <v>0.34791666666666665</v>
      </c>
      <c r="BU277" s="2" t="s">
        <v>723</v>
      </c>
      <c r="BV277" s="2" t="s">
        <v>85</v>
      </c>
      <c r="BY277" s="2">
        <v>1200</v>
      </c>
      <c r="BZ277" s="2" t="s">
        <v>27</v>
      </c>
      <c r="CA277" s="2" t="s">
        <v>355</v>
      </c>
      <c r="CC277" s="2" t="s">
        <v>75</v>
      </c>
      <c r="CD277" s="2">
        <v>1600</v>
      </c>
      <c r="CE277" s="2" t="s">
        <v>120</v>
      </c>
      <c r="CF277" s="3">
        <v>43074</v>
      </c>
      <c r="CI277" s="2">
        <v>1</v>
      </c>
      <c r="CJ277" s="2">
        <v>0</v>
      </c>
      <c r="CK277" s="2">
        <v>22</v>
      </c>
      <c r="CL277" s="2" t="s">
        <v>89</v>
      </c>
    </row>
    <row r="278" spans="1:90">
      <c r="A278" s="2" t="s">
        <v>71</v>
      </c>
      <c r="B278" s="2" t="s">
        <v>72</v>
      </c>
      <c r="C278" s="2" t="s">
        <v>73</v>
      </c>
      <c r="E278" s="2" t="str">
        <f>"FES1162593393"</f>
        <v>FES1162593393</v>
      </c>
      <c r="F278" s="3">
        <v>43073</v>
      </c>
      <c r="G278" s="2">
        <v>201806</v>
      </c>
      <c r="H278" s="2" t="s">
        <v>74</v>
      </c>
      <c r="I278" s="2" t="s">
        <v>75</v>
      </c>
      <c r="J278" s="2" t="s">
        <v>97</v>
      </c>
      <c r="K278" s="2" t="s">
        <v>77</v>
      </c>
      <c r="L278" s="2" t="s">
        <v>115</v>
      </c>
      <c r="M278" s="2" t="s">
        <v>116</v>
      </c>
      <c r="N278" s="2" t="s">
        <v>724</v>
      </c>
      <c r="O278" s="2" t="s">
        <v>101</v>
      </c>
      <c r="P278" s="2" t="str">
        <f>"2170603045                    "</f>
        <v xml:space="preserve">2170603045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4.41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1</v>
      </c>
      <c r="BJ278" s="2">
        <v>0.2</v>
      </c>
      <c r="BK278" s="2">
        <v>1</v>
      </c>
      <c r="BL278" s="2">
        <v>35.270000000000003</v>
      </c>
      <c r="BM278" s="2">
        <v>4.9400000000000004</v>
      </c>
      <c r="BN278" s="2">
        <v>40.21</v>
      </c>
      <c r="BO278" s="2">
        <v>40.21</v>
      </c>
      <c r="BQ278" s="2" t="s">
        <v>229</v>
      </c>
      <c r="BR278" s="2" t="s">
        <v>103</v>
      </c>
      <c r="BS278" s="3">
        <v>43074</v>
      </c>
      <c r="BT278" s="4">
        <v>0.3923611111111111</v>
      </c>
      <c r="BU278" s="2" t="s">
        <v>601</v>
      </c>
      <c r="BV278" s="2" t="s">
        <v>85</v>
      </c>
      <c r="BY278" s="2">
        <v>1200</v>
      </c>
      <c r="BZ278" s="2" t="s">
        <v>27</v>
      </c>
      <c r="CA278" s="2" t="s">
        <v>119</v>
      </c>
      <c r="CC278" s="2" t="s">
        <v>116</v>
      </c>
      <c r="CD278" s="2">
        <v>1459</v>
      </c>
      <c r="CE278" s="2" t="s">
        <v>120</v>
      </c>
      <c r="CF278" s="3">
        <v>43077</v>
      </c>
      <c r="CI278" s="2">
        <v>1</v>
      </c>
      <c r="CJ278" s="2">
        <v>1</v>
      </c>
      <c r="CK278" s="2">
        <v>22</v>
      </c>
      <c r="CL278" s="2" t="s">
        <v>89</v>
      </c>
    </row>
    <row r="279" spans="1:90">
      <c r="A279" s="2" t="s">
        <v>71</v>
      </c>
      <c r="B279" s="2" t="s">
        <v>72</v>
      </c>
      <c r="C279" s="2" t="s">
        <v>73</v>
      </c>
      <c r="E279" s="2" t="str">
        <f>"FES1162593081"</f>
        <v>FES1162593081</v>
      </c>
      <c r="F279" s="3">
        <v>43070</v>
      </c>
      <c r="G279" s="2">
        <v>201806</v>
      </c>
      <c r="H279" s="2" t="s">
        <v>74</v>
      </c>
      <c r="I279" s="2" t="s">
        <v>75</v>
      </c>
      <c r="J279" s="2" t="s">
        <v>97</v>
      </c>
      <c r="K279" s="2" t="s">
        <v>77</v>
      </c>
      <c r="L279" s="2" t="s">
        <v>152</v>
      </c>
      <c r="M279" s="2" t="s">
        <v>153</v>
      </c>
      <c r="N279" s="2" t="s">
        <v>725</v>
      </c>
      <c r="O279" s="2" t="s">
        <v>101</v>
      </c>
      <c r="P279" s="2" t="str">
        <f>"2170605439                    "</f>
        <v xml:space="preserve">2170605439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4.41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35.270000000000003</v>
      </c>
      <c r="BM279" s="2">
        <v>4.9400000000000004</v>
      </c>
      <c r="BN279" s="2">
        <v>40.21</v>
      </c>
      <c r="BO279" s="2">
        <v>40.21</v>
      </c>
      <c r="BQ279" s="2" t="s">
        <v>102</v>
      </c>
      <c r="BR279" s="2" t="s">
        <v>103</v>
      </c>
      <c r="BS279" s="3">
        <v>43073</v>
      </c>
      <c r="BT279" s="4">
        <v>0.4375</v>
      </c>
      <c r="BU279" s="2" t="s">
        <v>726</v>
      </c>
      <c r="BV279" s="2" t="s">
        <v>85</v>
      </c>
      <c r="BY279" s="2">
        <v>1200</v>
      </c>
      <c r="CC279" s="2" t="s">
        <v>153</v>
      </c>
      <c r="CD279" s="2">
        <v>1428</v>
      </c>
      <c r="CE279" s="2" t="s">
        <v>120</v>
      </c>
      <c r="CF279" s="3">
        <v>43075</v>
      </c>
      <c r="CI279" s="2">
        <v>1</v>
      </c>
      <c r="CJ279" s="2">
        <v>1</v>
      </c>
      <c r="CK279" s="2">
        <v>22</v>
      </c>
      <c r="CL279" s="2" t="s">
        <v>89</v>
      </c>
    </row>
    <row r="280" spans="1:90">
      <c r="A280" s="2" t="s">
        <v>71</v>
      </c>
      <c r="B280" s="2" t="s">
        <v>72</v>
      </c>
      <c r="C280" s="2" t="s">
        <v>73</v>
      </c>
      <c r="E280" s="2" t="str">
        <f>"FES1162593437"</f>
        <v>FES1162593437</v>
      </c>
      <c r="F280" s="3">
        <v>43073</v>
      </c>
      <c r="G280" s="2">
        <v>201806</v>
      </c>
      <c r="H280" s="2" t="s">
        <v>74</v>
      </c>
      <c r="I280" s="2" t="s">
        <v>75</v>
      </c>
      <c r="J280" s="2" t="s">
        <v>97</v>
      </c>
      <c r="K280" s="2" t="s">
        <v>77</v>
      </c>
      <c r="L280" s="2" t="s">
        <v>304</v>
      </c>
      <c r="M280" s="2" t="s">
        <v>305</v>
      </c>
      <c r="N280" s="2" t="s">
        <v>306</v>
      </c>
      <c r="O280" s="2" t="s">
        <v>101</v>
      </c>
      <c r="P280" s="2" t="str">
        <f>"2170604083                    "</f>
        <v xml:space="preserve">2170604083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7.94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63.49</v>
      </c>
      <c r="BM280" s="2">
        <v>8.89</v>
      </c>
      <c r="BN280" s="2">
        <v>72.38</v>
      </c>
      <c r="BO280" s="2">
        <v>72.38</v>
      </c>
      <c r="BQ280" s="2" t="s">
        <v>102</v>
      </c>
      <c r="BR280" s="2" t="s">
        <v>103</v>
      </c>
      <c r="BS280" s="3">
        <v>43075</v>
      </c>
      <c r="BT280" s="4">
        <v>0.65277777777777779</v>
      </c>
      <c r="BU280" s="2" t="s">
        <v>727</v>
      </c>
      <c r="BV280" s="2" t="s">
        <v>85</v>
      </c>
      <c r="BY280" s="2">
        <v>1200</v>
      </c>
      <c r="BZ280" s="2" t="s">
        <v>27</v>
      </c>
      <c r="CC280" s="2" t="s">
        <v>305</v>
      </c>
      <c r="CD280" s="2">
        <v>1028</v>
      </c>
      <c r="CE280" s="2" t="s">
        <v>120</v>
      </c>
      <c r="CF280" s="3">
        <v>43080</v>
      </c>
      <c r="CI280" s="2">
        <v>2</v>
      </c>
      <c r="CJ280" s="2">
        <v>2</v>
      </c>
      <c r="CK280" s="2">
        <v>24</v>
      </c>
      <c r="CL280" s="2" t="s">
        <v>89</v>
      </c>
    </row>
    <row r="281" spans="1:90">
      <c r="A281" s="2" t="s">
        <v>71</v>
      </c>
      <c r="B281" s="2" t="s">
        <v>72</v>
      </c>
      <c r="C281" s="2" t="s">
        <v>73</v>
      </c>
      <c r="E281" s="2" t="str">
        <f>"FES1162593164"</f>
        <v>FES1162593164</v>
      </c>
      <c r="F281" s="3">
        <v>43070</v>
      </c>
      <c r="G281" s="2">
        <v>201806</v>
      </c>
      <c r="H281" s="2" t="s">
        <v>74</v>
      </c>
      <c r="I281" s="2" t="s">
        <v>75</v>
      </c>
      <c r="J281" s="2" t="s">
        <v>97</v>
      </c>
      <c r="K281" s="2" t="s">
        <v>77</v>
      </c>
      <c r="L281" s="2" t="s">
        <v>152</v>
      </c>
      <c r="M281" s="2" t="s">
        <v>153</v>
      </c>
      <c r="N281" s="2" t="s">
        <v>728</v>
      </c>
      <c r="O281" s="2" t="s">
        <v>101</v>
      </c>
      <c r="P281" s="2" t="str">
        <f>"2170605492                    "</f>
        <v xml:space="preserve">2170605492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4.41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35.270000000000003</v>
      </c>
      <c r="BM281" s="2">
        <v>4.9400000000000004</v>
      </c>
      <c r="BN281" s="2">
        <v>40.21</v>
      </c>
      <c r="BO281" s="2">
        <v>40.21</v>
      </c>
      <c r="BQ281" s="2" t="s">
        <v>82</v>
      </c>
      <c r="BR281" s="2" t="s">
        <v>103</v>
      </c>
      <c r="BS281" s="3">
        <v>43073</v>
      </c>
      <c r="BT281" s="4">
        <v>0.4375</v>
      </c>
      <c r="BU281" s="2" t="s">
        <v>729</v>
      </c>
      <c r="BV281" s="2" t="s">
        <v>85</v>
      </c>
      <c r="BY281" s="2">
        <v>1200</v>
      </c>
      <c r="CC281" s="2" t="s">
        <v>153</v>
      </c>
      <c r="CD281" s="2">
        <v>1428</v>
      </c>
      <c r="CE281" s="2" t="s">
        <v>120</v>
      </c>
      <c r="CF281" s="3">
        <v>43075</v>
      </c>
      <c r="CI281" s="2">
        <v>1</v>
      </c>
      <c r="CJ281" s="2">
        <v>1</v>
      </c>
      <c r="CK281" s="2">
        <v>22</v>
      </c>
      <c r="CL281" s="2" t="s">
        <v>89</v>
      </c>
    </row>
    <row r="282" spans="1:90">
      <c r="A282" s="2" t="s">
        <v>71</v>
      </c>
      <c r="B282" s="2" t="s">
        <v>72</v>
      </c>
      <c r="C282" s="2" t="s">
        <v>73</v>
      </c>
      <c r="E282" s="2" t="str">
        <f>"FES1162593696"</f>
        <v>FES1162593696</v>
      </c>
      <c r="F282" s="3">
        <v>43073</v>
      </c>
      <c r="G282" s="2">
        <v>201806</v>
      </c>
      <c r="H282" s="2" t="s">
        <v>74</v>
      </c>
      <c r="I282" s="2" t="s">
        <v>75</v>
      </c>
      <c r="J282" s="2" t="s">
        <v>97</v>
      </c>
      <c r="K282" s="2" t="s">
        <v>77</v>
      </c>
      <c r="L282" s="2" t="s">
        <v>136</v>
      </c>
      <c r="M282" s="2" t="s">
        <v>137</v>
      </c>
      <c r="N282" s="2" t="s">
        <v>147</v>
      </c>
      <c r="O282" s="2" t="s">
        <v>101</v>
      </c>
      <c r="P282" s="2" t="str">
        <f>"2170605299                    "</f>
        <v xml:space="preserve">2170605299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5.65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45.15</v>
      </c>
      <c r="BM282" s="2">
        <v>6.32</v>
      </c>
      <c r="BN282" s="2">
        <v>51.47</v>
      </c>
      <c r="BO282" s="2">
        <v>51.47</v>
      </c>
      <c r="BQ282" s="2" t="s">
        <v>82</v>
      </c>
      <c r="BR282" s="2" t="s">
        <v>103</v>
      </c>
      <c r="BS282" s="3">
        <v>43074</v>
      </c>
      <c r="BT282" s="4">
        <v>0.35416666666666669</v>
      </c>
      <c r="BU282" s="2" t="s">
        <v>730</v>
      </c>
      <c r="BV282" s="2" t="s">
        <v>85</v>
      </c>
      <c r="BY282" s="2">
        <v>1200</v>
      </c>
      <c r="BZ282" s="2" t="s">
        <v>27</v>
      </c>
      <c r="CA282" s="2" t="s">
        <v>448</v>
      </c>
      <c r="CC282" s="2" t="s">
        <v>137</v>
      </c>
      <c r="CD282" s="2">
        <v>6014</v>
      </c>
      <c r="CE282" s="2" t="s">
        <v>120</v>
      </c>
      <c r="CF282" s="3">
        <v>43075</v>
      </c>
      <c r="CI282" s="2">
        <v>1</v>
      </c>
      <c r="CJ282" s="2">
        <v>1</v>
      </c>
      <c r="CK282" s="2">
        <v>21</v>
      </c>
      <c r="CL282" s="2" t="s">
        <v>89</v>
      </c>
    </row>
    <row r="283" spans="1:90">
      <c r="A283" s="2" t="s">
        <v>71</v>
      </c>
      <c r="B283" s="2" t="s">
        <v>72</v>
      </c>
      <c r="C283" s="2" t="s">
        <v>73</v>
      </c>
      <c r="E283" s="2" t="str">
        <f>"009935791681"</f>
        <v>009935791681</v>
      </c>
      <c r="F283" s="3">
        <v>43070</v>
      </c>
      <c r="G283" s="2">
        <v>201806</v>
      </c>
      <c r="H283" s="2" t="s">
        <v>74</v>
      </c>
      <c r="I283" s="2" t="s">
        <v>75</v>
      </c>
      <c r="J283" s="2" t="s">
        <v>97</v>
      </c>
      <c r="K283" s="2" t="s">
        <v>77</v>
      </c>
      <c r="L283" s="2" t="s">
        <v>136</v>
      </c>
      <c r="M283" s="2" t="s">
        <v>137</v>
      </c>
      <c r="N283" s="2" t="s">
        <v>138</v>
      </c>
      <c r="O283" s="2" t="s">
        <v>101</v>
      </c>
      <c r="P283" s="2" t="str">
        <f>"1162566977                    "</f>
        <v xml:space="preserve">1162566977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5.65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45.15</v>
      </c>
      <c r="BM283" s="2">
        <v>6.32</v>
      </c>
      <c r="BN283" s="2">
        <v>51.47</v>
      </c>
      <c r="BO283" s="2">
        <v>51.47</v>
      </c>
      <c r="BP283" s="2" t="s">
        <v>731</v>
      </c>
      <c r="BQ283" s="2" t="s">
        <v>82</v>
      </c>
      <c r="BR283" s="2" t="s">
        <v>103</v>
      </c>
      <c r="BS283" s="3">
        <v>43073</v>
      </c>
      <c r="BT283" s="4">
        <v>0.35416666666666669</v>
      </c>
      <c r="BU283" s="2" t="s">
        <v>732</v>
      </c>
      <c r="BV283" s="2" t="s">
        <v>85</v>
      </c>
      <c r="BY283" s="2">
        <v>1200</v>
      </c>
      <c r="BZ283" s="2" t="s">
        <v>27</v>
      </c>
      <c r="CA283" s="2" t="s">
        <v>315</v>
      </c>
      <c r="CC283" s="2" t="s">
        <v>137</v>
      </c>
      <c r="CD283" s="2">
        <v>6001</v>
      </c>
      <c r="CE283" s="2" t="s">
        <v>120</v>
      </c>
      <c r="CI283" s="2">
        <v>1</v>
      </c>
      <c r="CJ283" s="2">
        <v>1</v>
      </c>
      <c r="CK283" s="2">
        <v>21</v>
      </c>
      <c r="CL283" s="2" t="s">
        <v>89</v>
      </c>
    </row>
    <row r="284" spans="1:90">
      <c r="A284" s="2" t="s">
        <v>71</v>
      </c>
      <c r="B284" s="2" t="s">
        <v>72</v>
      </c>
      <c r="C284" s="2" t="s">
        <v>73</v>
      </c>
      <c r="E284" s="2" t="str">
        <f>"FES1162593424"</f>
        <v>FES1162593424</v>
      </c>
      <c r="F284" s="3">
        <v>43073</v>
      </c>
      <c r="G284" s="2">
        <v>201806</v>
      </c>
      <c r="H284" s="2" t="s">
        <v>74</v>
      </c>
      <c r="I284" s="2" t="s">
        <v>75</v>
      </c>
      <c r="J284" s="2" t="s">
        <v>97</v>
      </c>
      <c r="K284" s="2" t="s">
        <v>77</v>
      </c>
      <c r="L284" s="2" t="s">
        <v>295</v>
      </c>
      <c r="M284" s="2" t="s">
        <v>296</v>
      </c>
      <c r="N284" s="2" t="s">
        <v>733</v>
      </c>
      <c r="O284" s="2" t="s">
        <v>101</v>
      </c>
      <c r="P284" s="2" t="str">
        <f>"217060855                     "</f>
        <v xml:space="preserve">217060855 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7.94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63.49</v>
      </c>
      <c r="BM284" s="2">
        <v>8.89</v>
      </c>
      <c r="BN284" s="2">
        <v>72.38</v>
      </c>
      <c r="BO284" s="2">
        <v>72.38</v>
      </c>
      <c r="BQ284" s="2" t="s">
        <v>142</v>
      </c>
      <c r="BR284" s="2" t="s">
        <v>103</v>
      </c>
      <c r="BS284" s="3">
        <v>43074</v>
      </c>
      <c r="BT284" s="4">
        <v>0.43402777777777773</v>
      </c>
      <c r="BU284" s="2" t="s">
        <v>200</v>
      </c>
      <c r="BV284" s="2" t="s">
        <v>85</v>
      </c>
      <c r="BY284" s="2">
        <v>1200</v>
      </c>
      <c r="BZ284" s="2" t="s">
        <v>27</v>
      </c>
      <c r="CC284" s="2" t="s">
        <v>296</v>
      </c>
      <c r="CD284" s="2">
        <v>407</v>
      </c>
      <c r="CE284" s="2" t="s">
        <v>120</v>
      </c>
      <c r="CF284" s="3">
        <v>43076</v>
      </c>
      <c r="CI284" s="2">
        <v>1</v>
      </c>
      <c r="CJ284" s="2">
        <v>1</v>
      </c>
      <c r="CK284" s="2">
        <v>24</v>
      </c>
      <c r="CL284" s="2" t="s">
        <v>89</v>
      </c>
    </row>
    <row r="285" spans="1:90">
      <c r="A285" s="2" t="s">
        <v>71</v>
      </c>
      <c r="B285" s="2" t="s">
        <v>72</v>
      </c>
      <c r="C285" s="2" t="s">
        <v>73</v>
      </c>
      <c r="E285" s="2" t="str">
        <f>"FES1162593068"</f>
        <v>FES1162593068</v>
      </c>
      <c r="F285" s="3">
        <v>43070</v>
      </c>
      <c r="G285" s="2">
        <v>201806</v>
      </c>
      <c r="H285" s="2" t="s">
        <v>74</v>
      </c>
      <c r="I285" s="2" t="s">
        <v>75</v>
      </c>
      <c r="J285" s="2" t="s">
        <v>97</v>
      </c>
      <c r="K285" s="2" t="s">
        <v>77</v>
      </c>
      <c r="L285" s="2" t="s">
        <v>115</v>
      </c>
      <c r="M285" s="2" t="s">
        <v>116</v>
      </c>
      <c r="N285" s="2" t="s">
        <v>458</v>
      </c>
      <c r="O285" s="2" t="s">
        <v>101</v>
      </c>
      <c r="P285" s="2" t="str">
        <f>"2170604544                    "</f>
        <v xml:space="preserve">2170604544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4.41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2</v>
      </c>
      <c r="BJ285" s="2">
        <v>0.2</v>
      </c>
      <c r="BK285" s="2">
        <v>2</v>
      </c>
      <c r="BL285" s="2">
        <v>35.270000000000003</v>
      </c>
      <c r="BM285" s="2">
        <v>4.9400000000000004</v>
      </c>
      <c r="BN285" s="2">
        <v>40.21</v>
      </c>
      <c r="BO285" s="2">
        <v>40.21</v>
      </c>
      <c r="BQ285" s="2" t="s">
        <v>102</v>
      </c>
      <c r="BR285" s="2" t="s">
        <v>103</v>
      </c>
      <c r="BS285" s="3">
        <v>43074</v>
      </c>
      <c r="BT285" s="4">
        <v>0.4375</v>
      </c>
      <c r="BU285" s="2" t="s">
        <v>459</v>
      </c>
      <c r="BV285" s="2" t="s">
        <v>89</v>
      </c>
      <c r="BW285" s="2" t="s">
        <v>149</v>
      </c>
      <c r="BX285" s="2" t="s">
        <v>456</v>
      </c>
      <c r="BY285" s="2">
        <v>1200</v>
      </c>
      <c r="CA285" s="2" t="s">
        <v>119</v>
      </c>
      <c r="CC285" s="2" t="s">
        <v>116</v>
      </c>
      <c r="CD285" s="2">
        <v>1460</v>
      </c>
      <c r="CE285" s="2" t="s">
        <v>120</v>
      </c>
      <c r="CF285" s="3">
        <v>43077</v>
      </c>
      <c r="CI285" s="2">
        <v>1</v>
      </c>
      <c r="CJ285" s="2">
        <v>2</v>
      </c>
      <c r="CK285" s="2">
        <v>22</v>
      </c>
      <c r="CL285" s="2" t="s">
        <v>89</v>
      </c>
    </row>
    <row r="286" spans="1:90">
      <c r="A286" s="2" t="s">
        <v>71</v>
      </c>
      <c r="B286" s="2" t="s">
        <v>72</v>
      </c>
      <c r="C286" s="2" t="s">
        <v>73</v>
      </c>
      <c r="E286" s="2" t="str">
        <f>"FES1162593500"</f>
        <v>FES1162593500</v>
      </c>
      <c r="F286" s="3">
        <v>43073</v>
      </c>
      <c r="G286" s="2">
        <v>201806</v>
      </c>
      <c r="H286" s="2" t="s">
        <v>74</v>
      </c>
      <c r="I286" s="2" t="s">
        <v>75</v>
      </c>
      <c r="J286" s="2" t="s">
        <v>97</v>
      </c>
      <c r="K286" s="2" t="s">
        <v>77</v>
      </c>
      <c r="L286" s="2" t="s">
        <v>651</v>
      </c>
      <c r="M286" s="2" t="s">
        <v>652</v>
      </c>
      <c r="N286" s="2" t="s">
        <v>734</v>
      </c>
      <c r="O286" s="2" t="s">
        <v>101</v>
      </c>
      <c r="P286" s="2" t="str">
        <f>"2170605391                    "</f>
        <v xml:space="preserve">2170605391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7.94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63.49</v>
      </c>
      <c r="BM286" s="2">
        <v>8.89</v>
      </c>
      <c r="BN286" s="2">
        <v>72.38</v>
      </c>
      <c r="BO286" s="2">
        <v>72.38</v>
      </c>
      <c r="BQ286" s="2" t="s">
        <v>735</v>
      </c>
      <c r="BR286" s="2" t="s">
        <v>103</v>
      </c>
      <c r="BS286" s="3">
        <v>43074</v>
      </c>
      <c r="BT286" s="4">
        <v>0.46180555555555558</v>
      </c>
      <c r="BU286" s="2" t="s">
        <v>736</v>
      </c>
      <c r="BV286" s="2" t="s">
        <v>85</v>
      </c>
      <c r="BY286" s="2">
        <v>1200</v>
      </c>
      <c r="BZ286" s="2" t="s">
        <v>27</v>
      </c>
      <c r="CA286" s="2" t="s">
        <v>656</v>
      </c>
      <c r="CC286" s="2" t="s">
        <v>652</v>
      </c>
      <c r="CD286" s="2">
        <v>250</v>
      </c>
      <c r="CE286" s="2" t="s">
        <v>120</v>
      </c>
      <c r="CF286" s="3">
        <v>43077</v>
      </c>
      <c r="CI286" s="2">
        <v>1</v>
      </c>
      <c r="CJ286" s="2">
        <v>1</v>
      </c>
      <c r="CK286" s="2">
        <v>24</v>
      </c>
      <c r="CL286" s="2" t="s">
        <v>89</v>
      </c>
    </row>
    <row r="287" spans="1:90">
      <c r="A287" s="2" t="s">
        <v>71</v>
      </c>
      <c r="B287" s="2" t="s">
        <v>72</v>
      </c>
      <c r="C287" s="2" t="s">
        <v>73</v>
      </c>
      <c r="E287" s="2" t="str">
        <f>"FES1162593285"</f>
        <v>FES1162593285</v>
      </c>
      <c r="F287" s="3">
        <v>43070</v>
      </c>
      <c r="G287" s="2">
        <v>201806</v>
      </c>
      <c r="H287" s="2" t="s">
        <v>74</v>
      </c>
      <c r="I287" s="2" t="s">
        <v>75</v>
      </c>
      <c r="J287" s="2" t="s">
        <v>97</v>
      </c>
      <c r="K287" s="2" t="s">
        <v>77</v>
      </c>
      <c r="L287" s="2" t="s">
        <v>173</v>
      </c>
      <c r="M287" s="2" t="s">
        <v>174</v>
      </c>
      <c r="N287" s="2" t="s">
        <v>393</v>
      </c>
      <c r="O287" s="2" t="s">
        <v>101</v>
      </c>
      <c r="P287" s="2" t="str">
        <f>"2170605579                    "</f>
        <v xml:space="preserve">2170605579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5.65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45.15</v>
      </c>
      <c r="BM287" s="2">
        <v>6.32</v>
      </c>
      <c r="BN287" s="2">
        <v>51.47</v>
      </c>
      <c r="BO287" s="2">
        <v>51.47</v>
      </c>
      <c r="BQ287" s="2" t="s">
        <v>102</v>
      </c>
      <c r="BR287" s="2" t="s">
        <v>103</v>
      </c>
      <c r="BS287" s="3">
        <v>43073</v>
      </c>
      <c r="BT287" s="4">
        <v>0.37916666666666665</v>
      </c>
      <c r="BU287" s="2" t="s">
        <v>737</v>
      </c>
      <c r="BV287" s="2" t="s">
        <v>85</v>
      </c>
      <c r="BY287" s="2">
        <v>1200</v>
      </c>
      <c r="BZ287" s="2" t="s">
        <v>27</v>
      </c>
      <c r="CA287" s="2" t="s">
        <v>395</v>
      </c>
      <c r="CC287" s="2" t="s">
        <v>174</v>
      </c>
      <c r="CD287" s="2">
        <v>7441</v>
      </c>
      <c r="CE287" s="2" t="s">
        <v>120</v>
      </c>
      <c r="CF287" s="3">
        <v>43074</v>
      </c>
      <c r="CI287" s="2">
        <v>1</v>
      </c>
      <c r="CJ287" s="2">
        <v>1</v>
      </c>
      <c r="CK287" s="2">
        <v>21</v>
      </c>
      <c r="CL287" s="2" t="s">
        <v>89</v>
      </c>
    </row>
    <row r="288" spans="1:90">
      <c r="A288" s="2" t="s">
        <v>71</v>
      </c>
      <c r="B288" s="2" t="s">
        <v>72</v>
      </c>
      <c r="C288" s="2" t="s">
        <v>73</v>
      </c>
      <c r="E288" s="2" t="str">
        <f>"FES1162593418"</f>
        <v>FES1162593418</v>
      </c>
      <c r="F288" s="3">
        <v>43073</v>
      </c>
      <c r="G288" s="2">
        <v>201806</v>
      </c>
      <c r="H288" s="2" t="s">
        <v>74</v>
      </c>
      <c r="I288" s="2" t="s">
        <v>75</v>
      </c>
      <c r="J288" s="2" t="s">
        <v>97</v>
      </c>
      <c r="K288" s="2" t="s">
        <v>77</v>
      </c>
      <c r="L288" s="2" t="s">
        <v>158</v>
      </c>
      <c r="M288" s="2" t="s">
        <v>159</v>
      </c>
      <c r="N288" s="2" t="s">
        <v>738</v>
      </c>
      <c r="O288" s="2" t="s">
        <v>101</v>
      </c>
      <c r="P288" s="2" t="str">
        <f>"2170603411                    "</f>
        <v xml:space="preserve">2170603411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5.65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45.15</v>
      </c>
      <c r="BM288" s="2">
        <v>6.32</v>
      </c>
      <c r="BN288" s="2">
        <v>51.47</v>
      </c>
      <c r="BO288" s="2">
        <v>51.47</v>
      </c>
      <c r="BQ288" s="2" t="s">
        <v>739</v>
      </c>
      <c r="BR288" s="2" t="s">
        <v>103</v>
      </c>
      <c r="BS288" s="3">
        <v>43074</v>
      </c>
      <c r="BT288" s="4">
        <v>0.50972222222222219</v>
      </c>
      <c r="BU288" s="2" t="s">
        <v>740</v>
      </c>
      <c r="BV288" s="2" t="s">
        <v>89</v>
      </c>
      <c r="BY288" s="2">
        <v>1200</v>
      </c>
      <c r="BZ288" s="2" t="s">
        <v>27</v>
      </c>
      <c r="CC288" s="2" t="s">
        <v>159</v>
      </c>
      <c r="CD288" s="2">
        <v>117</v>
      </c>
      <c r="CE288" s="2" t="s">
        <v>120</v>
      </c>
      <c r="CF288" s="3">
        <v>43076</v>
      </c>
      <c r="CI288" s="2">
        <v>1</v>
      </c>
      <c r="CJ288" s="2">
        <v>1</v>
      </c>
      <c r="CK288" s="2">
        <v>21</v>
      </c>
      <c r="CL288" s="2" t="s">
        <v>89</v>
      </c>
    </row>
    <row r="289" spans="1:90">
      <c r="A289" s="2" t="s">
        <v>71</v>
      </c>
      <c r="B289" s="2" t="s">
        <v>72</v>
      </c>
      <c r="C289" s="2" t="s">
        <v>73</v>
      </c>
      <c r="E289" s="2" t="str">
        <f>"FES1162593218"</f>
        <v>FES1162593218</v>
      </c>
      <c r="F289" s="3">
        <v>43070</v>
      </c>
      <c r="G289" s="2">
        <v>201806</v>
      </c>
      <c r="H289" s="2" t="s">
        <v>74</v>
      </c>
      <c r="I289" s="2" t="s">
        <v>75</v>
      </c>
      <c r="J289" s="2" t="s">
        <v>97</v>
      </c>
      <c r="K289" s="2" t="s">
        <v>77</v>
      </c>
      <c r="L289" s="2" t="s">
        <v>173</v>
      </c>
      <c r="M289" s="2" t="s">
        <v>174</v>
      </c>
      <c r="N289" s="2" t="s">
        <v>741</v>
      </c>
      <c r="O289" s="2" t="s">
        <v>101</v>
      </c>
      <c r="P289" s="2" t="str">
        <f>"2170605521                    "</f>
        <v xml:space="preserve">2170605521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5.65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1.2</v>
      </c>
      <c r="BJ289" s="2">
        <v>0.9</v>
      </c>
      <c r="BK289" s="2">
        <v>1.5</v>
      </c>
      <c r="BL289" s="2">
        <v>45.15</v>
      </c>
      <c r="BM289" s="2">
        <v>6.32</v>
      </c>
      <c r="BN289" s="2">
        <v>51.47</v>
      </c>
      <c r="BO289" s="2">
        <v>51.47</v>
      </c>
      <c r="BR289" s="2" t="s">
        <v>103</v>
      </c>
      <c r="BS289" s="3">
        <v>43073</v>
      </c>
      <c r="BT289" s="4">
        <v>0.53541666666666665</v>
      </c>
      <c r="BU289" s="2" t="s">
        <v>742</v>
      </c>
      <c r="BV289" s="2" t="s">
        <v>89</v>
      </c>
      <c r="BW289" s="2" t="s">
        <v>313</v>
      </c>
      <c r="BX289" s="2" t="s">
        <v>246</v>
      </c>
      <c r="BY289" s="2">
        <v>4600.71</v>
      </c>
      <c r="BZ289" s="2" t="s">
        <v>27</v>
      </c>
      <c r="CA289" s="2" t="s">
        <v>743</v>
      </c>
      <c r="CC289" s="2" t="s">
        <v>174</v>
      </c>
      <c r="CD289" s="2">
        <v>7915</v>
      </c>
      <c r="CE289" s="2" t="s">
        <v>87</v>
      </c>
      <c r="CF289" s="3">
        <v>43074</v>
      </c>
      <c r="CI289" s="2">
        <v>1</v>
      </c>
      <c r="CJ289" s="2">
        <v>1</v>
      </c>
      <c r="CK289" s="2">
        <v>21</v>
      </c>
      <c r="CL289" s="2" t="s">
        <v>89</v>
      </c>
    </row>
    <row r="290" spans="1:90">
      <c r="A290" s="2" t="s">
        <v>71</v>
      </c>
      <c r="B290" s="2" t="s">
        <v>72</v>
      </c>
      <c r="C290" s="2" t="s">
        <v>73</v>
      </c>
      <c r="E290" s="2" t="str">
        <f>"FES1162593460"</f>
        <v>FES1162593460</v>
      </c>
      <c r="F290" s="3">
        <v>43073</v>
      </c>
      <c r="G290" s="2">
        <v>201806</v>
      </c>
      <c r="H290" s="2" t="s">
        <v>74</v>
      </c>
      <c r="I290" s="2" t="s">
        <v>75</v>
      </c>
      <c r="J290" s="2" t="s">
        <v>97</v>
      </c>
      <c r="K290" s="2" t="s">
        <v>77</v>
      </c>
      <c r="L290" s="2" t="s">
        <v>115</v>
      </c>
      <c r="M290" s="2" t="s">
        <v>116</v>
      </c>
      <c r="N290" s="2" t="s">
        <v>283</v>
      </c>
      <c r="O290" s="2" t="s">
        <v>101</v>
      </c>
      <c r="P290" s="2" t="str">
        <f>"2170604683                    "</f>
        <v xml:space="preserve">2170604683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4.41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35.270000000000003</v>
      </c>
      <c r="BM290" s="2">
        <v>4.9400000000000004</v>
      </c>
      <c r="BN290" s="2">
        <v>40.21</v>
      </c>
      <c r="BO290" s="2">
        <v>40.21</v>
      </c>
      <c r="BQ290" s="2" t="s">
        <v>102</v>
      </c>
      <c r="BR290" s="2" t="s">
        <v>103</v>
      </c>
      <c r="BS290" s="3">
        <v>43074</v>
      </c>
      <c r="BT290" s="4">
        <v>0.41666666666666669</v>
      </c>
      <c r="BU290" s="2" t="s">
        <v>579</v>
      </c>
      <c r="BV290" s="2" t="s">
        <v>85</v>
      </c>
      <c r="BY290" s="2">
        <v>1200</v>
      </c>
      <c r="BZ290" s="2" t="s">
        <v>27</v>
      </c>
      <c r="CC290" s="2" t="s">
        <v>116</v>
      </c>
      <c r="CD290" s="2">
        <v>1459</v>
      </c>
      <c r="CE290" s="2" t="s">
        <v>120</v>
      </c>
      <c r="CF290" s="3">
        <v>43077</v>
      </c>
      <c r="CI290" s="2">
        <v>1</v>
      </c>
      <c r="CJ290" s="2">
        <v>1</v>
      </c>
      <c r="CK290" s="2">
        <v>22</v>
      </c>
      <c r="CL290" s="2" t="s">
        <v>89</v>
      </c>
    </row>
    <row r="291" spans="1:90">
      <c r="A291" s="2" t="s">
        <v>71</v>
      </c>
      <c r="B291" s="2" t="s">
        <v>72</v>
      </c>
      <c r="C291" s="2" t="s">
        <v>73</v>
      </c>
      <c r="E291" s="2" t="str">
        <f>"FES1162593498"</f>
        <v>FES1162593498</v>
      </c>
      <c r="F291" s="3">
        <v>43073</v>
      </c>
      <c r="G291" s="2">
        <v>201806</v>
      </c>
      <c r="H291" s="2" t="s">
        <v>74</v>
      </c>
      <c r="I291" s="2" t="s">
        <v>75</v>
      </c>
      <c r="J291" s="2" t="s">
        <v>97</v>
      </c>
      <c r="K291" s="2" t="s">
        <v>77</v>
      </c>
      <c r="L291" s="2" t="s">
        <v>152</v>
      </c>
      <c r="M291" s="2" t="s">
        <v>153</v>
      </c>
      <c r="N291" s="2" t="s">
        <v>596</v>
      </c>
      <c r="O291" s="2" t="s">
        <v>101</v>
      </c>
      <c r="P291" s="2" t="str">
        <f>"2170605374                    "</f>
        <v xml:space="preserve">2170605374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4.41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4.5</v>
      </c>
      <c r="BJ291" s="2">
        <v>1.7</v>
      </c>
      <c r="BK291" s="2">
        <v>5</v>
      </c>
      <c r="BL291" s="2">
        <v>35.270000000000003</v>
      </c>
      <c r="BM291" s="2">
        <v>4.9400000000000004</v>
      </c>
      <c r="BN291" s="2">
        <v>40.21</v>
      </c>
      <c r="BO291" s="2">
        <v>40.21</v>
      </c>
      <c r="BQ291" s="2" t="s">
        <v>102</v>
      </c>
      <c r="BR291" s="2" t="s">
        <v>103</v>
      </c>
      <c r="BS291" s="3">
        <v>43074</v>
      </c>
      <c r="BT291" s="4">
        <v>0.41666666666666669</v>
      </c>
      <c r="BU291" s="2" t="s">
        <v>744</v>
      </c>
      <c r="BV291" s="2" t="s">
        <v>85</v>
      </c>
      <c r="BY291" s="2">
        <v>8335.4</v>
      </c>
      <c r="BZ291" s="2" t="s">
        <v>27</v>
      </c>
      <c r="CA291" s="2" t="s">
        <v>439</v>
      </c>
      <c r="CC291" s="2" t="s">
        <v>153</v>
      </c>
      <c r="CD291" s="2">
        <v>1422</v>
      </c>
      <c r="CE291" s="2" t="s">
        <v>95</v>
      </c>
      <c r="CF291" s="3">
        <v>43077</v>
      </c>
      <c r="CI291" s="2">
        <v>1</v>
      </c>
      <c r="CJ291" s="2">
        <v>1</v>
      </c>
      <c r="CK291" s="2">
        <v>22</v>
      </c>
      <c r="CL291" s="2" t="s">
        <v>89</v>
      </c>
    </row>
    <row r="292" spans="1:90">
      <c r="A292" s="2" t="s">
        <v>71</v>
      </c>
      <c r="B292" s="2" t="s">
        <v>72</v>
      </c>
      <c r="C292" s="2" t="s">
        <v>73</v>
      </c>
      <c r="E292" s="2" t="str">
        <f>"FES1162593275"</f>
        <v>FES1162593275</v>
      </c>
      <c r="F292" s="3">
        <v>43070</v>
      </c>
      <c r="G292" s="2">
        <v>201806</v>
      </c>
      <c r="H292" s="2" t="s">
        <v>74</v>
      </c>
      <c r="I292" s="2" t="s">
        <v>75</v>
      </c>
      <c r="J292" s="2" t="s">
        <v>97</v>
      </c>
      <c r="K292" s="2" t="s">
        <v>77</v>
      </c>
      <c r="L292" s="2" t="s">
        <v>173</v>
      </c>
      <c r="M292" s="2" t="s">
        <v>174</v>
      </c>
      <c r="N292" s="2" t="s">
        <v>175</v>
      </c>
      <c r="O292" s="2" t="s">
        <v>101</v>
      </c>
      <c r="P292" s="2" t="str">
        <f>"2170605571                    "</f>
        <v xml:space="preserve">2170605571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8.4700000000000006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3</v>
      </c>
      <c r="BJ292" s="2">
        <v>1.4</v>
      </c>
      <c r="BK292" s="2">
        <v>3</v>
      </c>
      <c r="BL292" s="2">
        <v>67.709999999999994</v>
      </c>
      <c r="BM292" s="2">
        <v>9.48</v>
      </c>
      <c r="BN292" s="2">
        <v>77.19</v>
      </c>
      <c r="BO292" s="2">
        <v>77.19</v>
      </c>
      <c r="BQ292" s="2" t="s">
        <v>102</v>
      </c>
      <c r="BR292" s="2" t="s">
        <v>103</v>
      </c>
      <c r="BS292" s="3">
        <v>43073</v>
      </c>
      <c r="BT292" s="4">
        <v>0.42083333333333334</v>
      </c>
      <c r="BU292" s="2" t="s">
        <v>176</v>
      </c>
      <c r="BV292" s="2" t="s">
        <v>85</v>
      </c>
      <c r="BY292" s="2">
        <v>6991.42</v>
      </c>
      <c r="BZ292" s="2" t="s">
        <v>27</v>
      </c>
      <c r="CA292" s="2" t="s">
        <v>177</v>
      </c>
      <c r="CC292" s="2" t="s">
        <v>174</v>
      </c>
      <c r="CD292" s="2">
        <v>7405</v>
      </c>
      <c r="CE292" s="2" t="s">
        <v>95</v>
      </c>
      <c r="CF292" s="3">
        <v>43074</v>
      </c>
      <c r="CI292" s="2">
        <v>1</v>
      </c>
      <c r="CJ292" s="2">
        <v>1</v>
      </c>
      <c r="CK292" s="2">
        <v>21</v>
      </c>
      <c r="CL292" s="2" t="s">
        <v>89</v>
      </c>
    </row>
    <row r="293" spans="1:90">
      <c r="A293" s="2" t="s">
        <v>71</v>
      </c>
      <c r="B293" s="2" t="s">
        <v>72</v>
      </c>
      <c r="C293" s="2" t="s">
        <v>73</v>
      </c>
      <c r="E293" s="2" t="str">
        <f>"FES1162593653"</f>
        <v>FES1162593653</v>
      </c>
      <c r="F293" s="3">
        <v>43073</v>
      </c>
      <c r="G293" s="2">
        <v>201806</v>
      </c>
      <c r="H293" s="2" t="s">
        <v>74</v>
      </c>
      <c r="I293" s="2" t="s">
        <v>75</v>
      </c>
      <c r="J293" s="2" t="s">
        <v>97</v>
      </c>
      <c r="K293" s="2" t="s">
        <v>77</v>
      </c>
      <c r="L293" s="2" t="s">
        <v>145</v>
      </c>
      <c r="M293" s="2" t="s">
        <v>146</v>
      </c>
      <c r="N293" s="2" t="s">
        <v>745</v>
      </c>
      <c r="O293" s="2" t="s">
        <v>101</v>
      </c>
      <c r="P293" s="2" t="str">
        <f>"2170605766                    "</f>
        <v xml:space="preserve">2170605766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5.65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0.9</v>
      </c>
      <c r="BJ293" s="2">
        <v>0.9</v>
      </c>
      <c r="BK293" s="2">
        <v>1</v>
      </c>
      <c r="BL293" s="2">
        <v>45.15</v>
      </c>
      <c r="BM293" s="2">
        <v>6.32</v>
      </c>
      <c r="BN293" s="2">
        <v>51.47</v>
      </c>
      <c r="BO293" s="2">
        <v>51.47</v>
      </c>
      <c r="BQ293" s="2" t="s">
        <v>82</v>
      </c>
      <c r="BR293" s="2" t="s">
        <v>103</v>
      </c>
      <c r="BS293" s="3">
        <v>43074</v>
      </c>
      <c r="BT293" s="4">
        <v>0.41944444444444445</v>
      </c>
      <c r="BU293" s="2" t="s">
        <v>746</v>
      </c>
      <c r="BV293" s="2" t="s">
        <v>85</v>
      </c>
      <c r="BY293" s="2">
        <v>4505.28</v>
      </c>
      <c r="BZ293" s="2" t="s">
        <v>27</v>
      </c>
      <c r="CA293" s="2" t="s">
        <v>629</v>
      </c>
      <c r="CC293" s="2" t="s">
        <v>146</v>
      </c>
      <c r="CD293" s="2">
        <v>5201</v>
      </c>
      <c r="CE293" s="2" t="s">
        <v>356</v>
      </c>
      <c r="CF293" s="3">
        <v>43076</v>
      </c>
      <c r="CI293" s="2">
        <v>1</v>
      </c>
      <c r="CJ293" s="2">
        <v>1</v>
      </c>
      <c r="CK293" s="2">
        <v>21</v>
      </c>
      <c r="CL293" s="2" t="s">
        <v>89</v>
      </c>
    </row>
    <row r="294" spans="1:90">
      <c r="A294" s="2" t="s">
        <v>71</v>
      </c>
      <c r="B294" s="2" t="s">
        <v>72</v>
      </c>
      <c r="C294" s="2" t="s">
        <v>73</v>
      </c>
      <c r="E294" s="2" t="str">
        <f>"FES1162593163"</f>
        <v>FES1162593163</v>
      </c>
      <c r="F294" s="3">
        <v>43070</v>
      </c>
      <c r="G294" s="2">
        <v>201806</v>
      </c>
      <c r="H294" s="2" t="s">
        <v>74</v>
      </c>
      <c r="I294" s="2" t="s">
        <v>75</v>
      </c>
      <c r="J294" s="2" t="s">
        <v>97</v>
      </c>
      <c r="K294" s="2" t="s">
        <v>77</v>
      </c>
      <c r="L294" s="2" t="s">
        <v>131</v>
      </c>
      <c r="M294" s="2" t="s">
        <v>132</v>
      </c>
      <c r="N294" s="2" t="s">
        <v>228</v>
      </c>
      <c r="O294" s="2" t="s">
        <v>101</v>
      </c>
      <c r="P294" s="2" t="str">
        <f>"2170605491                    "</f>
        <v xml:space="preserve">2170605491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5.65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45.15</v>
      </c>
      <c r="BM294" s="2">
        <v>6.32</v>
      </c>
      <c r="BN294" s="2">
        <v>51.47</v>
      </c>
      <c r="BO294" s="2">
        <v>51.47</v>
      </c>
      <c r="BQ294" s="2" t="s">
        <v>229</v>
      </c>
      <c r="BR294" s="2" t="s">
        <v>103</v>
      </c>
      <c r="BS294" s="3">
        <v>43073</v>
      </c>
      <c r="BT294" s="4">
        <v>0.4201388888888889</v>
      </c>
      <c r="BU294" s="2" t="s">
        <v>230</v>
      </c>
      <c r="BV294" s="2" t="s">
        <v>85</v>
      </c>
      <c r="BY294" s="2">
        <v>1200</v>
      </c>
      <c r="BZ294" s="2" t="s">
        <v>27</v>
      </c>
      <c r="CA294" s="2" t="s">
        <v>231</v>
      </c>
      <c r="CC294" s="2" t="s">
        <v>132</v>
      </c>
      <c r="CD294" s="2">
        <v>4300</v>
      </c>
      <c r="CE294" s="2" t="s">
        <v>120</v>
      </c>
      <c r="CF294" s="3">
        <v>43074</v>
      </c>
      <c r="CI294" s="2">
        <v>1</v>
      </c>
      <c r="CJ294" s="2">
        <v>1</v>
      </c>
      <c r="CK294" s="2">
        <v>21</v>
      </c>
      <c r="CL294" s="2" t="s">
        <v>89</v>
      </c>
    </row>
    <row r="295" spans="1:90">
      <c r="A295" s="2" t="s">
        <v>71</v>
      </c>
      <c r="B295" s="2" t="s">
        <v>72</v>
      </c>
      <c r="C295" s="2" t="s">
        <v>73</v>
      </c>
      <c r="E295" s="2" t="str">
        <f>"FES1162593479"</f>
        <v>FES1162593479</v>
      </c>
      <c r="F295" s="3">
        <v>43073</v>
      </c>
      <c r="G295" s="2">
        <v>201806</v>
      </c>
      <c r="H295" s="2" t="s">
        <v>74</v>
      </c>
      <c r="I295" s="2" t="s">
        <v>75</v>
      </c>
      <c r="J295" s="2" t="s">
        <v>97</v>
      </c>
      <c r="K295" s="2" t="s">
        <v>77</v>
      </c>
      <c r="L295" s="2" t="s">
        <v>566</v>
      </c>
      <c r="M295" s="2" t="s">
        <v>567</v>
      </c>
      <c r="N295" s="2" t="s">
        <v>568</v>
      </c>
      <c r="O295" s="2" t="s">
        <v>101</v>
      </c>
      <c r="P295" s="2" t="str">
        <f>"2170604988                    "</f>
        <v xml:space="preserve">2170604988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7.94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1</v>
      </c>
      <c r="BJ295" s="2">
        <v>0.2</v>
      </c>
      <c r="BK295" s="2">
        <v>1</v>
      </c>
      <c r="BL295" s="2">
        <v>63.49</v>
      </c>
      <c r="BM295" s="2">
        <v>8.89</v>
      </c>
      <c r="BN295" s="2">
        <v>72.38</v>
      </c>
      <c r="BO295" s="2">
        <v>72.38</v>
      </c>
      <c r="BQ295" s="2" t="s">
        <v>102</v>
      </c>
      <c r="BR295" s="2" t="s">
        <v>103</v>
      </c>
      <c r="BS295" s="3">
        <v>43074</v>
      </c>
      <c r="BT295" s="4">
        <v>0.40833333333333338</v>
      </c>
      <c r="BU295" s="2" t="s">
        <v>569</v>
      </c>
      <c r="BV295" s="2" t="s">
        <v>85</v>
      </c>
      <c r="BY295" s="2">
        <v>1200</v>
      </c>
      <c r="BZ295" s="2" t="s">
        <v>27</v>
      </c>
      <c r="CA295" s="2" t="s">
        <v>570</v>
      </c>
      <c r="CC295" s="2" t="s">
        <v>567</v>
      </c>
      <c r="CD295" s="2">
        <v>1739</v>
      </c>
      <c r="CE295" s="2" t="s">
        <v>120</v>
      </c>
      <c r="CF295" s="3">
        <v>43077</v>
      </c>
      <c r="CI295" s="2">
        <v>1</v>
      </c>
      <c r="CJ295" s="2">
        <v>1</v>
      </c>
      <c r="CK295" s="2">
        <v>24</v>
      </c>
      <c r="CL295" s="2" t="s">
        <v>89</v>
      </c>
    </row>
    <row r="296" spans="1:90">
      <c r="A296" s="2" t="s">
        <v>71</v>
      </c>
      <c r="B296" s="2" t="s">
        <v>72</v>
      </c>
      <c r="C296" s="2" t="s">
        <v>73</v>
      </c>
      <c r="E296" s="2" t="str">
        <f>"FES1162593256"</f>
        <v>FES1162593256</v>
      </c>
      <c r="F296" s="3">
        <v>43070</v>
      </c>
      <c r="G296" s="2">
        <v>201806</v>
      </c>
      <c r="H296" s="2" t="s">
        <v>74</v>
      </c>
      <c r="I296" s="2" t="s">
        <v>75</v>
      </c>
      <c r="J296" s="2" t="s">
        <v>97</v>
      </c>
      <c r="K296" s="2" t="s">
        <v>77</v>
      </c>
      <c r="L296" s="2" t="s">
        <v>173</v>
      </c>
      <c r="M296" s="2" t="s">
        <v>174</v>
      </c>
      <c r="N296" s="2" t="s">
        <v>747</v>
      </c>
      <c r="O296" s="2" t="s">
        <v>101</v>
      </c>
      <c r="P296" s="2" t="str">
        <f>"2170601761                    "</f>
        <v xml:space="preserve">2170601761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5.65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</v>
      </c>
      <c r="BJ296" s="2">
        <v>1</v>
      </c>
      <c r="BK296" s="2">
        <v>1</v>
      </c>
      <c r="BL296" s="2">
        <v>45.15</v>
      </c>
      <c r="BM296" s="2">
        <v>6.32</v>
      </c>
      <c r="BN296" s="2">
        <v>51.47</v>
      </c>
      <c r="BO296" s="2">
        <v>51.47</v>
      </c>
      <c r="BQ296" s="2" t="s">
        <v>142</v>
      </c>
      <c r="BR296" s="2" t="s">
        <v>103</v>
      </c>
      <c r="BS296" s="3">
        <v>43073</v>
      </c>
      <c r="BT296" s="4">
        <v>0.41666666666666669</v>
      </c>
      <c r="BU296" s="2" t="s">
        <v>748</v>
      </c>
      <c r="BV296" s="2" t="s">
        <v>85</v>
      </c>
      <c r="BY296" s="2">
        <v>5054.42</v>
      </c>
      <c r="BZ296" s="2" t="s">
        <v>27</v>
      </c>
      <c r="CA296" s="2" t="s">
        <v>749</v>
      </c>
      <c r="CC296" s="2" t="s">
        <v>174</v>
      </c>
      <c r="CD296" s="2">
        <v>7580</v>
      </c>
      <c r="CE296" s="2" t="s">
        <v>87</v>
      </c>
      <c r="CF296" s="3">
        <v>43074</v>
      </c>
      <c r="CI296" s="2">
        <v>1</v>
      </c>
      <c r="CJ296" s="2">
        <v>1</v>
      </c>
      <c r="CK296" s="2">
        <v>21</v>
      </c>
      <c r="CL296" s="2" t="s">
        <v>89</v>
      </c>
    </row>
    <row r="297" spans="1:90">
      <c r="A297" s="2" t="s">
        <v>71</v>
      </c>
      <c r="B297" s="2" t="s">
        <v>72</v>
      </c>
      <c r="C297" s="2" t="s">
        <v>73</v>
      </c>
      <c r="E297" s="2" t="str">
        <f>"FES1162593457"</f>
        <v>FES1162593457</v>
      </c>
      <c r="F297" s="3">
        <v>43073</v>
      </c>
      <c r="G297" s="2">
        <v>201806</v>
      </c>
      <c r="H297" s="2" t="s">
        <v>74</v>
      </c>
      <c r="I297" s="2" t="s">
        <v>75</v>
      </c>
      <c r="J297" s="2" t="s">
        <v>97</v>
      </c>
      <c r="K297" s="2" t="s">
        <v>77</v>
      </c>
      <c r="L297" s="2" t="s">
        <v>158</v>
      </c>
      <c r="M297" s="2" t="s">
        <v>159</v>
      </c>
      <c r="N297" s="2" t="s">
        <v>750</v>
      </c>
      <c r="O297" s="2" t="s">
        <v>101</v>
      </c>
      <c r="P297" s="2" t="str">
        <f>"2170604580                    "</f>
        <v xml:space="preserve">2170604580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5.65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</v>
      </c>
      <c r="BJ297" s="2">
        <v>0.2</v>
      </c>
      <c r="BK297" s="2">
        <v>1</v>
      </c>
      <c r="BL297" s="2">
        <v>45.15</v>
      </c>
      <c r="BM297" s="2">
        <v>6.32</v>
      </c>
      <c r="BN297" s="2">
        <v>51.47</v>
      </c>
      <c r="BO297" s="2">
        <v>51.47</v>
      </c>
      <c r="BQ297" s="2" t="s">
        <v>751</v>
      </c>
      <c r="BR297" s="2" t="s">
        <v>103</v>
      </c>
      <c r="BS297" s="3">
        <v>43074</v>
      </c>
      <c r="BT297" s="4">
        <v>0.46527777777777773</v>
      </c>
      <c r="BU297" s="2" t="s">
        <v>752</v>
      </c>
      <c r="BV297" s="2" t="s">
        <v>89</v>
      </c>
      <c r="BW297" s="2" t="s">
        <v>156</v>
      </c>
      <c r="BX297" s="2" t="s">
        <v>668</v>
      </c>
      <c r="BY297" s="2">
        <v>1200</v>
      </c>
      <c r="BZ297" s="2" t="s">
        <v>27</v>
      </c>
      <c r="CA297" s="2" t="s">
        <v>322</v>
      </c>
      <c r="CC297" s="2" t="s">
        <v>159</v>
      </c>
      <c r="CD297" s="2">
        <v>182</v>
      </c>
      <c r="CE297" s="2" t="s">
        <v>120</v>
      </c>
      <c r="CF297" s="3">
        <v>43076</v>
      </c>
      <c r="CI297" s="2">
        <v>1</v>
      </c>
      <c r="CJ297" s="2">
        <v>1</v>
      </c>
      <c r="CK297" s="2">
        <v>21</v>
      </c>
      <c r="CL297" s="2" t="s">
        <v>89</v>
      </c>
    </row>
    <row r="298" spans="1:90">
      <c r="A298" s="2" t="s">
        <v>71</v>
      </c>
      <c r="B298" s="2" t="s">
        <v>72</v>
      </c>
      <c r="C298" s="2" t="s">
        <v>73</v>
      </c>
      <c r="E298" s="2" t="str">
        <f>"FES1162593294"</f>
        <v>FES1162593294</v>
      </c>
      <c r="F298" s="3">
        <v>43070</v>
      </c>
      <c r="G298" s="2">
        <v>201806</v>
      </c>
      <c r="H298" s="2" t="s">
        <v>74</v>
      </c>
      <c r="I298" s="2" t="s">
        <v>75</v>
      </c>
      <c r="J298" s="2" t="s">
        <v>97</v>
      </c>
      <c r="K298" s="2" t="s">
        <v>77</v>
      </c>
      <c r="L298" s="2" t="s">
        <v>145</v>
      </c>
      <c r="M298" s="2" t="s">
        <v>146</v>
      </c>
      <c r="N298" s="2" t="s">
        <v>753</v>
      </c>
      <c r="O298" s="2" t="s">
        <v>101</v>
      </c>
      <c r="P298" s="2" t="str">
        <f>"217065524                     "</f>
        <v xml:space="preserve">217065524 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8.4700000000000006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3</v>
      </c>
      <c r="BJ298" s="2">
        <v>2.5</v>
      </c>
      <c r="BK298" s="2">
        <v>3</v>
      </c>
      <c r="BL298" s="2">
        <v>67.709999999999994</v>
      </c>
      <c r="BM298" s="2">
        <v>9.48</v>
      </c>
      <c r="BN298" s="2">
        <v>77.19</v>
      </c>
      <c r="BO298" s="2">
        <v>77.19</v>
      </c>
      <c r="BQ298" s="2" t="s">
        <v>82</v>
      </c>
      <c r="BR298" s="2" t="s">
        <v>103</v>
      </c>
      <c r="BS298" s="3">
        <v>43073</v>
      </c>
      <c r="BT298" s="4">
        <v>0.41388888888888892</v>
      </c>
      <c r="BU298" s="2" t="s">
        <v>524</v>
      </c>
      <c r="BV298" s="2" t="s">
        <v>85</v>
      </c>
      <c r="BY298" s="2">
        <v>12636</v>
      </c>
      <c r="BZ298" s="2" t="s">
        <v>27</v>
      </c>
      <c r="CA298" s="2" t="s">
        <v>754</v>
      </c>
      <c r="CC298" s="2" t="s">
        <v>146</v>
      </c>
      <c r="CD298" s="2">
        <v>5201</v>
      </c>
      <c r="CE298" s="2" t="s">
        <v>87</v>
      </c>
      <c r="CF298" s="3">
        <v>43074</v>
      </c>
      <c r="CI298" s="2">
        <v>1</v>
      </c>
      <c r="CJ298" s="2">
        <v>1</v>
      </c>
      <c r="CK298" s="2">
        <v>21</v>
      </c>
      <c r="CL298" s="2" t="s">
        <v>89</v>
      </c>
    </row>
    <row r="299" spans="1:90">
      <c r="A299" s="2" t="s">
        <v>71</v>
      </c>
      <c r="B299" s="2" t="s">
        <v>72</v>
      </c>
      <c r="C299" s="2" t="s">
        <v>73</v>
      </c>
      <c r="E299" s="2" t="str">
        <f>"FES1162593329"</f>
        <v>FES1162593329</v>
      </c>
      <c r="F299" s="3">
        <v>43073</v>
      </c>
      <c r="G299" s="2">
        <v>201806</v>
      </c>
      <c r="H299" s="2" t="s">
        <v>74</v>
      </c>
      <c r="I299" s="2" t="s">
        <v>75</v>
      </c>
      <c r="J299" s="2" t="s">
        <v>97</v>
      </c>
      <c r="K299" s="2" t="s">
        <v>77</v>
      </c>
      <c r="L299" s="2" t="s">
        <v>74</v>
      </c>
      <c r="M299" s="2" t="s">
        <v>75</v>
      </c>
      <c r="N299" s="2" t="s">
        <v>688</v>
      </c>
      <c r="O299" s="2" t="s">
        <v>101</v>
      </c>
      <c r="P299" s="2" t="str">
        <f>"2170604618                    "</f>
        <v xml:space="preserve">2170604618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4.41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1</v>
      </c>
      <c r="BJ299" s="2">
        <v>0.2</v>
      </c>
      <c r="BK299" s="2">
        <v>1</v>
      </c>
      <c r="BL299" s="2">
        <v>35.270000000000003</v>
      </c>
      <c r="BM299" s="2">
        <v>4.9400000000000004</v>
      </c>
      <c r="BN299" s="2">
        <v>40.21</v>
      </c>
      <c r="BO299" s="2">
        <v>40.21</v>
      </c>
      <c r="BQ299" s="2" t="s">
        <v>82</v>
      </c>
      <c r="BR299" s="2" t="s">
        <v>103</v>
      </c>
      <c r="BS299" s="3">
        <v>43074</v>
      </c>
      <c r="BT299" s="4">
        <v>0.4375</v>
      </c>
      <c r="BU299" s="2" t="s">
        <v>755</v>
      </c>
      <c r="BV299" s="2" t="s">
        <v>85</v>
      </c>
      <c r="BY299" s="2">
        <v>1200</v>
      </c>
      <c r="BZ299" s="2" t="s">
        <v>27</v>
      </c>
      <c r="CA299" s="2" t="s">
        <v>203</v>
      </c>
      <c r="CC299" s="2" t="s">
        <v>75</v>
      </c>
      <c r="CD299" s="2">
        <v>1666</v>
      </c>
      <c r="CE299" s="2" t="s">
        <v>120</v>
      </c>
      <c r="CF299" s="3">
        <v>43077</v>
      </c>
      <c r="CI299" s="2">
        <v>1</v>
      </c>
      <c r="CJ299" s="2">
        <v>1</v>
      </c>
      <c r="CK299" s="2">
        <v>22</v>
      </c>
      <c r="CL299" s="2" t="s">
        <v>89</v>
      </c>
    </row>
    <row r="300" spans="1:90">
      <c r="A300" s="2" t="s">
        <v>71</v>
      </c>
      <c r="B300" s="2" t="s">
        <v>72</v>
      </c>
      <c r="C300" s="2" t="s">
        <v>73</v>
      </c>
      <c r="E300" s="2" t="str">
        <f>"FES1162593518"</f>
        <v>FES1162593518</v>
      </c>
      <c r="F300" s="3">
        <v>43073</v>
      </c>
      <c r="G300" s="2">
        <v>201806</v>
      </c>
      <c r="H300" s="2" t="s">
        <v>74</v>
      </c>
      <c r="I300" s="2" t="s">
        <v>75</v>
      </c>
      <c r="J300" s="2" t="s">
        <v>97</v>
      </c>
      <c r="K300" s="2" t="s">
        <v>77</v>
      </c>
      <c r="L300" s="2" t="s">
        <v>158</v>
      </c>
      <c r="M300" s="2" t="s">
        <v>159</v>
      </c>
      <c r="N300" s="2" t="s">
        <v>738</v>
      </c>
      <c r="O300" s="2" t="s">
        <v>101</v>
      </c>
      <c r="P300" s="2" t="str">
        <f>"2170605610                    "</f>
        <v xml:space="preserve">2170605610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5.65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45.15</v>
      </c>
      <c r="BM300" s="2">
        <v>6.32</v>
      </c>
      <c r="BN300" s="2">
        <v>51.47</v>
      </c>
      <c r="BO300" s="2">
        <v>51.47</v>
      </c>
      <c r="BQ300" s="2" t="s">
        <v>739</v>
      </c>
      <c r="BR300" s="2" t="s">
        <v>103</v>
      </c>
      <c r="BS300" s="3">
        <v>43074</v>
      </c>
      <c r="BT300" s="4">
        <v>0.59791666666666665</v>
      </c>
      <c r="BU300" s="2" t="s">
        <v>740</v>
      </c>
      <c r="BV300" s="2" t="s">
        <v>89</v>
      </c>
      <c r="BY300" s="2">
        <v>1200</v>
      </c>
      <c r="BZ300" s="2" t="s">
        <v>27</v>
      </c>
      <c r="CC300" s="2" t="s">
        <v>159</v>
      </c>
      <c r="CD300" s="2">
        <v>117</v>
      </c>
      <c r="CE300" s="2" t="s">
        <v>120</v>
      </c>
      <c r="CF300" s="3">
        <v>43076</v>
      </c>
      <c r="CI300" s="2">
        <v>1</v>
      </c>
      <c r="CJ300" s="2">
        <v>1</v>
      </c>
      <c r="CK300" s="2">
        <v>21</v>
      </c>
      <c r="CL300" s="2" t="s">
        <v>89</v>
      </c>
    </row>
    <row r="301" spans="1:90">
      <c r="A301" s="2" t="s">
        <v>71</v>
      </c>
      <c r="B301" s="2" t="s">
        <v>72</v>
      </c>
      <c r="C301" s="2" t="s">
        <v>73</v>
      </c>
      <c r="E301" s="2" t="str">
        <f>"FES1162593257"</f>
        <v>FES1162593257</v>
      </c>
      <c r="F301" s="3">
        <v>43070</v>
      </c>
      <c r="G301" s="2">
        <v>201806</v>
      </c>
      <c r="H301" s="2" t="s">
        <v>74</v>
      </c>
      <c r="I301" s="2" t="s">
        <v>75</v>
      </c>
      <c r="J301" s="2" t="s">
        <v>97</v>
      </c>
      <c r="K301" s="2" t="s">
        <v>77</v>
      </c>
      <c r="L301" s="2" t="s">
        <v>212</v>
      </c>
      <c r="M301" s="2" t="s">
        <v>212</v>
      </c>
      <c r="N301" s="2" t="s">
        <v>756</v>
      </c>
      <c r="O301" s="2" t="s">
        <v>101</v>
      </c>
      <c r="P301" s="2" t="str">
        <f>"2170603798                    "</f>
        <v xml:space="preserve">2170603798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9.8800000000000008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2.2999999999999998</v>
      </c>
      <c r="BJ301" s="2">
        <v>3.3</v>
      </c>
      <c r="BK301" s="2">
        <v>3.5</v>
      </c>
      <c r="BL301" s="2">
        <v>78.989999999999995</v>
      </c>
      <c r="BM301" s="2">
        <v>11.06</v>
      </c>
      <c r="BN301" s="2">
        <v>90.05</v>
      </c>
      <c r="BO301" s="2">
        <v>90.05</v>
      </c>
      <c r="BQ301" s="2" t="s">
        <v>757</v>
      </c>
      <c r="BR301" s="2" t="s">
        <v>103</v>
      </c>
      <c r="BS301" s="3">
        <v>43073</v>
      </c>
      <c r="BT301" s="4">
        <v>0.55625000000000002</v>
      </c>
      <c r="BU301" s="2" t="s">
        <v>758</v>
      </c>
      <c r="BV301" s="2" t="s">
        <v>85</v>
      </c>
      <c r="BY301" s="2">
        <v>16355.96</v>
      </c>
      <c r="BZ301" s="2" t="s">
        <v>27</v>
      </c>
      <c r="CA301" s="2" t="s">
        <v>532</v>
      </c>
      <c r="CC301" s="2" t="s">
        <v>212</v>
      </c>
      <c r="CD301" s="2">
        <v>7646</v>
      </c>
      <c r="CE301" s="2" t="s">
        <v>95</v>
      </c>
      <c r="CF301" s="3">
        <v>43074</v>
      </c>
      <c r="CI301" s="2">
        <v>1</v>
      </c>
      <c r="CJ301" s="2">
        <v>1</v>
      </c>
      <c r="CK301" s="2">
        <v>21</v>
      </c>
      <c r="CL301" s="2" t="s">
        <v>89</v>
      </c>
    </row>
    <row r="302" spans="1:90">
      <c r="A302" s="2" t="s">
        <v>71</v>
      </c>
      <c r="B302" s="2" t="s">
        <v>72</v>
      </c>
      <c r="C302" s="2" t="s">
        <v>73</v>
      </c>
      <c r="E302" s="2" t="str">
        <f>"FES1162593462"</f>
        <v>FES1162593462</v>
      </c>
      <c r="F302" s="3">
        <v>43073</v>
      </c>
      <c r="G302" s="2">
        <v>201806</v>
      </c>
      <c r="H302" s="2" t="s">
        <v>74</v>
      </c>
      <c r="I302" s="2" t="s">
        <v>75</v>
      </c>
      <c r="J302" s="2" t="s">
        <v>97</v>
      </c>
      <c r="K302" s="2" t="s">
        <v>77</v>
      </c>
      <c r="L302" s="2" t="s">
        <v>212</v>
      </c>
      <c r="M302" s="2" t="s">
        <v>212</v>
      </c>
      <c r="N302" s="2" t="s">
        <v>213</v>
      </c>
      <c r="O302" s="2" t="s">
        <v>101</v>
      </c>
      <c r="P302" s="2" t="str">
        <f>"2170604745                    "</f>
        <v xml:space="preserve">2170604745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5.65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45.15</v>
      </c>
      <c r="BM302" s="2">
        <v>6.32</v>
      </c>
      <c r="BN302" s="2">
        <v>51.47</v>
      </c>
      <c r="BO302" s="2">
        <v>51.47</v>
      </c>
      <c r="BQ302" s="2" t="s">
        <v>102</v>
      </c>
      <c r="BR302" s="2" t="s">
        <v>103</v>
      </c>
      <c r="BS302" s="3">
        <v>43074</v>
      </c>
      <c r="BT302" s="4">
        <v>0.57291666666666663</v>
      </c>
      <c r="BU302" s="2" t="s">
        <v>531</v>
      </c>
      <c r="BV302" s="2" t="s">
        <v>85</v>
      </c>
      <c r="BY302" s="2">
        <v>1200</v>
      </c>
      <c r="BZ302" s="2" t="s">
        <v>27</v>
      </c>
      <c r="CA302" s="2" t="s">
        <v>532</v>
      </c>
      <c r="CC302" s="2" t="s">
        <v>212</v>
      </c>
      <c r="CD302" s="2">
        <v>7646</v>
      </c>
      <c r="CE302" s="2" t="s">
        <v>120</v>
      </c>
      <c r="CF302" s="3">
        <v>43074</v>
      </c>
      <c r="CI302" s="2">
        <v>1</v>
      </c>
      <c r="CJ302" s="2">
        <v>1</v>
      </c>
      <c r="CK302" s="2">
        <v>21</v>
      </c>
      <c r="CL302" s="2" t="s">
        <v>89</v>
      </c>
    </row>
    <row r="303" spans="1:90">
      <c r="A303" s="2" t="s">
        <v>71</v>
      </c>
      <c r="B303" s="2" t="s">
        <v>72</v>
      </c>
      <c r="C303" s="2" t="s">
        <v>73</v>
      </c>
      <c r="E303" s="2" t="str">
        <f>"FES1162593141"</f>
        <v>FES1162593141</v>
      </c>
      <c r="F303" s="3">
        <v>43070</v>
      </c>
      <c r="G303" s="2">
        <v>201806</v>
      </c>
      <c r="H303" s="2" t="s">
        <v>74</v>
      </c>
      <c r="I303" s="2" t="s">
        <v>75</v>
      </c>
      <c r="J303" s="2" t="s">
        <v>97</v>
      </c>
      <c r="K303" s="2" t="s">
        <v>77</v>
      </c>
      <c r="L303" s="2" t="s">
        <v>759</v>
      </c>
      <c r="M303" s="2" t="s">
        <v>760</v>
      </c>
      <c r="N303" s="2" t="s">
        <v>761</v>
      </c>
      <c r="O303" s="2" t="s">
        <v>101</v>
      </c>
      <c r="P303" s="2" t="str">
        <f>"2170605451                    "</f>
        <v xml:space="preserve">2170605451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8.4700000000000006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2</v>
      </c>
      <c r="BJ303" s="2">
        <v>2.9</v>
      </c>
      <c r="BK303" s="2">
        <v>3</v>
      </c>
      <c r="BL303" s="2">
        <v>67.709999999999994</v>
      </c>
      <c r="BM303" s="2">
        <v>9.48</v>
      </c>
      <c r="BN303" s="2">
        <v>77.19</v>
      </c>
      <c r="BO303" s="2">
        <v>77.19</v>
      </c>
      <c r="BQ303" s="2" t="s">
        <v>82</v>
      </c>
      <c r="BR303" s="2" t="s">
        <v>103</v>
      </c>
      <c r="BS303" s="3">
        <v>43073</v>
      </c>
      <c r="BT303" s="4">
        <v>0.36527777777777781</v>
      </c>
      <c r="BU303" s="2" t="s">
        <v>762</v>
      </c>
      <c r="BV303" s="2" t="s">
        <v>85</v>
      </c>
      <c r="BY303" s="2">
        <v>14266.43</v>
      </c>
      <c r="BZ303" s="2" t="s">
        <v>27</v>
      </c>
      <c r="CA303" s="2" t="s">
        <v>578</v>
      </c>
      <c r="CC303" s="2" t="s">
        <v>760</v>
      </c>
      <c r="CD303" s="2">
        <v>4026</v>
      </c>
      <c r="CE303" s="2" t="s">
        <v>87</v>
      </c>
      <c r="CF303" s="3">
        <v>43074</v>
      </c>
      <c r="CI303" s="2">
        <v>1</v>
      </c>
      <c r="CJ303" s="2">
        <v>1</v>
      </c>
      <c r="CK303" s="2">
        <v>21</v>
      </c>
      <c r="CL303" s="2" t="s">
        <v>89</v>
      </c>
    </row>
    <row r="304" spans="1:90">
      <c r="A304" s="2" t="s">
        <v>71</v>
      </c>
      <c r="B304" s="2" t="s">
        <v>72</v>
      </c>
      <c r="C304" s="2" t="s">
        <v>73</v>
      </c>
      <c r="E304" s="2" t="str">
        <f>"FES1162593227"</f>
        <v>FES1162593227</v>
      </c>
      <c r="F304" s="3">
        <v>43073</v>
      </c>
      <c r="G304" s="2">
        <v>201806</v>
      </c>
      <c r="H304" s="2" t="s">
        <v>74</v>
      </c>
      <c r="I304" s="2" t="s">
        <v>75</v>
      </c>
      <c r="J304" s="2" t="s">
        <v>97</v>
      </c>
      <c r="K304" s="2" t="s">
        <v>77</v>
      </c>
      <c r="L304" s="2" t="s">
        <v>158</v>
      </c>
      <c r="M304" s="2" t="s">
        <v>159</v>
      </c>
      <c r="N304" s="2" t="s">
        <v>164</v>
      </c>
      <c r="O304" s="2" t="s">
        <v>101</v>
      </c>
      <c r="P304" s="2" t="str">
        <f>"2170605528                    "</f>
        <v xml:space="preserve">2170605528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5.65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</v>
      </c>
      <c r="BJ304" s="2">
        <v>0.2</v>
      </c>
      <c r="BK304" s="2">
        <v>1</v>
      </c>
      <c r="BL304" s="2">
        <v>45.15</v>
      </c>
      <c r="BM304" s="2">
        <v>6.32</v>
      </c>
      <c r="BN304" s="2">
        <v>51.47</v>
      </c>
      <c r="BO304" s="2">
        <v>51.47</v>
      </c>
      <c r="BQ304" s="2" t="s">
        <v>102</v>
      </c>
      <c r="BR304" s="2" t="s">
        <v>103</v>
      </c>
      <c r="BS304" s="3">
        <v>43074</v>
      </c>
      <c r="BT304" s="4">
        <v>0.52847222222222223</v>
      </c>
      <c r="BU304" s="2" t="s">
        <v>114</v>
      </c>
      <c r="BV304" s="2" t="s">
        <v>89</v>
      </c>
      <c r="BW304" s="2" t="s">
        <v>156</v>
      </c>
      <c r="BX304" s="2" t="s">
        <v>565</v>
      </c>
      <c r="BY304" s="2">
        <v>1200</v>
      </c>
      <c r="BZ304" s="2" t="s">
        <v>27</v>
      </c>
      <c r="CC304" s="2" t="s">
        <v>159</v>
      </c>
      <c r="CD304" s="2">
        <v>200</v>
      </c>
      <c r="CE304" s="2" t="s">
        <v>120</v>
      </c>
      <c r="CF304" s="3">
        <v>43075</v>
      </c>
      <c r="CI304" s="2">
        <v>1</v>
      </c>
      <c r="CJ304" s="2">
        <v>1</v>
      </c>
      <c r="CK304" s="2">
        <v>21</v>
      </c>
      <c r="CL304" s="2" t="s">
        <v>89</v>
      </c>
    </row>
    <row r="305" spans="1:90">
      <c r="A305" s="2" t="s">
        <v>71</v>
      </c>
      <c r="B305" s="2" t="s">
        <v>72</v>
      </c>
      <c r="C305" s="2" t="s">
        <v>73</v>
      </c>
      <c r="E305" s="2" t="str">
        <f>"FES1162593234"</f>
        <v>FES1162593234</v>
      </c>
      <c r="F305" s="3">
        <v>43070</v>
      </c>
      <c r="G305" s="2">
        <v>201806</v>
      </c>
      <c r="H305" s="2" t="s">
        <v>74</v>
      </c>
      <c r="I305" s="2" t="s">
        <v>75</v>
      </c>
      <c r="J305" s="2" t="s">
        <v>97</v>
      </c>
      <c r="K305" s="2" t="s">
        <v>77</v>
      </c>
      <c r="L305" s="2" t="s">
        <v>106</v>
      </c>
      <c r="M305" s="2" t="s">
        <v>107</v>
      </c>
      <c r="N305" s="2" t="s">
        <v>763</v>
      </c>
      <c r="O305" s="2" t="s">
        <v>101</v>
      </c>
      <c r="P305" s="2" t="str">
        <f>"2170605329                    "</f>
        <v xml:space="preserve">2170605329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4.41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2</v>
      </c>
      <c r="BJ305" s="2">
        <v>2</v>
      </c>
      <c r="BK305" s="2">
        <v>2</v>
      </c>
      <c r="BL305" s="2">
        <v>35.270000000000003</v>
      </c>
      <c r="BM305" s="2">
        <v>4.9400000000000004</v>
      </c>
      <c r="BN305" s="2">
        <v>40.21</v>
      </c>
      <c r="BO305" s="2">
        <v>40.21</v>
      </c>
      <c r="BR305" s="2" t="s">
        <v>103</v>
      </c>
      <c r="BS305" s="3">
        <v>43073</v>
      </c>
      <c r="BT305" s="4">
        <v>0.41666666666666669</v>
      </c>
      <c r="BU305" s="2" t="s">
        <v>205</v>
      </c>
      <c r="BV305" s="2" t="s">
        <v>85</v>
      </c>
      <c r="BY305" s="2">
        <v>10137.200000000001</v>
      </c>
      <c r="BZ305" s="2" t="s">
        <v>27</v>
      </c>
      <c r="CC305" s="2" t="s">
        <v>107</v>
      </c>
      <c r="CD305" s="2">
        <v>2025</v>
      </c>
      <c r="CE305" s="2" t="s">
        <v>95</v>
      </c>
      <c r="CF305" s="3">
        <v>43074</v>
      </c>
      <c r="CI305" s="2">
        <v>1</v>
      </c>
      <c r="CJ305" s="2">
        <v>1</v>
      </c>
      <c r="CK305" s="2">
        <v>22</v>
      </c>
      <c r="CL305" s="2" t="s">
        <v>89</v>
      </c>
    </row>
    <row r="306" spans="1:90">
      <c r="A306" s="2" t="s">
        <v>71</v>
      </c>
      <c r="B306" s="2" t="s">
        <v>72</v>
      </c>
      <c r="C306" s="2" t="s">
        <v>73</v>
      </c>
      <c r="E306" s="2" t="str">
        <f>"FES1162593458"</f>
        <v>FES1162593458</v>
      </c>
      <c r="F306" s="3">
        <v>43073</v>
      </c>
      <c r="G306" s="2">
        <v>201806</v>
      </c>
      <c r="H306" s="2" t="s">
        <v>74</v>
      </c>
      <c r="I306" s="2" t="s">
        <v>75</v>
      </c>
      <c r="J306" s="2" t="s">
        <v>97</v>
      </c>
      <c r="K306" s="2" t="s">
        <v>77</v>
      </c>
      <c r="L306" s="2" t="s">
        <v>490</v>
      </c>
      <c r="M306" s="2" t="s">
        <v>491</v>
      </c>
      <c r="N306" s="2" t="s">
        <v>492</v>
      </c>
      <c r="O306" s="2" t="s">
        <v>101</v>
      </c>
      <c r="P306" s="2" t="str">
        <f>"                              "</f>
        <v xml:space="preserve">          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5.65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1</v>
      </c>
      <c r="BJ306" s="2">
        <v>0.2</v>
      </c>
      <c r="BK306" s="2">
        <v>1</v>
      </c>
      <c r="BL306" s="2">
        <v>45.15</v>
      </c>
      <c r="BM306" s="2">
        <v>6.32</v>
      </c>
      <c r="BN306" s="2">
        <v>51.47</v>
      </c>
      <c r="BO306" s="2">
        <v>51.47</v>
      </c>
      <c r="BR306" s="2" t="s">
        <v>103</v>
      </c>
      <c r="BS306" s="3">
        <v>43074</v>
      </c>
      <c r="BT306" s="4">
        <v>0.4375</v>
      </c>
      <c r="BU306" s="2" t="s">
        <v>493</v>
      </c>
      <c r="BV306" s="2" t="s">
        <v>85</v>
      </c>
      <c r="BY306" s="2">
        <v>1200</v>
      </c>
      <c r="BZ306" s="2" t="s">
        <v>27</v>
      </c>
      <c r="CA306" s="2" t="s">
        <v>494</v>
      </c>
      <c r="CC306" s="2" t="s">
        <v>491</v>
      </c>
      <c r="CD306" s="2">
        <v>3699</v>
      </c>
      <c r="CE306" s="2" t="s">
        <v>120</v>
      </c>
      <c r="CF306" s="3">
        <v>43076</v>
      </c>
      <c r="CI306" s="2">
        <v>1</v>
      </c>
      <c r="CJ306" s="2">
        <v>1</v>
      </c>
      <c r="CK306" s="2">
        <v>21</v>
      </c>
      <c r="CL306" s="2" t="s">
        <v>89</v>
      </c>
    </row>
    <row r="307" spans="1:90">
      <c r="A307" s="2" t="s">
        <v>71</v>
      </c>
      <c r="B307" s="2" t="s">
        <v>72</v>
      </c>
      <c r="C307" s="2" t="s">
        <v>73</v>
      </c>
      <c r="E307" s="2" t="str">
        <f>"FES1162593236"</f>
        <v>FES1162593236</v>
      </c>
      <c r="F307" s="3">
        <v>43070</v>
      </c>
      <c r="G307" s="2">
        <v>201806</v>
      </c>
      <c r="H307" s="2" t="s">
        <v>74</v>
      </c>
      <c r="I307" s="2" t="s">
        <v>75</v>
      </c>
      <c r="J307" s="2" t="s">
        <v>97</v>
      </c>
      <c r="K307" s="2" t="s">
        <v>77</v>
      </c>
      <c r="L307" s="2" t="s">
        <v>168</v>
      </c>
      <c r="M307" s="2" t="s">
        <v>169</v>
      </c>
      <c r="N307" s="2" t="s">
        <v>764</v>
      </c>
      <c r="O307" s="2" t="s">
        <v>101</v>
      </c>
      <c r="P307" s="2" t="str">
        <f>"2170605401                    "</f>
        <v xml:space="preserve">2170605401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9.8800000000000008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2</v>
      </c>
      <c r="BJ307" s="2">
        <v>3.4</v>
      </c>
      <c r="BK307" s="2">
        <v>3.5</v>
      </c>
      <c r="BL307" s="2">
        <v>78.989999999999995</v>
      </c>
      <c r="BM307" s="2">
        <v>11.06</v>
      </c>
      <c r="BN307" s="2">
        <v>90.05</v>
      </c>
      <c r="BO307" s="2">
        <v>90.05</v>
      </c>
      <c r="BQ307" s="2" t="s">
        <v>765</v>
      </c>
      <c r="BR307" s="2" t="s">
        <v>103</v>
      </c>
      <c r="BS307" s="3">
        <v>43073</v>
      </c>
      <c r="BT307" s="4">
        <v>0.33055555555555555</v>
      </c>
      <c r="BU307" s="2" t="s">
        <v>766</v>
      </c>
      <c r="BV307" s="2" t="s">
        <v>85</v>
      </c>
      <c r="BY307" s="2">
        <v>16909.12</v>
      </c>
      <c r="BZ307" s="2" t="s">
        <v>27</v>
      </c>
      <c r="CA307" s="2" t="s">
        <v>220</v>
      </c>
      <c r="CC307" s="2" t="s">
        <v>169</v>
      </c>
      <c r="CD307" s="2">
        <v>3610</v>
      </c>
      <c r="CE307" s="2" t="s">
        <v>95</v>
      </c>
      <c r="CF307" s="3">
        <v>43074</v>
      </c>
      <c r="CI307" s="2">
        <v>1</v>
      </c>
      <c r="CJ307" s="2">
        <v>1</v>
      </c>
      <c r="CK307" s="2">
        <v>21</v>
      </c>
      <c r="CL307" s="2" t="s">
        <v>89</v>
      </c>
    </row>
    <row r="308" spans="1:90">
      <c r="A308" s="2" t="s">
        <v>71</v>
      </c>
      <c r="B308" s="2" t="s">
        <v>72</v>
      </c>
      <c r="C308" s="2" t="s">
        <v>73</v>
      </c>
      <c r="E308" s="2" t="str">
        <f>"FES1162593568"</f>
        <v>FES1162593568</v>
      </c>
      <c r="F308" s="3">
        <v>43073</v>
      </c>
      <c r="G308" s="2">
        <v>201806</v>
      </c>
      <c r="H308" s="2" t="s">
        <v>74</v>
      </c>
      <c r="I308" s="2" t="s">
        <v>75</v>
      </c>
      <c r="J308" s="2" t="s">
        <v>97</v>
      </c>
      <c r="K308" s="2" t="s">
        <v>77</v>
      </c>
      <c r="L308" s="2" t="s">
        <v>136</v>
      </c>
      <c r="M308" s="2" t="s">
        <v>137</v>
      </c>
      <c r="N308" s="2" t="s">
        <v>540</v>
      </c>
      <c r="O308" s="2" t="s">
        <v>101</v>
      </c>
      <c r="P308" s="2" t="str">
        <f>"2170605674                    "</f>
        <v xml:space="preserve">2170605674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5.65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45.15</v>
      </c>
      <c r="BM308" s="2">
        <v>6.32</v>
      </c>
      <c r="BN308" s="2">
        <v>51.47</v>
      </c>
      <c r="BO308" s="2">
        <v>51.47</v>
      </c>
      <c r="BQ308" s="2" t="s">
        <v>82</v>
      </c>
      <c r="BR308" s="2" t="s">
        <v>103</v>
      </c>
      <c r="BS308" s="3">
        <v>43074</v>
      </c>
      <c r="BT308" s="4">
        <v>0.42986111111111108</v>
      </c>
      <c r="BU308" s="2" t="s">
        <v>554</v>
      </c>
      <c r="BV308" s="2" t="s">
        <v>85</v>
      </c>
      <c r="BY308" s="2">
        <v>1200</v>
      </c>
      <c r="BZ308" s="2" t="s">
        <v>27</v>
      </c>
      <c r="CA308" s="2" t="s">
        <v>767</v>
      </c>
      <c r="CC308" s="2" t="s">
        <v>137</v>
      </c>
      <c r="CD308" s="2">
        <v>6045</v>
      </c>
      <c r="CE308" s="2" t="s">
        <v>120</v>
      </c>
      <c r="CF308" s="3">
        <v>43075</v>
      </c>
      <c r="CI308" s="2">
        <v>1</v>
      </c>
      <c r="CJ308" s="2">
        <v>1</v>
      </c>
      <c r="CK308" s="2">
        <v>21</v>
      </c>
      <c r="CL308" s="2" t="s">
        <v>89</v>
      </c>
    </row>
    <row r="309" spans="1:90">
      <c r="A309" s="2" t="s">
        <v>71</v>
      </c>
      <c r="B309" s="2" t="s">
        <v>72</v>
      </c>
      <c r="C309" s="2" t="s">
        <v>73</v>
      </c>
      <c r="E309" s="2" t="str">
        <f>"FES1162593142"</f>
        <v>FES1162593142</v>
      </c>
      <c r="F309" s="3">
        <v>43070</v>
      </c>
      <c r="G309" s="2">
        <v>201806</v>
      </c>
      <c r="H309" s="2" t="s">
        <v>74</v>
      </c>
      <c r="I309" s="2" t="s">
        <v>75</v>
      </c>
      <c r="J309" s="2" t="s">
        <v>97</v>
      </c>
      <c r="K309" s="2" t="s">
        <v>77</v>
      </c>
      <c r="L309" s="2" t="s">
        <v>759</v>
      </c>
      <c r="M309" s="2" t="s">
        <v>760</v>
      </c>
      <c r="N309" s="2" t="s">
        <v>761</v>
      </c>
      <c r="O309" s="2" t="s">
        <v>101</v>
      </c>
      <c r="P309" s="2" t="str">
        <f>"2170605452                    "</f>
        <v xml:space="preserve">2170605452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8.4700000000000006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2</v>
      </c>
      <c r="BJ309" s="2">
        <v>3</v>
      </c>
      <c r="BK309" s="2">
        <v>3</v>
      </c>
      <c r="BL309" s="2">
        <v>67.709999999999994</v>
      </c>
      <c r="BM309" s="2">
        <v>9.48</v>
      </c>
      <c r="BN309" s="2">
        <v>77.19</v>
      </c>
      <c r="BO309" s="2">
        <v>77.19</v>
      </c>
      <c r="BQ309" s="2" t="s">
        <v>82</v>
      </c>
      <c r="BR309" s="2" t="s">
        <v>103</v>
      </c>
      <c r="BS309" s="3">
        <v>43073</v>
      </c>
      <c r="BT309" s="4">
        <v>0.36458333333333331</v>
      </c>
      <c r="BU309" s="2" t="s">
        <v>762</v>
      </c>
      <c r="BV309" s="2" t="s">
        <v>85</v>
      </c>
      <c r="BY309" s="2">
        <v>15010.38</v>
      </c>
      <c r="BZ309" s="2" t="s">
        <v>27</v>
      </c>
      <c r="CA309" s="2" t="s">
        <v>578</v>
      </c>
      <c r="CC309" s="2" t="s">
        <v>760</v>
      </c>
      <c r="CD309" s="2">
        <v>4026</v>
      </c>
      <c r="CE309" s="2" t="s">
        <v>87</v>
      </c>
      <c r="CF309" s="3">
        <v>43074</v>
      </c>
      <c r="CI309" s="2">
        <v>1</v>
      </c>
      <c r="CJ309" s="2">
        <v>1</v>
      </c>
      <c r="CK309" s="2">
        <v>21</v>
      </c>
      <c r="CL309" s="2" t="s">
        <v>89</v>
      </c>
    </row>
    <row r="310" spans="1:90">
      <c r="A310" s="2" t="s">
        <v>71</v>
      </c>
      <c r="B310" s="2" t="s">
        <v>72</v>
      </c>
      <c r="C310" s="2" t="s">
        <v>73</v>
      </c>
      <c r="E310" s="2" t="str">
        <f>"FES1162593125"</f>
        <v>FES1162593125</v>
      </c>
      <c r="F310" s="3">
        <v>43073</v>
      </c>
      <c r="G310" s="2">
        <v>201806</v>
      </c>
      <c r="H310" s="2" t="s">
        <v>74</v>
      </c>
      <c r="I310" s="2" t="s">
        <v>75</v>
      </c>
      <c r="J310" s="2" t="s">
        <v>97</v>
      </c>
      <c r="K310" s="2" t="s">
        <v>77</v>
      </c>
      <c r="L310" s="2" t="s">
        <v>115</v>
      </c>
      <c r="M310" s="2" t="s">
        <v>116</v>
      </c>
      <c r="N310" s="2" t="s">
        <v>283</v>
      </c>
      <c r="O310" s="2" t="s">
        <v>101</v>
      </c>
      <c r="P310" s="2" t="str">
        <f>"2170602915                    "</f>
        <v xml:space="preserve">2170602915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4.41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1</v>
      </c>
      <c r="BJ310" s="2">
        <v>0.2</v>
      </c>
      <c r="BK310" s="2">
        <v>1</v>
      </c>
      <c r="BL310" s="2">
        <v>35.270000000000003</v>
      </c>
      <c r="BM310" s="2">
        <v>4.9400000000000004</v>
      </c>
      <c r="BN310" s="2">
        <v>40.21</v>
      </c>
      <c r="BO310" s="2">
        <v>40.21</v>
      </c>
      <c r="BQ310" s="2" t="s">
        <v>102</v>
      </c>
      <c r="BR310" s="2" t="s">
        <v>103</v>
      </c>
      <c r="BS310" s="3">
        <v>43074</v>
      </c>
      <c r="BT310" s="4">
        <v>0.41666666666666669</v>
      </c>
      <c r="BU310" s="2" t="s">
        <v>579</v>
      </c>
      <c r="BV310" s="2" t="s">
        <v>85</v>
      </c>
      <c r="BY310" s="2">
        <v>1200</v>
      </c>
      <c r="BZ310" s="2" t="s">
        <v>27</v>
      </c>
      <c r="CC310" s="2" t="s">
        <v>116</v>
      </c>
      <c r="CD310" s="2">
        <v>1459</v>
      </c>
      <c r="CE310" s="2" t="s">
        <v>120</v>
      </c>
      <c r="CF310" s="3">
        <v>43077</v>
      </c>
      <c r="CI310" s="2">
        <v>1</v>
      </c>
      <c r="CJ310" s="2">
        <v>1</v>
      </c>
      <c r="CK310" s="2">
        <v>22</v>
      </c>
      <c r="CL310" s="2" t="s">
        <v>89</v>
      </c>
    </row>
    <row r="311" spans="1:90">
      <c r="A311" s="2" t="s">
        <v>71</v>
      </c>
      <c r="B311" s="2" t="s">
        <v>72</v>
      </c>
      <c r="C311" s="2" t="s">
        <v>73</v>
      </c>
      <c r="E311" s="2" t="str">
        <f>"FES1162593182"</f>
        <v>FES1162593182</v>
      </c>
      <c r="F311" s="3">
        <v>43070</v>
      </c>
      <c r="G311" s="2">
        <v>201806</v>
      </c>
      <c r="H311" s="2" t="s">
        <v>74</v>
      </c>
      <c r="I311" s="2" t="s">
        <v>75</v>
      </c>
      <c r="J311" s="2" t="s">
        <v>97</v>
      </c>
      <c r="K311" s="2" t="s">
        <v>77</v>
      </c>
      <c r="L311" s="2" t="s">
        <v>106</v>
      </c>
      <c r="M311" s="2" t="s">
        <v>107</v>
      </c>
      <c r="N311" s="2" t="s">
        <v>768</v>
      </c>
      <c r="O311" s="2" t="s">
        <v>101</v>
      </c>
      <c r="P311" s="2" t="str">
        <f>"2170602368                    "</f>
        <v xml:space="preserve">2170602368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4.41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2</v>
      </c>
      <c r="BJ311" s="2">
        <v>1.7</v>
      </c>
      <c r="BK311" s="2">
        <v>2</v>
      </c>
      <c r="BL311" s="2">
        <v>35.270000000000003</v>
      </c>
      <c r="BM311" s="2">
        <v>4.9400000000000004</v>
      </c>
      <c r="BN311" s="2">
        <v>40.21</v>
      </c>
      <c r="BO311" s="2">
        <v>40.21</v>
      </c>
      <c r="BQ311" s="2" t="s">
        <v>769</v>
      </c>
      <c r="BR311" s="2" t="s">
        <v>103</v>
      </c>
      <c r="BS311" s="3">
        <v>43073</v>
      </c>
      <c r="BT311" s="4">
        <v>0.3298611111111111</v>
      </c>
      <c r="BU311" s="2" t="s">
        <v>770</v>
      </c>
      <c r="BV311" s="2" t="s">
        <v>85</v>
      </c>
      <c r="BY311" s="2">
        <v>8273.66</v>
      </c>
      <c r="CA311" s="2" t="s">
        <v>644</v>
      </c>
      <c r="CC311" s="2" t="s">
        <v>107</v>
      </c>
      <c r="CD311" s="2">
        <v>2094</v>
      </c>
      <c r="CE311" s="2" t="s">
        <v>95</v>
      </c>
      <c r="CF311" s="3">
        <v>43075</v>
      </c>
      <c r="CI311" s="2">
        <v>1</v>
      </c>
      <c r="CJ311" s="2">
        <v>1</v>
      </c>
      <c r="CK311" s="2">
        <v>22</v>
      </c>
      <c r="CL311" s="2" t="s">
        <v>89</v>
      </c>
    </row>
    <row r="312" spans="1:90">
      <c r="A312" s="2" t="s">
        <v>71</v>
      </c>
      <c r="B312" s="2" t="s">
        <v>72</v>
      </c>
      <c r="C312" s="2" t="s">
        <v>73</v>
      </c>
      <c r="E312" s="2" t="str">
        <f>"FES1162593325"</f>
        <v>FES1162593325</v>
      </c>
      <c r="F312" s="3">
        <v>43073</v>
      </c>
      <c r="G312" s="2">
        <v>201806</v>
      </c>
      <c r="H312" s="2" t="s">
        <v>74</v>
      </c>
      <c r="I312" s="2" t="s">
        <v>75</v>
      </c>
      <c r="J312" s="2" t="s">
        <v>97</v>
      </c>
      <c r="K312" s="2" t="s">
        <v>77</v>
      </c>
      <c r="L312" s="2" t="s">
        <v>152</v>
      </c>
      <c r="M312" s="2" t="s">
        <v>153</v>
      </c>
      <c r="N312" s="2" t="s">
        <v>771</v>
      </c>
      <c r="O312" s="2" t="s">
        <v>101</v>
      </c>
      <c r="P312" s="2" t="str">
        <f>"2170602531                    "</f>
        <v xml:space="preserve">2170602531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4.41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1</v>
      </c>
      <c r="BJ312" s="2">
        <v>0.2</v>
      </c>
      <c r="BK312" s="2">
        <v>1</v>
      </c>
      <c r="BL312" s="2">
        <v>35.270000000000003</v>
      </c>
      <c r="BM312" s="2">
        <v>4.9400000000000004</v>
      </c>
      <c r="BN312" s="2">
        <v>40.21</v>
      </c>
      <c r="BO312" s="2">
        <v>40.21</v>
      </c>
      <c r="BQ312" s="2" t="s">
        <v>82</v>
      </c>
      <c r="BR312" s="2" t="s">
        <v>103</v>
      </c>
      <c r="BS312" s="3">
        <v>43074</v>
      </c>
      <c r="BT312" s="4">
        <v>0.49722222222222223</v>
      </c>
      <c r="BU312" s="2" t="s">
        <v>772</v>
      </c>
      <c r="BV312" s="2" t="s">
        <v>89</v>
      </c>
      <c r="BW312" s="2" t="s">
        <v>437</v>
      </c>
      <c r="BX312" s="2" t="s">
        <v>438</v>
      </c>
      <c r="BY312" s="2">
        <v>1200</v>
      </c>
      <c r="BZ312" s="2" t="s">
        <v>27</v>
      </c>
      <c r="CA312" s="2" t="s">
        <v>439</v>
      </c>
      <c r="CC312" s="2" t="s">
        <v>153</v>
      </c>
      <c r="CD312" s="2">
        <v>1428</v>
      </c>
      <c r="CE312" s="2" t="s">
        <v>120</v>
      </c>
      <c r="CF312" s="3">
        <v>43077</v>
      </c>
      <c r="CI312" s="2">
        <v>1</v>
      </c>
      <c r="CJ312" s="2">
        <v>1</v>
      </c>
      <c r="CK312" s="2">
        <v>22</v>
      </c>
      <c r="CL312" s="2" t="s">
        <v>89</v>
      </c>
    </row>
    <row r="313" spans="1:90">
      <c r="A313" s="2" t="s">
        <v>71</v>
      </c>
      <c r="B313" s="2" t="s">
        <v>72</v>
      </c>
      <c r="C313" s="2" t="s">
        <v>73</v>
      </c>
      <c r="E313" s="2" t="str">
        <f>"FES1162593153"</f>
        <v>FES1162593153</v>
      </c>
      <c r="F313" s="3">
        <v>43070</v>
      </c>
      <c r="G313" s="2">
        <v>201806</v>
      </c>
      <c r="H313" s="2" t="s">
        <v>74</v>
      </c>
      <c r="I313" s="2" t="s">
        <v>75</v>
      </c>
      <c r="J313" s="2" t="s">
        <v>97</v>
      </c>
      <c r="K313" s="2" t="s">
        <v>77</v>
      </c>
      <c r="L313" s="2" t="s">
        <v>74</v>
      </c>
      <c r="M313" s="2" t="s">
        <v>75</v>
      </c>
      <c r="N313" s="2" t="s">
        <v>695</v>
      </c>
      <c r="O313" s="2" t="s">
        <v>101</v>
      </c>
      <c r="P313" s="2" t="str">
        <f>"2170605212                    "</f>
        <v xml:space="preserve">2170605212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4.41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2</v>
      </c>
      <c r="BJ313" s="2">
        <v>0.6</v>
      </c>
      <c r="BK313" s="2">
        <v>2</v>
      </c>
      <c r="BL313" s="2">
        <v>35.270000000000003</v>
      </c>
      <c r="BM313" s="2">
        <v>4.9400000000000004</v>
      </c>
      <c r="BN313" s="2">
        <v>40.21</v>
      </c>
      <c r="BO313" s="2">
        <v>40.21</v>
      </c>
      <c r="BQ313" s="2" t="s">
        <v>696</v>
      </c>
      <c r="BR313" s="2" t="s">
        <v>103</v>
      </c>
      <c r="BS313" s="3">
        <v>43073</v>
      </c>
      <c r="BT313" s="4">
        <v>0.32291666666666669</v>
      </c>
      <c r="BU313" s="2" t="s">
        <v>697</v>
      </c>
      <c r="BV313" s="2" t="s">
        <v>85</v>
      </c>
      <c r="BY313" s="2">
        <v>2900</v>
      </c>
      <c r="BZ313" s="2" t="s">
        <v>27</v>
      </c>
      <c r="CA313" s="2" t="s">
        <v>366</v>
      </c>
      <c r="CC313" s="2" t="s">
        <v>75</v>
      </c>
      <c r="CD313" s="2">
        <v>1601</v>
      </c>
      <c r="CE313" s="2" t="s">
        <v>87</v>
      </c>
      <c r="CF313" s="3">
        <v>43074</v>
      </c>
      <c r="CI313" s="2">
        <v>1</v>
      </c>
      <c r="CJ313" s="2">
        <v>1</v>
      </c>
      <c r="CK313" s="2">
        <v>22</v>
      </c>
      <c r="CL313" s="2" t="s">
        <v>89</v>
      </c>
    </row>
    <row r="314" spans="1:90">
      <c r="A314" s="2" t="s">
        <v>71</v>
      </c>
      <c r="B314" s="2" t="s">
        <v>72</v>
      </c>
      <c r="C314" s="2" t="s">
        <v>73</v>
      </c>
      <c r="E314" s="2" t="str">
        <f>"FES1162593323"</f>
        <v>FES1162593323</v>
      </c>
      <c r="F314" s="3">
        <v>43073</v>
      </c>
      <c r="G314" s="2">
        <v>201806</v>
      </c>
      <c r="H314" s="2" t="s">
        <v>74</v>
      </c>
      <c r="I314" s="2" t="s">
        <v>75</v>
      </c>
      <c r="J314" s="2" t="s">
        <v>97</v>
      </c>
      <c r="K314" s="2" t="s">
        <v>77</v>
      </c>
      <c r="L314" s="2" t="s">
        <v>253</v>
      </c>
      <c r="M314" s="2" t="s">
        <v>254</v>
      </c>
      <c r="N314" s="2" t="s">
        <v>773</v>
      </c>
      <c r="O314" s="2" t="s">
        <v>101</v>
      </c>
      <c r="P314" s="2" t="str">
        <f>"2170602974                    "</f>
        <v xml:space="preserve">2170602974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5.65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</v>
      </c>
      <c r="BJ314" s="2">
        <v>0.2</v>
      </c>
      <c r="BK314" s="2">
        <v>1</v>
      </c>
      <c r="BL314" s="2">
        <v>45.15</v>
      </c>
      <c r="BM314" s="2">
        <v>6.32</v>
      </c>
      <c r="BN314" s="2">
        <v>51.47</v>
      </c>
      <c r="BO314" s="2">
        <v>51.47</v>
      </c>
      <c r="BQ314" s="2" t="s">
        <v>82</v>
      </c>
      <c r="BR314" s="2" t="s">
        <v>103</v>
      </c>
      <c r="BS314" s="3">
        <v>43081</v>
      </c>
      <c r="BT314" s="4">
        <v>0.5083333333333333</v>
      </c>
      <c r="BU314" s="2" t="s">
        <v>774</v>
      </c>
      <c r="BV314" s="2" t="s">
        <v>89</v>
      </c>
      <c r="BW314" s="2" t="s">
        <v>437</v>
      </c>
      <c r="BX314" s="2" t="s">
        <v>438</v>
      </c>
      <c r="BY314" s="2">
        <v>1200</v>
      </c>
      <c r="BZ314" s="2" t="s">
        <v>27</v>
      </c>
      <c r="CC314" s="2" t="s">
        <v>254</v>
      </c>
      <c r="CD314" s="2">
        <v>1911</v>
      </c>
      <c r="CE314" s="2" t="s">
        <v>120</v>
      </c>
      <c r="CF314" s="3">
        <v>43089</v>
      </c>
      <c r="CI314" s="2">
        <v>1</v>
      </c>
      <c r="CJ314" s="2">
        <v>6</v>
      </c>
      <c r="CK314" s="2">
        <v>21</v>
      </c>
      <c r="CL314" s="2" t="s">
        <v>89</v>
      </c>
    </row>
    <row r="315" spans="1:90">
      <c r="A315" s="2" t="s">
        <v>71</v>
      </c>
      <c r="B315" s="2" t="s">
        <v>72</v>
      </c>
      <c r="C315" s="2" t="s">
        <v>73</v>
      </c>
      <c r="E315" s="2" t="str">
        <f>"FES1162593155"</f>
        <v>FES1162593155</v>
      </c>
      <c r="F315" s="3">
        <v>43070</v>
      </c>
      <c r="G315" s="2">
        <v>201806</v>
      </c>
      <c r="H315" s="2" t="s">
        <v>74</v>
      </c>
      <c r="I315" s="2" t="s">
        <v>75</v>
      </c>
      <c r="J315" s="2" t="s">
        <v>97</v>
      </c>
      <c r="K315" s="2" t="s">
        <v>77</v>
      </c>
      <c r="L315" s="2" t="s">
        <v>125</v>
      </c>
      <c r="M315" s="2" t="s">
        <v>126</v>
      </c>
      <c r="N315" s="2" t="s">
        <v>775</v>
      </c>
      <c r="O315" s="2" t="s">
        <v>101</v>
      </c>
      <c r="P315" s="2" t="str">
        <f>"2170605363                    "</f>
        <v xml:space="preserve">2170605363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19.760000000000002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7</v>
      </c>
      <c r="BJ315" s="2">
        <v>0.6</v>
      </c>
      <c r="BK315" s="2">
        <v>7</v>
      </c>
      <c r="BL315" s="2">
        <v>157.96</v>
      </c>
      <c r="BM315" s="2">
        <v>22.11</v>
      </c>
      <c r="BN315" s="2">
        <v>180.07</v>
      </c>
      <c r="BO315" s="2">
        <v>180.07</v>
      </c>
      <c r="BQ315" s="2" t="s">
        <v>776</v>
      </c>
      <c r="BR315" s="2" t="s">
        <v>103</v>
      </c>
      <c r="BS315" s="3">
        <v>43073</v>
      </c>
      <c r="BT315" s="4">
        <v>0.43055555555555558</v>
      </c>
      <c r="BU315" s="2" t="s">
        <v>777</v>
      </c>
      <c r="BV315" s="2" t="s">
        <v>85</v>
      </c>
      <c r="BY315" s="2">
        <v>3100</v>
      </c>
      <c r="BZ315" s="2" t="s">
        <v>27</v>
      </c>
      <c r="CA315" s="2" t="s">
        <v>778</v>
      </c>
      <c r="CC315" s="2" t="s">
        <v>126</v>
      </c>
      <c r="CD315" s="2">
        <v>4052</v>
      </c>
      <c r="CE315" s="2" t="s">
        <v>87</v>
      </c>
      <c r="CF315" s="3">
        <v>43074</v>
      </c>
      <c r="CI315" s="2">
        <v>1</v>
      </c>
      <c r="CJ315" s="2">
        <v>1</v>
      </c>
      <c r="CK315" s="2">
        <v>21</v>
      </c>
      <c r="CL315" s="2" t="s">
        <v>89</v>
      </c>
    </row>
    <row r="316" spans="1:90">
      <c r="A316" s="2" t="s">
        <v>71</v>
      </c>
      <c r="B316" s="2" t="s">
        <v>72</v>
      </c>
      <c r="C316" s="2" t="s">
        <v>73</v>
      </c>
      <c r="E316" s="2" t="str">
        <f>"FES1162593320"</f>
        <v>FES1162593320</v>
      </c>
      <c r="F316" s="3">
        <v>43073</v>
      </c>
      <c r="G316" s="2">
        <v>201806</v>
      </c>
      <c r="H316" s="2" t="s">
        <v>74</v>
      </c>
      <c r="I316" s="2" t="s">
        <v>75</v>
      </c>
      <c r="J316" s="2" t="s">
        <v>97</v>
      </c>
      <c r="K316" s="2" t="s">
        <v>77</v>
      </c>
      <c r="L316" s="2" t="s">
        <v>74</v>
      </c>
      <c r="M316" s="2" t="s">
        <v>75</v>
      </c>
      <c r="N316" s="2" t="s">
        <v>353</v>
      </c>
      <c r="O316" s="2" t="s">
        <v>101</v>
      </c>
      <c r="P316" s="2" t="str">
        <f>"2170602318                    "</f>
        <v xml:space="preserve">2170602318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4.41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</v>
      </c>
      <c r="BJ316" s="2">
        <v>0.2</v>
      </c>
      <c r="BK316" s="2">
        <v>1</v>
      </c>
      <c r="BL316" s="2">
        <v>35.270000000000003</v>
      </c>
      <c r="BM316" s="2">
        <v>4.9400000000000004</v>
      </c>
      <c r="BN316" s="2">
        <v>40.21</v>
      </c>
      <c r="BO316" s="2">
        <v>40.21</v>
      </c>
      <c r="BQ316" s="2" t="s">
        <v>102</v>
      </c>
      <c r="BR316" s="2" t="s">
        <v>103</v>
      </c>
      <c r="BS316" s="3">
        <v>43074</v>
      </c>
      <c r="BT316" s="4">
        <v>0.29652777777777778</v>
      </c>
      <c r="BU316" s="2" t="s">
        <v>779</v>
      </c>
      <c r="BV316" s="2" t="s">
        <v>85</v>
      </c>
      <c r="BY316" s="2">
        <v>1200</v>
      </c>
      <c r="BZ316" s="2" t="s">
        <v>27</v>
      </c>
      <c r="CA316" s="2" t="s">
        <v>355</v>
      </c>
      <c r="CC316" s="2" t="s">
        <v>75</v>
      </c>
      <c r="CD316" s="2">
        <v>1600</v>
      </c>
      <c r="CE316" s="2" t="s">
        <v>120</v>
      </c>
      <c r="CF316" s="3">
        <v>43077</v>
      </c>
      <c r="CI316" s="2">
        <v>1</v>
      </c>
      <c r="CJ316" s="2">
        <v>1</v>
      </c>
      <c r="CK316" s="2">
        <v>22</v>
      </c>
      <c r="CL316" s="2" t="s">
        <v>89</v>
      </c>
    </row>
    <row r="317" spans="1:90">
      <c r="A317" s="2" t="s">
        <v>71</v>
      </c>
      <c r="B317" s="2" t="s">
        <v>72</v>
      </c>
      <c r="C317" s="2" t="s">
        <v>73</v>
      </c>
      <c r="E317" s="2" t="str">
        <f>"FES1162593069"</f>
        <v>FES1162593069</v>
      </c>
      <c r="F317" s="3">
        <v>43070</v>
      </c>
      <c r="G317" s="2">
        <v>201806</v>
      </c>
      <c r="H317" s="2" t="s">
        <v>74</v>
      </c>
      <c r="I317" s="2" t="s">
        <v>75</v>
      </c>
      <c r="J317" s="2" t="s">
        <v>97</v>
      </c>
      <c r="K317" s="2" t="s">
        <v>77</v>
      </c>
      <c r="L317" s="2" t="s">
        <v>115</v>
      </c>
      <c r="M317" s="2" t="s">
        <v>116</v>
      </c>
      <c r="N317" s="2" t="s">
        <v>458</v>
      </c>
      <c r="O317" s="2" t="s">
        <v>101</v>
      </c>
      <c r="P317" s="2" t="str">
        <f>"2170604590                    "</f>
        <v xml:space="preserve">2170604590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4.41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8</v>
      </c>
      <c r="BJ317" s="2">
        <v>4.0999999999999996</v>
      </c>
      <c r="BK317" s="2">
        <v>8</v>
      </c>
      <c r="BL317" s="2">
        <v>35.270000000000003</v>
      </c>
      <c r="BM317" s="2">
        <v>4.9400000000000004</v>
      </c>
      <c r="BN317" s="2">
        <v>40.21</v>
      </c>
      <c r="BO317" s="2">
        <v>40.21</v>
      </c>
      <c r="BR317" s="2" t="s">
        <v>103</v>
      </c>
      <c r="BS317" s="3">
        <v>43074</v>
      </c>
      <c r="BT317" s="4">
        <v>0.4375</v>
      </c>
      <c r="BU317" s="2" t="s">
        <v>459</v>
      </c>
      <c r="BV317" s="2" t="s">
        <v>89</v>
      </c>
      <c r="BW317" s="2" t="s">
        <v>149</v>
      </c>
      <c r="BX317" s="2" t="s">
        <v>456</v>
      </c>
      <c r="BY317" s="2">
        <v>20358</v>
      </c>
      <c r="CA317" s="2" t="s">
        <v>119</v>
      </c>
      <c r="CC317" s="2" t="s">
        <v>116</v>
      </c>
      <c r="CD317" s="2">
        <v>1460</v>
      </c>
      <c r="CE317" s="2" t="s">
        <v>95</v>
      </c>
      <c r="CF317" s="3">
        <v>43077</v>
      </c>
      <c r="CI317" s="2">
        <v>1</v>
      </c>
      <c r="CJ317" s="2">
        <v>2</v>
      </c>
      <c r="CK317" s="2">
        <v>22</v>
      </c>
      <c r="CL317" s="2" t="s">
        <v>89</v>
      </c>
    </row>
    <row r="318" spans="1:90">
      <c r="A318" s="2" t="s">
        <v>71</v>
      </c>
      <c r="B318" s="2" t="s">
        <v>72</v>
      </c>
      <c r="C318" s="2" t="s">
        <v>73</v>
      </c>
      <c r="E318" s="2" t="str">
        <f>"FES1162593316"</f>
        <v>FES1162593316</v>
      </c>
      <c r="F318" s="3">
        <v>43073</v>
      </c>
      <c r="G318" s="2">
        <v>201806</v>
      </c>
      <c r="H318" s="2" t="s">
        <v>74</v>
      </c>
      <c r="I318" s="2" t="s">
        <v>75</v>
      </c>
      <c r="J318" s="2" t="s">
        <v>97</v>
      </c>
      <c r="K318" s="2" t="s">
        <v>77</v>
      </c>
      <c r="L318" s="2" t="s">
        <v>566</v>
      </c>
      <c r="M318" s="2" t="s">
        <v>567</v>
      </c>
      <c r="N318" s="2" t="s">
        <v>780</v>
      </c>
      <c r="O318" s="2" t="s">
        <v>101</v>
      </c>
      <c r="P318" s="2" t="str">
        <f>"2170601148                    "</f>
        <v xml:space="preserve">2170601148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7.94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1</v>
      </c>
      <c r="BJ318" s="2">
        <v>0.2</v>
      </c>
      <c r="BK318" s="2">
        <v>1</v>
      </c>
      <c r="BL318" s="2">
        <v>63.49</v>
      </c>
      <c r="BM318" s="2">
        <v>8.89</v>
      </c>
      <c r="BN318" s="2">
        <v>72.38</v>
      </c>
      <c r="BO318" s="2">
        <v>72.38</v>
      </c>
      <c r="BQ318" s="2" t="s">
        <v>82</v>
      </c>
      <c r="BR318" s="2" t="s">
        <v>103</v>
      </c>
      <c r="BS318" s="3">
        <v>43074</v>
      </c>
      <c r="BT318" s="4">
        <v>0.39583333333333331</v>
      </c>
      <c r="BU318" s="2" t="s">
        <v>781</v>
      </c>
      <c r="BV318" s="2" t="s">
        <v>85</v>
      </c>
      <c r="BY318" s="2">
        <v>1200</v>
      </c>
      <c r="BZ318" s="2" t="s">
        <v>27</v>
      </c>
      <c r="CC318" s="2" t="s">
        <v>567</v>
      </c>
      <c r="CD318" s="2">
        <v>1739</v>
      </c>
      <c r="CE318" s="2" t="s">
        <v>120</v>
      </c>
      <c r="CF318" s="3">
        <v>43077</v>
      </c>
      <c r="CI318" s="2">
        <v>1</v>
      </c>
      <c r="CJ318" s="2">
        <v>1</v>
      </c>
      <c r="CK318" s="2">
        <v>24</v>
      </c>
      <c r="CL318" s="2" t="s">
        <v>89</v>
      </c>
    </row>
    <row r="319" spans="1:90">
      <c r="A319" s="2" t="s">
        <v>71</v>
      </c>
      <c r="B319" s="2" t="s">
        <v>72</v>
      </c>
      <c r="C319" s="2" t="s">
        <v>73</v>
      </c>
      <c r="E319" s="2" t="str">
        <f>"FES1162593101"</f>
        <v>FES1162593101</v>
      </c>
      <c r="F319" s="3">
        <v>43070</v>
      </c>
      <c r="G319" s="2">
        <v>201806</v>
      </c>
      <c r="H319" s="2" t="s">
        <v>74</v>
      </c>
      <c r="I319" s="2" t="s">
        <v>75</v>
      </c>
      <c r="J319" s="2" t="s">
        <v>97</v>
      </c>
      <c r="K319" s="2" t="s">
        <v>77</v>
      </c>
      <c r="L319" s="2" t="s">
        <v>782</v>
      </c>
      <c r="M319" s="2" t="s">
        <v>783</v>
      </c>
      <c r="N319" s="2" t="s">
        <v>784</v>
      </c>
      <c r="O319" s="2" t="s">
        <v>101</v>
      </c>
      <c r="P319" s="2" t="str">
        <f>"2170604981                    "</f>
        <v xml:space="preserve">2170604981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7.94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</v>
      </c>
      <c r="BJ319" s="2">
        <v>0.2</v>
      </c>
      <c r="BK319" s="2">
        <v>1</v>
      </c>
      <c r="BL319" s="2">
        <v>63.49</v>
      </c>
      <c r="BM319" s="2">
        <v>8.89</v>
      </c>
      <c r="BN319" s="2">
        <v>72.38</v>
      </c>
      <c r="BO319" s="2">
        <v>72.38</v>
      </c>
      <c r="BR319" s="2" t="s">
        <v>103</v>
      </c>
      <c r="BS319" s="3">
        <v>43075</v>
      </c>
      <c r="BT319" s="4">
        <v>0.77083333333333337</v>
      </c>
      <c r="BU319" s="2" t="s">
        <v>785</v>
      </c>
      <c r="BV319" s="2" t="s">
        <v>89</v>
      </c>
      <c r="BW319" s="2" t="s">
        <v>156</v>
      </c>
      <c r="BX319" s="2" t="s">
        <v>668</v>
      </c>
      <c r="BY319" s="2">
        <v>1200</v>
      </c>
      <c r="CC319" s="2" t="s">
        <v>783</v>
      </c>
      <c r="CD319" s="2">
        <v>1001</v>
      </c>
      <c r="CE319" s="2" t="s">
        <v>120</v>
      </c>
      <c r="CF319" s="3">
        <v>43080</v>
      </c>
      <c r="CI319" s="2">
        <v>1</v>
      </c>
      <c r="CJ319" s="2">
        <v>3</v>
      </c>
      <c r="CK319" s="2">
        <v>24</v>
      </c>
      <c r="CL319" s="2" t="s">
        <v>89</v>
      </c>
    </row>
    <row r="320" spans="1:90">
      <c r="A320" s="2" t="s">
        <v>71</v>
      </c>
      <c r="B320" s="2" t="s">
        <v>72</v>
      </c>
      <c r="C320" s="2" t="s">
        <v>73</v>
      </c>
      <c r="E320" s="2" t="str">
        <f>"FES1162593248"</f>
        <v>FES1162593248</v>
      </c>
      <c r="F320" s="3">
        <v>43073</v>
      </c>
      <c r="G320" s="2">
        <v>201806</v>
      </c>
      <c r="H320" s="2" t="s">
        <v>74</v>
      </c>
      <c r="I320" s="2" t="s">
        <v>75</v>
      </c>
      <c r="J320" s="2" t="s">
        <v>97</v>
      </c>
      <c r="K320" s="2" t="s">
        <v>77</v>
      </c>
      <c r="L320" s="2" t="s">
        <v>158</v>
      </c>
      <c r="M320" s="2" t="s">
        <v>159</v>
      </c>
      <c r="N320" s="2" t="s">
        <v>160</v>
      </c>
      <c r="O320" s="2" t="s">
        <v>101</v>
      </c>
      <c r="P320" s="2" t="str">
        <f>"2170605543                    "</f>
        <v xml:space="preserve">2170605543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5.65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45.15</v>
      </c>
      <c r="BM320" s="2">
        <v>6.32</v>
      </c>
      <c r="BN320" s="2">
        <v>51.47</v>
      </c>
      <c r="BO320" s="2">
        <v>51.47</v>
      </c>
      <c r="BQ320" s="2" t="s">
        <v>82</v>
      </c>
      <c r="BR320" s="2" t="s">
        <v>103</v>
      </c>
      <c r="BS320" s="3">
        <v>43074</v>
      </c>
      <c r="BT320" s="4">
        <v>0.46875</v>
      </c>
      <c r="BU320" s="2" t="s">
        <v>554</v>
      </c>
      <c r="BV320" s="2" t="s">
        <v>85</v>
      </c>
      <c r="BY320" s="2">
        <v>1200</v>
      </c>
      <c r="BZ320" s="2" t="s">
        <v>27</v>
      </c>
      <c r="CC320" s="2" t="s">
        <v>159</v>
      </c>
      <c r="CD320" s="2">
        <v>183</v>
      </c>
      <c r="CE320" s="2" t="s">
        <v>120</v>
      </c>
      <c r="CF320" s="3">
        <v>43075</v>
      </c>
      <c r="CI320" s="2">
        <v>1</v>
      </c>
      <c r="CJ320" s="2">
        <v>1</v>
      </c>
      <c r="CK320" s="2">
        <v>21</v>
      </c>
      <c r="CL320" s="2" t="s">
        <v>89</v>
      </c>
    </row>
    <row r="321" spans="1:90">
      <c r="A321" s="2" t="s">
        <v>71</v>
      </c>
      <c r="B321" s="2" t="s">
        <v>72</v>
      </c>
      <c r="C321" s="2" t="s">
        <v>73</v>
      </c>
      <c r="E321" s="2" t="str">
        <f>"FES1162593274"</f>
        <v>FES1162593274</v>
      </c>
      <c r="F321" s="3">
        <v>43070</v>
      </c>
      <c r="G321" s="2">
        <v>201806</v>
      </c>
      <c r="H321" s="2" t="s">
        <v>74</v>
      </c>
      <c r="I321" s="2" t="s">
        <v>75</v>
      </c>
      <c r="J321" s="2" t="s">
        <v>97</v>
      </c>
      <c r="K321" s="2" t="s">
        <v>77</v>
      </c>
      <c r="L321" s="2" t="s">
        <v>173</v>
      </c>
      <c r="M321" s="2" t="s">
        <v>174</v>
      </c>
      <c r="N321" s="2" t="s">
        <v>433</v>
      </c>
      <c r="O321" s="2" t="s">
        <v>101</v>
      </c>
      <c r="P321" s="2" t="str">
        <f>"2170605486                    "</f>
        <v xml:space="preserve">2170605486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5.65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45.15</v>
      </c>
      <c r="BM321" s="2">
        <v>6.32</v>
      </c>
      <c r="BN321" s="2">
        <v>51.47</v>
      </c>
      <c r="BO321" s="2">
        <v>51.47</v>
      </c>
      <c r="BQ321" s="2" t="s">
        <v>102</v>
      </c>
      <c r="BR321" s="2" t="s">
        <v>103</v>
      </c>
      <c r="BS321" s="3">
        <v>43073</v>
      </c>
      <c r="BT321" s="4">
        <v>0.45902777777777781</v>
      </c>
      <c r="BU321" s="2" t="s">
        <v>434</v>
      </c>
      <c r="BV321" s="2" t="s">
        <v>89</v>
      </c>
      <c r="BW321" s="2" t="s">
        <v>313</v>
      </c>
      <c r="BX321" s="2" t="s">
        <v>368</v>
      </c>
      <c r="BY321" s="2">
        <v>1200</v>
      </c>
      <c r="BZ321" s="2" t="s">
        <v>27</v>
      </c>
      <c r="CA321" s="2" t="s">
        <v>177</v>
      </c>
      <c r="CC321" s="2" t="s">
        <v>174</v>
      </c>
      <c r="CD321" s="2">
        <v>7441</v>
      </c>
      <c r="CE321" s="2" t="s">
        <v>120</v>
      </c>
      <c r="CF321" s="3">
        <v>43074</v>
      </c>
      <c r="CI321" s="2">
        <v>1</v>
      </c>
      <c r="CJ321" s="2">
        <v>1</v>
      </c>
      <c r="CK321" s="2">
        <v>21</v>
      </c>
      <c r="CL321" s="2" t="s">
        <v>89</v>
      </c>
    </row>
    <row r="322" spans="1:90">
      <c r="A322" s="2" t="s">
        <v>71</v>
      </c>
      <c r="B322" s="2" t="s">
        <v>72</v>
      </c>
      <c r="C322" s="2" t="s">
        <v>73</v>
      </c>
      <c r="E322" s="2" t="str">
        <f>"FES1162593247"</f>
        <v>FES1162593247</v>
      </c>
      <c r="F322" s="3">
        <v>43073</v>
      </c>
      <c r="G322" s="2">
        <v>201806</v>
      </c>
      <c r="H322" s="2" t="s">
        <v>74</v>
      </c>
      <c r="I322" s="2" t="s">
        <v>75</v>
      </c>
      <c r="J322" s="2" t="s">
        <v>97</v>
      </c>
      <c r="K322" s="2" t="s">
        <v>77</v>
      </c>
      <c r="L322" s="2" t="s">
        <v>189</v>
      </c>
      <c r="M322" s="2" t="s">
        <v>190</v>
      </c>
      <c r="N322" s="2" t="s">
        <v>199</v>
      </c>
      <c r="O322" s="2" t="s">
        <v>101</v>
      </c>
      <c r="P322" s="2" t="str">
        <f>"2170605542                    "</f>
        <v xml:space="preserve">2170605542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5.65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45.15</v>
      </c>
      <c r="BM322" s="2">
        <v>6.32</v>
      </c>
      <c r="BN322" s="2">
        <v>51.47</v>
      </c>
      <c r="BO322" s="2">
        <v>51.47</v>
      </c>
      <c r="BQ322" s="2" t="s">
        <v>102</v>
      </c>
      <c r="BR322" s="2" t="s">
        <v>103</v>
      </c>
      <c r="BS322" s="3">
        <v>43074</v>
      </c>
      <c r="BT322" s="4">
        <v>0.51180555555555551</v>
      </c>
      <c r="BU322" s="2" t="s">
        <v>667</v>
      </c>
      <c r="BV322" s="2" t="s">
        <v>89</v>
      </c>
      <c r="BW322" s="2" t="s">
        <v>156</v>
      </c>
      <c r="BX322" s="2" t="s">
        <v>668</v>
      </c>
      <c r="BY322" s="2">
        <v>1200</v>
      </c>
      <c r="BZ322" s="2" t="s">
        <v>27</v>
      </c>
      <c r="CA322" s="2" t="s">
        <v>669</v>
      </c>
      <c r="CC322" s="2" t="s">
        <v>190</v>
      </c>
      <c r="CD322" s="2">
        <v>157</v>
      </c>
      <c r="CE322" s="2" t="s">
        <v>120</v>
      </c>
      <c r="CF322" s="3">
        <v>43076</v>
      </c>
      <c r="CI322" s="2">
        <v>1</v>
      </c>
      <c r="CJ322" s="2">
        <v>1</v>
      </c>
      <c r="CK322" s="2">
        <v>21</v>
      </c>
      <c r="CL322" s="2" t="s">
        <v>89</v>
      </c>
    </row>
    <row r="323" spans="1:90">
      <c r="A323" s="2" t="s">
        <v>71</v>
      </c>
      <c r="B323" s="2" t="s">
        <v>72</v>
      </c>
      <c r="C323" s="2" t="s">
        <v>73</v>
      </c>
      <c r="E323" s="2" t="str">
        <f>"FES1162593273"</f>
        <v>FES1162593273</v>
      </c>
      <c r="F323" s="3">
        <v>43070</v>
      </c>
      <c r="G323" s="2">
        <v>201806</v>
      </c>
      <c r="H323" s="2" t="s">
        <v>74</v>
      </c>
      <c r="I323" s="2" t="s">
        <v>75</v>
      </c>
      <c r="J323" s="2" t="s">
        <v>97</v>
      </c>
      <c r="K323" s="2" t="s">
        <v>77</v>
      </c>
      <c r="L323" s="2" t="s">
        <v>173</v>
      </c>
      <c r="M323" s="2" t="s">
        <v>174</v>
      </c>
      <c r="N323" s="2" t="s">
        <v>433</v>
      </c>
      <c r="O323" s="2" t="s">
        <v>101</v>
      </c>
      <c r="P323" s="2" t="str">
        <f>"2170605483                    "</f>
        <v xml:space="preserve">2170605483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5.65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45.15</v>
      </c>
      <c r="BM323" s="2">
        <v>6.32</v>
      </c>
      <c r="BN323" s="2">
        <v>51.47</v>
      </c>
      <c r="BO323" s="2">
        <v>51.47</v>
      </c>
      <c r="BQ323" s="2" t="s">
        <v>102</v>
      </c>
      <c r="BR323" s="2" t="s">
        <v>103</v>
      </c>
      <c r="BS323" s="3">
        <v>43073</v>
      </c>
      <c r="BT323" s="4">
        <v>0.45833333333333331</v>
      </c>
      <c r="BU323" s="2" t="s">
        <v>434</v>
      </c>
      <c r="BV323" s="2" t="s">
        <v>89</v>
      </c>
      <c r="BW323" s="2" t="s">
        <v>313</v>
      </c>
      <c r="BX323" s="2" t="s">
        <v>368</v>
      </c>
      <c r="BY323" s="2">
        <v>1200</v>
      </c>
      <c r="BZ323" s="2" t="s">
        <v>27</v>
      </c>
      <c r="CA323" s="2" t="s">
        <v>177</v>
      </c>
      <c r="CC323" s="2" t="s">
        <v>174</v>
      </c>
      <c r="CD323" s="2">
        <v>7441</v>
      </c>
      <c r="CE323" s="2" t="s">
        <v>120</v>
      </c>
      <c r="CF323" s="3">
        <v>43074</v>
      </c>
      <c r="CI323" s="2">
        <v>1</v>
      </c>
      <c r="CJ323" s="2">
        <v>1</v>
      </c>
      <c r="CK323" s="2">
        <v>21</v>
      </c>
      <c r="CL323" s="2" t="s">
        <v>89</v>
      </c>
    </row>
    <row r="324" spans="1:90">
      <c r="A324" s="2" t="s">
        <v>71</v>
      </c>
      <c r="B324" s="2" t="s">
        <v>72</v>
      </c>
      <c r="C324" s="2" t="s">
        <v>73</v>
      </c>
      <c r="E324" s="2" t="str">
        <f>"FES1162593225"</f>
        <v>FES1162593225</v>
      </c>
      <c r="F324" s="3">
        <v>43073</v>
      </c>
      <c r="G324" s="2">
        <v>201806</v>
      </c>
      <c r="H324" s="2" t="s">
        <v>74</v>
      </c>
      <c r="I324" s="2" t="s">
        <v>75</v>
      </c>
      <c r="J324" s="2" t="s">
        <v>97</v>
      </c>
      <c r="K324" s="2" t="s">
        <v>77</v>
      </c>
      <c r="L324" s="2" t="s">
        <v>158</v>
      </c>
      <c r="M324" s="2" t="s">
        <v>159</v>
      </c>
      <c r="N324" s="2" t="s">
        <v>786</v>
      </c>
      <c r="O324" s="2" t="s">
        <v>101</v>
      </c>
      <c r="P324" s="2" t="str">
        <f>"2170605523                    "</f>
        <v xml:space="preserve">2170605523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5.65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1</v>
      </c>
      <c r="BJ324" s="2">
        <v>0.2</v>
      </c>
      <c r="BK324" s="2">
        <v>1</v>
      </c>
      <c r="BL324" s="2">
        <v>45.15</v>
      </c>
      <c r="BM324" s="2">
        <v>6.32</v>
      </c>
      <c r="BN324" s="2">
        <v>51.47</v>
      </c>
      <c r="BO324" s="2">
        <v>51.47</v>
      </c>
      <c r="BQ324" s="2" t="s">
        <v>82</v>
      </c>
      <c r="BR324" s="2" t="s">
        <v>103</v>
      </c>
      <c r="BS324" s="3">
        <v>43074</v>
      </c>
      <c r="BT324" s="4">
        <v>0.59722222222222221</v>
      </c>
      <c r="BU324" s="2" t="s">
        <v>575</v>
      </c>
      <c r="BV324" s="2" t="s">
        <v>89</v>
      </c>
      <c r="BW324" s="2" t="s">
        <v>156</v>
      </c>
      <c r="BX324" s="2" t="s">
        <v>565</v>
      </c>
      <c r="BY324" s="2">
        <v>1200</v>
      </c>
      <c r="BZ324" s="2" t="s">
        <v>27</v>
      </c>
      <c r="CC324" s="2" t="s">
        <v>159</v>
      </c>
      <c r="CD324" s="2">
        <v>82</v>
      </c>
      <c r="CE324" s="2" t="s">
        <v>120</v>
      </c>
      <c r="CF324" s="3">
        <v>43075</v>
      </c>
      <c r="CI324" s="2">
        <v>1</v>
      </c>
      <c r="CJ324" s="2">
        <v>1</v>
      </c>
      <c r="CK324" s="2">
        <v>21</v>
      </c>
      <c r="CL324" s="2" t="s">
        <v>89</v>
      </c>
    </row>
    <row r="325" spans="1:90">
      <c r="A325" s="2" t="s">
        <v>71</v>
      </c>
      <c r="B325" s="2" t="s">
        <v>72</v>
      </c>
      <c r="C325" s="2" t="s">
        <v>73</v>
      </c>
      <c r="E325" s="2" t="str">
        <f>"FES1162593202"</f>
        <v>FES1162593202</v>
      </c>
      <c r="F325" s="3">
        <v>43070</v>
      </c>
      <c r="G325" s="2">
        <v>201806</v>
      </c>
      <c r="H325" s="2" t="s">
        <v>74</v>
      </c>
      <c r="I325" s="2" t="s">
        <v>75</v>
      </c>
      <c r="J325" s="2" t="s">
        <v>97</v>
      </c>
      <c r="K325" s="2" t="s">
        <v>77</v>
      </c>
      <c r="L325" s="2" t="s">
        <v>106</v>
      </c>
      <c r="M325" s="2" t="s">
        <v>107</v>
      </c>
      <c r="N325" s="2" t="s">
        <v>787</v>
      </c>
      <c r="O325" s="2" t="s">
        <v>101</v>
      </c>
      <c r="P325" s="2" t="str">
        <f>"217060335                     "</f>
        <v xml:space="preserve">217060335 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4.41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0.2</v>
      </c>
      <c r="BK325" s="2">
        <v>1</v>
      </c>
      <c r="BL325" s="2">
        <v>35.270000000000003</v>
      </c>
      <c r="BM325" s="2">
        <v>4.9400000000000004</v>
      </c>
      <c r="BN325" s="2">
        <v>40.21</v>
      </c>
      <c r="BO325" s="2">
        <v>40.21</v>
      </c>
      <c r="BQ325" s="2" t="s">
        <v>102</v>
      </c>
      <c r="BR325" s="2" t="s">
        <v>103</v>
      </c>
      <c r="BS325" s="3">
        <v>43073</v>
      </c>
      <c r="BT325" s="4">
        <v>0.41666666666666669</v>
      </c>
      <c r="BU325" s="2" t="s">
        <v>788</v>
      </c>
      <c r="BV325" s="2" t="s">
        <v>85</v>
      </c>
      <c r="BY325" s="2">
        <v>1200</v>
      </c>
      <c r="BZ325" s="2" t="s">
        <v>27</v>
      </c>
      <c r="CC325" s="2" t="s">
        <v>107</v>
      </c>
      <c r="CD325" s="2">
        <v>2013</v>
      </c>
      <c r="CE325" s="2" t="s">
        <v>120</v>
      </c>
      <c r="CF325" s="3">
        <v>43074</v>
      </c>
      <c r="CI325" s="2">
        <v>1</v>
      </c>
      <c r="CJ325" s="2">
        <v>1</v>
      </c>
      <c r="CK325" s="2">
        <v>22</v>
      </c>
      <c r="CL325" s="2" t="s">
        <v>89</v>
      </c>
    </row>
    <row r="326" spans="1:90">
      <c r="A326" s="2" t="s">
        <v>71</v>
      </c>
      <c r="B326" s="2" t="s">
        <v>72</v>
      </c>
      <c r="C326" s="2" t="s">
        <v>73</v>
      </c>
      <c r="E326" s="2" t="str">
        <f>"FES1162593538"</f>
        <v>FES1162593538</v>
      </c>
      <c r="F326" s="3">
        <v>43073</v>
      </c>
      <c r="G326" s="2">
        <v>201806</v>
      </c>
      <c r="H326" s="2" t="s">
        <v>74</v>
      </c>
      <c r="I326" s="2" t="s">
        <v>75</v>
      </c>
      <c r="J326" s="2" t="s">
        <v>97</v>
      </c>
      <c r="K326" s="2" t="s">
        <v>77</v>
      </c>
      <c r="L326" s="2" t="s">
        <v>262</v>
      </c>
      <c r="M326" s="2" t="s">
        <v>263</v>
      </c>
      <c r="N326" s="2" t="s">
        <v>789</v>
      </c>
      <c r="O326" s="2" t="s">
        <v>101</v>
      </c>
      <c r="P326" s="2" t="str">
        <f>"2170605640                    "</f>
        <v xml:space="preserve">2170605640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5.65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</v>
      </c>
      <c r="BJ326" s="2">
        <v>0.2</v>
      </c>
      <c r="BK326" s="2">
        <v>1</v>
      </c>
      <c r="BL326" s="2">
        <v>45.15</v>
      </c>
      <c r="BM326" s="2">
        <v>6.32</v>
      </c>
      <c r="BN326" s="2">
        <v>51.47</v>
      </c>
      <c r="BO326" s="2">
        <v>51.47</v>
      </c>
      <c r="BQ326" s="2" t="s">
        <v>82</v>
      </c>
      <c r="BR326" s="2" t="s">
        <v>103</v>
      </c>
      <c r="BS326" s="3">
        <v>43074</v>
      </c>
      <c r="BT326" s="4">
        <v>0.31458333333333333</v>
      </c>
      <c r="BU326" s="2" t="s">
        <v>790</v>
      </c>
      <c r="BV326" s="2" t="s">
        <v>85</v>
      </c>
      <c r="BY326" s="2">
        <v>1200</v>
      </c>
      <c r="BZ326" s="2" t="s">
        <v>27</v>
      </c>
      <c r="CA326" s="2" t="s">
        <v>611</v>
      </c>
      <c r="CC326" s="2" t="s">
        <v>263</v>
      </c>
      <c r="CD326" s="2">
        <v>6229</v>
      </c>
      <c r="CE326" s="2" t="s">
        <v>120</v>
      </c>
      <c r="CF326" s="3">
        <v>43075</v>
      </c>
      <c r="CI326" s="2">
        <v>1</v>
      </c>
      <c r="CJ326" s="2">
        <v>1</v>
      </c>
      <c r="CK326" s="2">
        <v>21</v>
      </c>
      <c r="CL326" s="2" t="s">
        <v>89</v>
      </c>
    </row>
    <row r="327" spans="1:90">
      <c r="A327" s="2" t="s">
        <v>71</v>
      </c>
      <c r="B327" s="2" t="s">
        <v>72</v>
      </c>
      <c r="C327" s="2" t="s">
        <v>73</v>
      </c>
      <c r="E327" s="2" t="str">
        <f>"FES1162593143"</f>
        <v>FES1162593143</v>
      </c>
      <c r="F327" s="3">
        <v>43070</v>
      </c>
      <c r="G327" s="2">
        <v>201806</v>
      </c>
      <c r="H327" s="2" t="s">
        <v>74</v>
      </c>
      <c r="I327" s="2" t="s">
        <v>75</v>
      </c>
      <c r="J327" s="2" t="s">
        <v>97</v>
      </c>
      <c r="K327" s="2" t="s">
        <v>77</v>
      </c>
      <c r="L327" s="2" t="s">
        <v>295</v>
      </c>
      <c r="M327" s="2" t="s">
        <v>296</v>
      </c>
      <c r="N327" s="2" t="s">
        <v>791</v>
      </c>
      <c r="O327" s="2" t="s">
        <v>101</v>
      </c>
      <c r="P327" s="2" t="str">
        <f>"2170605467                    "</f>
        <v xml:space="preserve">2170605467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7.94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0.2</v>
      </c>
      <c r="BK327" s="2">
        <v>1</v>
      </c>
      <c r="BL327" s="2">
        <v>63.49</v>
      </c>
      <c r="BM327" s="2">
        <v>8.89</v>
      </c>
      <c r="BN327" s="2">
        <v>72.38</v>
      </c>
      <c r="BO327" s="2">
        <v>72.38</v>
      </c>
      <c r="BQ327" s="2" t="s">
        <v>142</v>
      </c>
      <c r="BR327" s="2" t="s">
        <v>103</v>
      </c>
      <c r="BS327" s="3">
        <v>43073</v>
      </c>
      <c r="BT327" s="4">
        <v>0.4236111111111111</v>
      </c>
      <c r="BU327" s="2" t="s">
        <v>792</v>
      </c>
      <c r="BV327" s="2" t="s">
        <v>85</v>
      </c>
      <c r="BY327" s="2">
        <v>1200</v>
      </c>
      <c r="BZ327" s="2" t="s">
        <v>27</v>
      </c>
      <c r="CA327" s="2" t="s">
        <v>793</v>
      </c>
      <c r="CC327" s="2" t="s">
        <v>296</v>
      </c>
      <c r="CD327" s="2">
        <v>407</v>
      </c>
      <c r="CE327" s="2" t="s">
        <v>120</v>
      </c>
      <c r="CF327" s="3">
        <v>43075</v>
      </c>
      <c r="CI327" s="2">
        <v>1</v>
      </c>
      <c r="CJ327" s="2">
        <v>1</v>
      </c>
      <c r="CK327" s="2">
        <v>24</v>
      </c>
      <c r="CL327" s="2" t="s">
        <v>89</v>
      </c>
    </row>
    <row r="328" spans="1:90">
      <c r="A328" s="2" t="s">
        <v>71</v>
      </c>
      <c r="B328" s="2" t="s">
        <v>72</v>
      </c>
      <c r="C328" s="2" t="s">
        <v>73</v>
      </c>
      <c r="E328" s="2" t="str">
        <f>"FES1162593122"</f>
        <v>FES1162593122</v>
      </c>
      <c r="F328" s="3">
        <v>43073</v>
      </c>
      <c r="G328" s="2">
        <v>201806</v>
      </c>
      <c r="H328" s="2" t="s">
        <v>74</v>
      </c>
      <c r="I328" s="2" t="s">
        <v>75</v>
      </c>
      <c r="J328" s="2" t="s">
        <v>97</v>
      </c>
      <c r="K328" s="2" t="s">
        <v>77</v>
      </c>
      <c r="L328" s="2" t="s">
        <v>158</v>
      </c>
      <c r="M328" s="2" t="s">
        <v>159</v>
      </c>
      <c r="N328" s="2" t="s">
        <v>588</v>
      </c>
      <c r="O328" s="2" t="s">
        <v>101</v>
      </c>
      <c r="P328" s="2" t="str">
        <f>"2170602834                    "</f>
        <v xml:space="preserve">2170602834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5.65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45.15</v>
      </c>
      <c r="BM328" s="2">
        <v>6.32</v>
      </c>
      <c r="BN328" s="2">
        <v>51.47</v>
      </c>
      <c r="BO328" s="2">
        <v>51.47</v>
      </c>
      <c r="BQ328" s="2" t="s">
        <v>102</v>
      </c>
      <c r="BR328" s="2" t="s">
        <v>103</v>
      </c>
      <c r="BS328" s="3">
        <v>43074</v>
      </c>
      <c r="BT328" s="4">
        <v>0.57291666666666663</v>
      </c>
      <c r="BU328" s="2" t="s">
        <v>589</v>
      </c>
      <c r="BV328" s="2" t="s">
        <v>85</v>
      </c>
      <c r="BY328" s="2">
        <v>1200</v>
      </c>
      <c r="BZ328" s="2" t="s">
        <v>27</v>
      </c>
      <c r="CA328" s="2" t="s">
        <v>590</v>
      </c>
      <c r="CC328" s="2" t="s">
        <v>159</v>
      </c>
      <c r="CD328" s="2">
        <v>40</v>
      </c>
      <c r="CE328" s="2" t="s">
        <v>120</v>
      </c>
      <c r="CF328" s="3">
        <v>43075</v>
      </c>
      <c r="CI328" s="2">
        <v>1</v>
      </c>
      <c r="CJ328" s="2">
        <v>1</v>
      </c>
      <c r="CK328" s="2">
        <v>21</v>
      </c>
      <c r="CL328" s="2" t="s">
        <v>89</v>
      </c>
    </row>
    <row r="329" spans="1:90">
      <c r="A329" s="2" t="s">
        <v>71</v>
      </c>
      <c r="B329" s="2" t="s">
        <v>72</v>
      </c>
      <c r="C329" s="2" t="s">
        <v>73</v>
      </c>
      <c r="E329" s="2" t="str">
        <f>"FES1162593092"</f>
        <v>FES1162593092</v>
      </c>
      <c r="F329" s="3">
        <v>43070</v>
      </c>
      <c r="G329" s="2">
        <v>201806</v>
      </c>
      <c r="H329" s="2" t="s">
        <v>74</v>
      </c>
      <c r="I329" s="2" t="s">
        <v>75</v>
      </c>
      <c r="J329" s="2" t="s">
        <v>97</v>
      </c>
      <c r="K329" s="2" t="s">
        <v>77</v>
      </c>
      <c r="L329" s="2" t="s">
        <v>74</v>
      </c>
      <c r="M329" s="2" t="s">
        <v>75</v>
      </c>
      <c r="N329" s="2" t="s">
        <v>201</v>
      </c>
      <c r="O329" s="2" t="s">
        <v>101</v>
      </c>
      <c r="P329" s="2" t="str">
        <f>"2170604438                    "</f>
        <v xml:space="preserve">2170604438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4.41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35.270000000000003</v>
      </c>
      <c r="BM329" s="2">
        <v>4.9400000000000004</v>
      </c>
      <c r="BN329" s="2">
        <v>40.21</v>
      </c>
      <c r="BO329" s="2">
        <v>40.21</v>
      </c>
      <c r="BQ329" s="2" t="s">
        <v>102</v>
      </c>
      <c r="BR329" s="2" t="s">
        <v>103</v>
      </c>
      <c r="BS329" s="3">
        <v>43073</v>
      </c>
      <c r="BT329" s="4">
        <v>0.4375</v>
      </c>
      <c r="BU329" s="2" t="s">
        <v>428</v>
      </c>
      <c r="BV329" s="2" t="s">
        <v>85</v>
      </c>
      <c r="BY329" s="2">
        <v>1200</v>
      </c>
      <c r="CC329" s="2" t="s">
        <v>75</v>
      </c>
      <c r="CD329" s="2">
        <v>1665</v>
      </c>
      <c r="CE329" s="2" t="s">
        <v>120</v>
      </c>
      <c r="CF329" s="3">
        <v>43075</v>
      </c>
      <c r="CI329" s="2">
        <v>1</v>
      </c>
      <c r="CJ329" s="2">
        <v>1</v>
      </c>
      <c r="CK329" s="2">
        <v>22</v>
      </c>
      <c r="CL329" s="2" t="s">
        <v>89</v>
      </c>
    </row>
    <row r="330" spans="1:90">
      <c r="A330" s="2" t="s">
        <v>71</v>
      </c>
      <c r="B330" s="2" t="s">
        <v>72</v>
      </c>
      <c r="C330" s="2" t="s">
        <v>73</v>
      </c>
      <c r="E330" s="2" t="str">
        <f>"FES1162593287"</f>
        <v>FES1162593287</v>
      </c>
      <c r="F330" s="3">
        <v>43073</v>
      </c>
      <c r="G330" s="2">
        <v>201806</v>
      </c>
      <c r="H330" s="2" t="s">
        <v>74</v>
      </c>
      <c r="I330" s="2" t="s">
        <v>75</v>
      </c>
      <c r="J330" s="2" t="s">
        <v>97</v>
      </c>
      <c r="K330" s="2" t="s">
        <v>77</v>
      </c>
      <c r="L330" s="2" t="s">
        <v>158</v>
      </c>
      <c r="M330" s="2" t="s">
        <v>159</v>
      </c>
      <c r="N330" s="2" t="s">
        <v>186</v>
      </c>
      <c r="O330" s="2" t="s">
        <v>101</v>
      </c>
      <c r="P330" s="2" t="str">
        <f>"2170605583                    "</f>
        <v xml:space="preserve">2170605583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5.65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</v>
      </c>
      <c r="BJ330" s="2">
        <v>0.2</v>
      </c>
      <c r="BK330" s="2">
        <v>1</v>
      </c>
      <c r="BL330" s="2">
        <v>45.15</v>
      </c>
      <c r="BM330" s="2">
        <v>6.32</v>
      </c>
      <c r="BN330" s="2">
        <v>51.47</v>
      </c>
      <c r="BO330" s="2">
        <v>51.47</v>
      </c>
      <c r="BQ330" s="2" t="s">
        <v>82</v>
      </c>
      <c r="BR330" s="2" t="s">
        <v>103</v>
      </c>
      <c r="BS330" s="3">
        <v>43074</v>
      </c>
      <c r="BT330" s="4">
        <v>0.45833333333333331</v>
      </c>
      <c r="BU330" s="2" t="s">
        <v>794</v>
      </c>
      <c r="BV330" s="2" t="s">
        <v>89</v>
      </c>
      <c r="BW330" s="2" t="s">
        <v>156</v>
      </c>
      <c r="BX330" s="2" t="s">
        <v>668</v>
      </c>
      <c r="BY330" s="2">
        <v>1200</v>
      </c>
      <c r="BZ330" s="2" t="s">
        <v>27</v>
      </c>
      <c r="CA330" s="2" t="s">
        <v>322</v>
      </c>
      <c r="CC330" s="2" t="s">
        <v>159</v>
      </c>
      <c r="CD330" s="2">
        <v>159</v>
      </c>
      <c r="CE330" s="2" t="s">
        <v>120</v>
      </c>
      <c r="CF330" s="3">
        <v>43076</v>
      </c>
      <c r="CI330" s="2">
        <v>1</v>
      </c>
      <c r="CJ330" s="2">
        <v>1</v>
      </c>
      <c r="CK330" s="2">
        <v>21</v>
      </c>
      <c r="CL330" s="2" t="s">
        <v>89</v>
      </c>
    </row>
    <row r="331" spans="1:90">
      <c r="A331" s="2" t="s">
        <v>71</v>
      </c>
      <c r="B331" s="2" t="s">
        <v>72</v>
      </c>
      <c r="C331" s="2" t="s">
        <v>73</v>
      </c>
      <c r="E331" s="2" t="str">
        <f>"FES1162593187"</f>
        <v>FES1162593187</v>
      </c>
      <c r="F331" s="3">
        <v>43070</v>
      </c>
      <c r="G331" s="2">
        <v>201806</v>
      </c>
      <c r="H331" s="2" t="s">
        <v>74</v>
      </c>
      <c r="I331" s="2" t="s">
        <v>75</v>
      </c>
      <c r="J331" s="2" t="s">
        <v>97</v>
      </c>
      <c r="K331" s="2" t="s">
        <v>77</v>
      </c>
      <c r="L331" s="2" t="s">
        <v>98</v>
      </c>
      <c r="M331" s="2" t="s">
        <v>99</v>
      </c>
      <c r="N331" s="2" t="s">
        <v>795</v>
      </c>
      <c r="O331" s="2" t="s">
        <v>101</v>
      </c>
      <c r="P331" s="2" t="str">
        <f>"2170603067                    "</f>
        <v xml:space="preserve">2170603067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5.65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45.15</v>
      </c>
      <c r="BM331" s="2">
        <v>6.32</v>
      </c>
      <c r="BN331" s="2">
        <v>51.47</v>
      </c>
      <c r="BO331" s="2">
        <v>51.47</v>
      </c>
      <c r="BQ331" s="2" t="s">
        <v>102</v>
      </c>
      <c r="BR331" s="2" t="s">
        <v>103</v>
      </c>
      <c r="BS331" s="3">
        <v>43073</v>
      </c>
      <c r="BT331" s="4">
        <v>0.39583333333333331</v>
      </c>
      <c r="BU331" s="2" t="s">
        <v>796</v>
      </c>
      <c r="BV331" s="2" t="s">
        <v>85</v>
      </c>
      <c r="BY331" s="2">
        <v>1200</v>
      </c>
      <c r="BZ331" s="2" t="s">
        <v>27</v>
      </c>
      <c r="CA331" s="2" t="s">
        <v>105</v>
      </c>
      <c r="CC331" s="2" t="s">
        <v>99</v>
      </c>
      <c r="CD331" s="2">
        <v>3201</v>
      </c>
      <c r="CE331" s="2" t="s">
        <v>120</v>
      </c>
      <c r="CF331" s="3">
        <v>43074</v>
      </c>
      <c r="CI331" s="2">
        <v>1</v>
      </c>
      <c r="CJ331" s="2">
        <v>1</v>
      </c>
      <c r="CK331" s="2">
        <v>21</v>
      </c>
      <c r="CL331" s="2" t="s">
        <v>89</v>
      </c>
    </row>
    <row r="332" spans="1:90">
      <c r="A332" s="2" t="s">
        <v>71</v>
      </c>
      <c r="B332" s="2" t="s">
        <v>72</v>
      </c>
      <c r="C332" s="2" t="s">
        <v>73</v>
      </c>
      <c r="E332" s="2" t="str">
        <f>"FES1162593496"</f>
        <v>FES1162593496</v>
      </c>
      <c r="F332" s="3">
        <v>43073</v>
      </c>
      <c r="G332" s="2">
        <v>201806</v>
      </c>
      <c r="H332" s="2" t="s">
        <v>74</v>
      </c>
      <c r="I332" s="2" t="s">
        <v>75</v>
      </c>
      <c r="J332" s="2" t="s">
        <v>97</v>
      </c>
      <c r="K332" s="2" t="s">
        <v>77</v>
      </c>
      <c r="L332" s="2" t="s">
        <v>526</v>
      </c>
      <c r="M332" s="2" t="s">
        <v>527</v>
      </c>
      <c r="N332" s="2" t="s">
        <v>797</v>
      </c>
      <c r="O332" s="2" t="s">
        <v>101</v>
      </c>
      <c r="P332" s="2" t="str">
        <f>"2170605316                    "</f>
        <v xml:space="preserve">2170605316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5.65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</v>
      </c>
      <c r="BJ332" s="2">
        <v>0.2</v>
      </c>
      <c r="BK332" s="2">
        <v>1</v>
      </c>
      <c r="BL332" s="2">
        <v>45.15</v>
      </c>
      <c r="BM332" s="2">
        <v>6.32</v>
      </c>
      <c r="BN332" s="2">
        <v>51.47</v>
      </c>
      <c r="BO332" s="2">
        <v>51.47</v>
      </c>
      <c r="BQ332" s="2" t="s">
        <v>798</v>
      </c>
      <c r="BR332" s="2" t="s">
        <v>103</v>
      </c>
      <c r="BS332" s="3">
        <v>43074</v>
      </c>
      <c r="BT332" s="4">
        <v>0.41666666666666669</v>
      </c>
      <c r="BU332" s="2" t="s">
        <v>799</v>
      </c>
      <c r="BV332" s="2" t="s">
        <v>85</v>
      </c>
      <c r="BY332" s="2">
        <v>1200</v>
      </c>
      <c r="BZ332" s="2" t="s">
        <v>27</v>
      </c>
      <c r="CA332" s="2" t="s">
        <v>530</v>
      </c>
      <c r="CC332" s="2" t="s">
        <v>527</v>
      </c>
      <c r="CD332" s="2">
        <v>6850</v>
      </c>
      <c r="CE332" s="2" t="s">
        <v>120</v>
      </c>
      <c r="CF332" s="3">
        <v>43074</v>
      </c>
      <c r="CI332" s="2">
        <v>3</v>
      </c>
      <c r="CJ332" s="2">
        <v>1</v>
      </c>
      <c r="CK332" s="2">
        <v>21</v>
      </c>
      <c r="CL332" s="2" t="s">
        <v>89</v>
      </c>
    </row>
    <row r="333" spans="1:90">
      <c r="A333" s="2" t="s">
        <v>71</v>
      </c>
      <c r="B333" s="2" t="s">
        <v>72</v>
      </c>
      <c r="C333" s="2" t="s">
        <v>73</v>
      </c>
      <c r="E333" s="2" t="str">
        <f>"FES1162593208"</f>
        <v>FES1162593208</v>
      </c>
      <c r="F333" s="3">
        <v>43070</v>
      </c>
      <c r="G333" s="2">
        <v>201806</v>
      </c>
      <c r="H333" s="2" t="s">
        <v>74</v>
      </c>
      <c r="I333" s="2" t="s">
        <v>75</v>
      </c>
      <c r="J333" s="2" t="s">
        <v>97</v>
      </c>
      <c r="K333" s="2" t="s">
        <v>77</v>
      </c>
      <c r="L333" s="2" t="s">
        <v>168</v>
      </c>
      <c r="M333" s="2" t="s">
        <v>169</v>
      </c>
      <c r="N333" s="2" t="s">
        <v>170</v>
      </c>
      <c r="O333" s="2" t="s">
        <v>101</v>
      </c>
      <c r="P333" s="2" t="str">
        <f>"2170603739                    "</f>
        <v xml:space="preserve">2170603739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5.65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</v>
      </c>
      <c r="BJ333" s="2">
        <v>0.2</v>
      </c>
      <c r="BK333" s="2">
        <v>1</v>
      </c>
      <c r="BL333" s="2">
        <v>45.15</v>
      </c>
      <c r="BM333" s="2">
        <v>6.32</v>
      </c>
      <c r="BN333" s="2">
        <v>51.47</v>
      </c>
      <c r="BO333" s="2">
        <v>51.47</v>
      </c>
      <c r="BQ333" s="2" t="s">
        <v>128</v>
      </c>
      <c r="BR333" s="2" t="s">
        <v>103</v>
      </c>
      <c r="BS333" s="3">
        <v>43073</v>
      </c>
      <c r="BT333" s="4">
        <v>0.375</v>
      </c>
      <c r="BU333" s="2" t="s">
        <v>711</v>
      </c>
      <c r="BV333" s="2" t="s">
        <v>85</v>
      </c>
      <c r="BY333" s="2">
        <v>1200</v>
      </c>
      <c r="BZ333" s="2" t="s">
        <v>27</v>
      </c>
      <c r="CA333" s="2" t="s">
        <v>712</v>
      </c>
      <c r="CC333" s="2" t="s">
        <v>169</v>
      </c>
      <c r="CD333" s="2">
        <v>3610</v>
      </c>
      <c r="CE333" s="2" t="s">
        <v>120</v>
      </c>
      <c r="CF333" s="3">
        <v>43074</v>
      </c>
      <c r="CI333" s="2">
        <v>1</v>
      </c>
      <c r="CJ333" s="2">
        <v>1</v>
      </c>
      <c r="CK333" s="2">
        <v>21</v>
      </c>
      <c r="CL333" s="2" t="s">
        <v>89</v>
      </c>
    </row>
    <row r="334" spans="1:90">
      <c r="A334" s="2" t="s">
        <v>71</v>
      </c>
      <c r="B334" s="2" t="s">
        <v>72</v>
      </c>
      <c r="C334" s="2" t="s">
        <v>73</v>
      </c>
      <c r="E334" s="2" t="str">
        <f>"FES1162593512"</f>
        <v>FES1162593512</v>
      </c>
      <c r="F334" s="3">
        <v>43073</v>
      </c>
      <c r="G334" s="2">
        <v>201806</v>
      </c>
      <c r="H334" s="2" t="s">
        <v>74</v>
      </c>
      <c r="I334" s="2" t="s">
        <v>75</v>
      </c>
      <c r="J334" s="2" t="s">
        <v>97</v>
      </c>
      <c r="K334" s="2" t="s">
        <v>77</v>
      </c>
      <c r="L334" s="2" t="s">
        <v>173</v>
      </c>
      <c r="M334" s="2" t="s">
        <v>174</v>
      </c>
      <c r="N334" s="2" t="s">
        <v>800</v>
      </c>
      <c r="O334" s="2" t="s">
        <v>101</v>
      </c>
      <c r="P334" s="2" t="str">
        <f>"2170605552                    "</f>
        <v xml:space="preserve">2170605552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5.65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45.15</v>
      </c>
      <c r="BM334" s="2">
        <v>6.32</v>
      </c>
      <c r="BN334" s="2">
        <v>51.47</v>
      </c>
      <c r="BO334" s="2">
        <v>51.47</v>
      </c>
      <c r="BQ334" s="2" t="s">
        <v>128</v>
      </c>
      <c r="BR334" s="2" t="s">
        <v>103</v>
      </c>
      <c r="BS334" s="3">
        <v>43074</v>
      </c>
      <c r="BT334" s="4">
        <v>0.40625</v>
      </c>
      <c r="BU334" s="2" t="s">
        <v>801</v>
      </c>
      <c r="BV334" s="2" t="s">
        <v>85</v>
      </c>
      <c r="BY334" s="2">
        <v>1200</v>
      </c>
      <c r="BZ334" s="2" t="s">
        <v>27</v>
      </c>
      <c r="CA334" s="2" t="s">
        <v>537</v>
      </c>
      <c r="CC334" s="2" t="s">
        <v>174</v>
      </c>
      <c r="CD334" s="2">
        <v>7500</v>
      </c>
      <c r="CE334" s="2" t="s">
        <v>120</v>
      </c>
      <c r="CF334" s="3">
        <v>43075</v>
      </c>
      <c r="CI334" s="2">
        <v>1</v>
      </c>
      <c r="CJ334" s="2">
        <v>1</v>
      </c>
      <c r="CK334" s="2">
        <v>21</v>
      </c>
      <c r="CL334" s="2" t="s">
        <v>89</v>
      </c>
    </row>
    <row r="335" spans="1:90">
      <c r="A335" s="2" t="s">
        <v>71</v>
      </c>
      <c r="B335" s="2" t="s">
        <v>72</v>
      </c>
      <c r="C335" s="2" t="s">
        <v>73</v>
      </c>
      <c r="E335" s="2" t="str">
        <f>"FES1162593214"</f>
        <v>FES1162593214</v>
      </c>
      <c r="F335" s="3">
        <v>43070</v>
      </c>
      <c r="G335" s="2">
        <v>201806</v>
      </c>
      <c r="H335" s="2" t="s">
        <v>74</v>
      </c>
      <c r="I335" s="2" t="s">
        <v>75</v>
      </c>
      <c r="J335" s="2" t="s">
        <v>97</v>
      </c>
      <c r="K335" s="2" t="s">
        <v>77</v>
      </c>
      <c r="L335" s="2" t="s">
        <v>98</v>
      </c>
      <c r="M335" s="2" t="s">
        <v>99</v>
      </c>
      <c r="N335" s="2" t="s">
        <v>795</v>
      </c>
      <c r="O335" s="2" t="s">
        <v>101</v>
      </c>
      <c r="P335" s="2" t="str">
        <f>"217060605513                  "</f>
        <v xml:space="preserve">217060605513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5.65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</v>
      </c>
      <c r="BJ335" s="2">
        <v>0.2</v>
      </c>
      <c r="BK335" s="2">
        <v>1</v>
      </c>
      <c r="BL335" s="2">
        <v>45.15</v>
      </c>
      <c r="BM335" s="2">
        <v>6.32</v>
      </c>
      <c r="BN335" s="2">
        <v>51.47</v>
      </c>
      <c r="BO335" s="2">
        <v>51.47</v>
      </c>
      <c r="BQ335" s="2" t="s">
        <v>102</v>
      </c>
      <c r="BR335" s="2" t="s">
        <v>103</v>
      </c>
      <c r="BS335" s="3">
        <v>43073</v>
      </c>
      <c r="BT335" s="4">
        <v>0.39583333333333331</v>
      </c>
      <c r="BU335" s="2" t="s">
        <v>796</v>
      </c>
      <c r="BV335" s="2" t="s">
        <v>85</v>
      </c>
      <c r="BY335" s="2">
        <v>1200</v>
      </c>
      <c r="BZ335" s="2" t="s">
        <v>27</v>
      </c>
      <c r="CA335" s="2" t="s">
        <v>105</v>
      </c>
      <c r="CC335" s="2" t="s">
        <v>99</v>
      </c>
      <c r="CD335" s="2">
        <v>3201</v>
      </c>
      <c r="CE335" s="2" t="s">
        <v>120</v>
      </c>
      <c r="CF335" s="3">
        <v>43074</v>
      </c>
      <c r="CI335" s="2">
        <v>1</v>
      </c>
      <c r="CJ335" s="2">
        <v>1</v>
      </c>
      <c r="CK335" s="2">
        <v>21</v>
      </c>
      <c r="CL335" s="2" t="s">
        <v>89</v>
      </c>
    </row>
    <row r="336" spans="1:90">
      <c r="A336" s="2" t="s">
        <v>71</v>
      </c>
      <c r="B336" s="2" t="s">
        <v>72</v>
      </c>
      <c r="C336" s="2" t="s">
        <v>73</v>
      </c>
      <c r="E336" s="2" t="str">
        <f>"FES1162593419"</f>
        <v>FES1162593419</v>
      </c>
      <c r="F336" s="3">
        <v>43073</v>
      </c>
      <c r="G336" s="2">
        <v>201806</v>
      </c>
      <c r="H336" s="2" t="s">
        <v>74</v>
      </c>
      <c r="I336" s="2" t="s">
        <v>75</v>
      </c>
      <c r="J336" s="2" t="s">
        <v>97</v>
      </c>
      <c r="K336" s="2" t="s">
        <v>77</v>
      </c>
      <c r="L336" s="2" t="s">
        <v>173</v>
      </c>
      <c r="M336" s="2" t="s">
        <v>174</v>
      </c>
      <c r="N336" s="2" t="s">
        <v>802</v>
      </c>
      <c r="O336" s="2" t="s">
        <v>101</v>
      </c>
      <c r="P336" s="2" t="str">
        <f>"2170603472                    "</f>
        <v xml:space="preserve">2170603472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5.65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45.15</v>
      </c>
      <c r="BM336" s="2">
        <v>6.32</v>
      </c>
      <c r="BN336" s="2">
        <v>51.47</v>
      </c>
      <c r="BO336" s="2">
        <v>51.47</v>
      </c>
      <c r="BQ336" s="2" t="s">
        <v>102</v>
      </c>
      <c r="BR336" s="2" t="s">
        <v>103</v>
      </c>
      <c r="BS336" s="3">
        <v>43074</v>
      </c>
      <c r="BT336" s="4">
        <v>0.41666666666666669</v>
      </c>
      <c r="BU336" s="2" t="s">
        <v>803</v>
      </c>
      <c r="BV336" s="2" t="s">
        <v>85</v>
      </c>
      <c r="BY336" s="2">
        <v>1200</v>
      </c>
      <c r="BZ336" s="2" t="s">
        <v>27</v>
      </c>
      <c r="CC336" s="2" t="s">
        <v>174</v>
      </c>
      <c r="CD336" s="2">
        <v>7441</v>
      </c>
      <c r="CE336" s="2" t="s">
        <v>120</v>
      </c>
      <c r="CF336" s="3">
        <v>43075</v>
      </c>
      <c r="CI336" s="2">
        <v>1</v>
      </c>
      <c r="CJ336" s="2">
        <v>1</v>
      </c>
      <c r="CK336" s="2">
        <v>21</v>
      </c>
      <c r="CL336" s="2" t="s">
        <v>89</v>
      </c>
    </row>
    <row r="337" spans="1:90">
      <c r="A337" s="2" t="s">
        <v>71</v>
      </c>
      <c r="B337" s="2" t="s">
        <v>72</v>
      </c>
      <c r="C337" s="2" t="s">
        <v>73</v>
      </c>
      <c r="E337" s="2" t="str">
        <f>"FES1162593215"</f>
        <v>FES1162593215</v>
      </c>
      <c r="F337" s="3">
        <v>43070</v>
      </c>
      <c r="G337" s="2">
        <v>201806</v>
      </c>
      <c r="H337" s="2" t="s">
        <v>74</v>
      </c>
      <c r="I337" s="2" t="s">
        <v>75</v>
      </c>
      <c r="J337" s="2" t="s">
        <v>97</v>
      </c>
      <c r="K337" s="2" t="s">
        <v>77</v>
      </c>
      <c r="L337" s="2" t="s">
        <v>759</v>
      </c>
      <c r="M337" s="2" t="s">
        <v>760</v>
      </c>
      <c r="N337" s="2" t="s">
        <v>804</v>
      </c>
      <c r="O337" s="2" t="s">
        <v>101</v>
      </c>
      <c r="P337" s="2" t="str">
        <f>"2170605514                    "</f>
        <v xml:space="preserve">2170605514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5.65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1</v>
      </c>
      <c r="BJ337" s="2">
        <v>0.2</v>
      </c>
      <c r="BK337" s="2">
        <v>1</v>
      </c>
      <c r="BL337" s="2">
        <v>45.15</v>
      </c>
      <c r="BM337" s="2">
        <v>6.32</v>
      </c>
      <c r="BN337" s="2">
        <v>51.47</v>
      </c>
      <c r="BO337" s="2">
        <v>51.47</v>
      </c>
      <c r="BQ337" s="2" t="s">
        <v>805</v>
      </c>
      <c r="BR337" s="2" t="s">
        <v>103</v>
      </c>
      <c r="BS337" s="3">
        <v>43073</v>
      </c>
      <c r="BT337" s="4">
        <v>0.3611111111111111</v>
      </c>
      <c r="BU337" s="2" t="s">
        <v>806</v>
      </c>
      <c r="BV337" s="2" t="s">
        <v>85</v>
      </c>
      <c r="BY337" s="2">
        <v>1200</v>
      </c>
      <c r="BZ337" s="2" t="s">
        <v>27</v>
      </c>
      <c r="CA337" s="2" t="s">
        <v>578</v>
      </c>
      <c r="CC337" s="2" t="s">
        <v>760</v>
      </c>
      <c r="CD337" s="2">
        <v>4026</v>
      </c>
      <c r="CE337" s="2" t="s">
        <v>120</v>
      </c>
      <c r="CF337" s="3">
        <v>43074</v>
      </c>
      <c r="CI337" s="2">
        <v>1</v>
      </c>
      <c r="CJ337" s="2">
        <v>1</v>
      </c>
      <c r="CK337" s="2">
        <v>21</v>
      </c>
      <c r="CL337" s="2" t="s">
        <v>89</v>
      </c>
    </row>
    <row r="338" spans="1:90">
      <c r="A338" s="2" t="s">
        <v>71</v>
      </c>
      <c r="B338" s="2" t="s">
        <v>72</v>
      </c>
      <c r="C338" s="2" t="s">
        <v>73</v>
      </c>
      <c r="E338" s="2" t="str">
        <f>"FES1162593293"</f>
        <v>FES1162593293</v>
      </c>
      <c r="F338" s="3">
        <v>43073</v>
      </c>
      <c r="G338" s="2">
        <v>201806</v>
      </c>
      <c r="H338" s="2" t="s">
        <v>74</v>
      </c>
      <c r="I338" s="2" t="s">
        <v>75</v>
      </c>
      <c r="J338" s="2" t="s">
        <v>97</v>
      </c>
      <c r="K338" s="2" t="s">
        <v>77</v>
      </c>
      <c r="L338" s="2" t="s">
        <v>158</v>
      </c>
      <c r="M338" s="2" t="s">
        <v>159</v>
      </c>
      <c r="N338" s="2" t="s">
        <v>588</v>
      </c>
      <c r="O338" s="2" t="s">
        <v>101</v>
      </c>
      <c r="P338" s="2" t="str">
        <f>"2170605499                    "</f>
        <v xml:space="preserve">2170605499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5.65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</v>
      </c>
      <c r="BJ338" s="2">
        <v>0.2</v>
      </c>
      <c r="BK338" s="2">
        <v>1</v>
      </c>
      <c r="BL338" s="2">
        <v>45.15</v>
      </c>
      <c r="BM338" s="2">
        <v>6.32</v>
      </c>
      <c r="BN338" s="2">
        <v>51.47</v>
      </c>
      <c r="BO338" s="2">
        <v>51.47</v>
      </c>
      <c r="BQ338" s="2" t="s">
        <v>102</v>
      </c>
      <c r="BR338" s="2" t="s">
        <v>103</v>
      </c>
      <c r="BS338" s="3">
        <v>43074</v>
      </c>
      <c r="BT338" s="4">
        <v>0.57291666666666663</v>
      </c>
      <c r="BU338" s="2" t="s">
        <v>589</v>
      </c>
      <c r="BV338" s="2" t="s">
        <v>85</v>
      </c>
      <c r="BY338" s="2">
        <v>1200</v>
      </c>
      <c r="BZ338" s="2" t="s">
        <v>27</v>
      </c>
      <c r="CA338" s="2" t="s">
        <v>590</v>
      </c>
      <c r="CC338" s="2" t="s">
        <v>159</v>
      </c>
      <c r="CD338" s="2">
        <v>40</v>
      </c>
      <c r="CE338" s="2" t="s">
        <v>120</v>
      </c>
      <c r="CF338" s="3">
        <v>43075</v>
      </c>
      <c r="CI338" s="2">
        <v>1</v>
      </c>
      <c r="CJ338" s="2">
        <v>1</v>
      </c>
      <c r="CK338" s="2">
        <v>21</v>
      </c>
      <c r="CL338" s="2" t="s">
        <v>89</v>
      </c>
    </row>
    <row r="339" spans="1:90">
      <c r="A339" s="2" t="s">
        <v>71</v>
      </c>
      <c r="B339" s="2" t="s">
        <v>72</v>
      </c>
      <c r="C339" s="2" t="s">
        <v>73</v>
      </c>
      <c r="E339" s="2" t="str">
        <f>"FES1162593223"</f>
        <v>FES1162593223</v>
      </c>
      <c r="F339" s="3">
        <v>43070</v>
      </c>
      <c r="G339" s="2">
        <v>201806</v>
      </c>
      <c r="H339" s="2" t="s">
        <v>74</v>
      </c>
      <c r="I339" s="2" t="s">
        <v>75</v>
      </c>
      <c r="J339" s="2" t="s">
        <v>97</v>
      </c>
      <c r="K339" s="2" t="s">
        <v>77</v>
      </c>
      <c r="L339" s="2" t="s">
        <v>759</v>
      </c>
      <c r="M339" s="2" t="s">
        <v>760</v>
      </c>
      <c r="N339" s="2" t="s">
        <v>761</v>
      </c>
      <c r="O339" s="2" t="s">
        <v>101</v>
      </c>
      <c r="P339" s="2" t="str">
        <f>"21706605497                   "</f>
        <v xml:space="preserve">21706605497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5.65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1</v>
      </c>
      <c r="BJ339" s="2">
        <v>0.2</v>
      </c>
      <c r="BK339" s="2">
        <v>1</v>
      </c>
      <c r="BL339" s="2">
        <v>45.15</v>
      </c>
      <c r="BM339" s="2">
        <v>6.32</v>
      </c>
      <c r="BN339" s="2">
        <v>51.47</v>
      </c>
      <c r="BO339" s="2">
        <v>51.47</v>
      </c>
      <c r="BQ339" s="2" t="s">
        <v>82</v>
      </c>
      <c r="BR339" s="2" t="s">
        <v>103</v>
      </c>
      <c r="BS339" s="3">
        <v>43073</v>
      </c>
      <c r="BT339" s="4">
        <v>0.3659722222222222</v>
      </c>
      <c r="BU339" s="2" t="s">
        <v>762</v>
      </c>
      <c r="BV339" s="2" t="s">
        <v>85</v>
      </c>
      <c r="BY339" s="2">
        <v>1200</v>
      </c>
      <c r="BZ339" s="2" t="s">
        <v>27</v>
      </c>
      <c r="CA339" s="2" t="s">
        <v>578</v>
      </c>
      <c r="CC339" s="2" t="s">
        <v>760</v>
      </c>
      <c r="CD339" s="2">
        <v>4026</v>
      </c>
      <c r="CE339" s="2" t="s">
        <v>120</v>
      </c>
      <c r="CF339" s="3">
        <v>43074</v>
      </c>
      <c r="CI339" s="2">
        <v>1</v>
      </c>
      <c r="CJ339" s="2">
        <v>1</v>
      </c>
      <c r="CK339" s="2">
        <v>21</v>
      </c>
      <c r="CL339" s="2" t="s">
        <v>89</v>
      </c>
    </row>
    <row r="340" spans="1:90">
      <c r="A340" s="2" t="s">
        <v>71</v>
      </c>
      <c r="B340" s="2" t="s">
        <v>72</v>
      </c>
      <c r="C340" s="2" t="s">
        <v>73</v>
      </c>
      <c r="E340" s="2" t="str">
        <f>"FES1162593456"</f>
        <v>FES1162593456</v>
      </c>
      <c r="F340" s="3">
        <v>43073</v>
      </c>
      <c r="G340" s="2">
        <v>201806</v>
      </c>
      <c r="H340" s="2" t="s">
        <v>74</v>
      </c>
      <c r="I340" s="2" t="s">
        <v>75</v>
      </c>
      <c r="J340" s="2" t="s">
        <v>97</v>
      </c>
      <c r="K340" s="2" t="s">
        <v>77</v>
      </c>
      <c r="L340" s="2" t="s">
        <v>173</v>
      </c>
      <c r="M340" s="2" t="s">
        <v>174</v>
      </c>
      <c r="N340" s="2" t="s">
        <v>427</v>
      </c>
      <c r="O340" s="2" t="s">
        <v>101</v>
      </c>
      <c r="P340" s="2" t="str">
        <f>"2170604461                    "</f>
        <v xml:space="preserve">2170604461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5.65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45.15</v>
      </c>
      <c r="BM340" s="2">
        <v>6.32</v>
      </c>
      <c r="BN340" s="2">
        <v>51.47</v>
      </c>
      <c r="BO340" s="2">
        <v>51.47</v>
      </c>
      <c r="BQ340" s="2" t="s">
        <v>82</v>
      </c>
      <c r="BR340" s="2" t="s">
        <v>103</v>
      </c>
      <c r="BS340" s="3">
        <v>43074</v>
      </c>
      <c r="BT340" s="4">
        <v>0.4861111111111111</v>
      </c>
      <c r="BU340" s="2" t="s">
        <v>807</v>
      </c>
      <c r="BV340" s="2" t="s">
        <v>89</v>
      </c>
      <c r="BW340" s="2" t="s">
        <v>149</v>
      </c>
      <c r="BX340" s="2" t="s">
        <v>246</v>
      </c>
      <c r="BY340" s="2">
        <v>1200</v>
      </c>
      <c r="BZ340" s="2" t="s">
        <v>27</v>
      </c>
      <c r="CA340" s="2" t="s">
        <v>537</v>
      </c>
      <c r="CC340" s="2" t="s">
        <v>174</v>
      </c>
      <c r="CD340" s="2">
        <v>7490</v>
      </c>
      <c r="CE340" s="2" t="s">
        <v>120</v>
      </c>
      <c r="CF340" s="3">
        <v>43075</v>
      </c>
      <c r="CI340" s="2">
        <v>1</v>
      </c>
      <c r="CJ340" s="2">
        <v>1</v>
      </c>
      <c r="CK340" s="2">
        <v>21</v>
      </c>
      <c r="CL340" s="2" t="s">
        <v>89</v>
      </c>
    </row>
    <row r="341" spans="1:90">
      <c r="A341" s="2" t="s">
        <v>71</v>
      </c>
      <c r="B341" s="2" t="s">
        <v>72</v>
      </c>
      <c r="C341" s="2" t="s">
        <v>73</v>
      </c>
      <c r="E341" s="2" t="str">
        <f>"FES1162592908"</f>
        <v>FES1162592908</v>
      </c>
      <c r="F341" s="3">
        <v>43070</v>
      </c>
      <c r="G341" s="2">
        <v>201806</v>
      </c>
      <c r="H341" s="2" t="s">
        <v>74</v>
      </c>
      <c r="I341" s="2" t="s">
        <v>75</v>
      </c>
      <c r="J341" s="2" t="s">
        <v>97</v>
      </c>
      <c r="K341" s="2" t="s">
        <v>77</v>
      </c>
      <c r="L341" s="2" t="s">
        <v>277</v>
      </c>
      <c r="M341" s="2" t="s">
        <v>278</v>
      </c>
      <c r="N341" s="2" t="s">
        <v>808</v>
      </c>
      <c r="O341" s="2" t="s">
        <v>101</v>
      </c>
      <c r="P341" s="2" t="str">
        <f>"2170604940                    "</f>
        <v xml:space="preserve">2170604940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4.41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2.5</v>
      </c>
      <c r="BJ341" s="2">
        <v>3.5</v>
      </c>
      <c r="BK341" s="2">
        <v>4</v>
      </c>
      <c r="BL341" s="2">
        <v>35.270000000000003</v>
      </c>
      <c r="BM341" s="2">
        <v>4.9400000000000004</v>
      </c>
      <c r="BN341" s="2">
        <v>40.21</v>
      </c>
      <c r="BO341" s="2">
        <v>40.21</v>
      </c>
      <c r="BQ341" s="2" t="s">
        <v>102</v>
      </c>
      <c r="BR341" s="2" t="s">
        <v>103</v>
      </c>
      <c r="BS341" s="3">
        <v>43073</v>
      </c>
      <c r="BT341" s="4">
        <v>0.4375</v>
      </c>
      <c r="BU341" s="2" t="s">
        <v>106</v>
      </c>
      <c r="BV341" s="2" t="s">
        <v>85</v>
      </c>
      <c r="BY341" s="2">
        <v>17399.689999999999</v>
      </c>
      <c r="CA341" s="2" t="s">
        <v>320</v>
      </c>
      <c r="CC341" s="2" t="s">
        <v>278</v>
      </c>
      <c r="CD341" s="2">
        <v>2170</v>
      </c>
      <c r="CE341" s="2" t="s">
        <v>95</v>
      </c>
      <c r="CF341" s="3">
        <v>43075</v>
      </c>
      <c r="CI341" s="2">
        <v>1</v>
      </c>
      <c r="CJ341" s="2">
        <v>1</v>
      </c>
      <c r="CK341" s="2">
        <v>22</v>
      </c>
      <c r="CL341" s="2" t="s">
        <v>89</v>
      </c>
    </row>
    <row r="342" spans="1:90">
      <c r="A342" s="2" t="s">
        <v>71</v>
      </c>
      <c r="B342" s="2" t="s">
        <v>72</v>
      </c>
      <c r="C342" s="2" t="s">
        <v>73</v>
      </c>
      <c r="E342" s="2" t="str">
        <f>"FES1162593440"</f>
        <v>FES1162593440</v>
      </c>
      <c r="F342" s="3">
        <v>43073</v>
      </c>
      <c r="G342" s="2">
        <v>201806</v>
      </c>
      <c r="H342" s="2" t="s">
        <v>74</v>
      </c>
      <c r="I342" s="2" t="s">
        <v>75</v>
      </c>
      <c r="J342" s="2" t="s">
        <v>97</v>
      </c>
      <c r="K342" s="2" t="s">
        <v>77</v>
      </c>
      <c r="L342" s="2" t="s">
        <v>262</v>
      </c>
      <c r="M342" s="2" t="s">
        <v>263</v>
      </c>
      <c r="N342" s="2" t="s">
        <v>809</v>
      </c>
      <c r="O342" s="2" t="s">
        <v>101</v>
      </c>
      <c r="P342" s="2" t="str">
        <f>"2170604110                    "</f>
        <v xml:space="preserve">2170604110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5.65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</v>
      </c>
      <c r="BJ342" s="2">
        <v>0.2</v>
      </c>
      <c r="BK342" s="2">
        <v>1</v>
      </c>
      <c r="BL342" s="2">
        <v>45.15</v>
      </c>
      <c r="BM342" s="2">
        <v>6.32</v>
      </c>
      <c r="BN342" s="2">
        <v>51.47</v>
      </c>
      <c r="BO342" s="2">
        <v>51.47</v>
      </c>
      <c r="BQ342" s="2" t="s">
        <v>102</v>
      </c>
      <c r="BR342" s="2" t="s">
        <v>103</v>
      </c>
      <c r="BS342" s="3">
        <v>43074</v>
      </c>
      <c r="BT342" s="4">
        <v>0.3298611111111111</v>
      </c>
      <c r="BU342" s="2" t="s">
        <v>810</v>
      </c>
      <c r="BV342" s="2" t="s">
        <v>85</v>
      </c>
      <c r="BY342" s="2">
        <v>1200</v>
      </c>
      <c r="BZ342" s="2" t="s">
        <v>27</v>
      </c>
      <c r="CA342" s="2" t="s">
        <v>611</v>
      </c>
      <c r="CC342" s="2" t="s">
        <v>263</v>
      </c>
      <c r="CD342" s="2">
        <v>6229</v>
      </c>
      <c r="CE342" s="2" t="s">
        <v>120</v>
      </c>
      <c r="CF342" s="3">
        <v>43075</v>
      </c>
      <c r="CI342" s="2">
        <v>1</v>
      </c>
      <c r="CJ342" s="2">
        <v>1</v>
      </c>
      <c r="CK342" s="2">
        <v>21</v>
      </c>
      <c r="CL342" s="2" t="s">
        <v>89</v>
      </c>
    </row>
    <row r="343" spans="1:90">
      <c r="A343" s="2" t="s">
        <v>71</v>
      </c>
      <c r="B343" s="2" t="s">
        <v>72</v>
      </c>
      <c r="C343" s="2" t="s">
        <v>73</v>
      </c>
      <c r="E343" s="2" t="str">
        <f>"FES1162593271"</f>
        <v>FES1162593271</v>
      </c>
      <c r="F343" s="3">
        <v>43070</v>
      </c>
      <c r="G343" s="2">
        <v>201806</v>
      </c>
      <c r="H343" s="2" t="s">
        <v>74</v>
      </c>
      <c r="I343" s="2" t="s">
        <v>75</v>
      </c>
      <c r="J343" s="2" t="s">
        <v>97</v>
      </c>
      <c r="K343" s="2" t="s">
        <v>77</v>
      </c>
      <c r="L343" s="2" t="s">
        <v>173</v>
      </c>
      <c r="M343" s="2" t="s">
        <v>174</v>
      </c>
      <c r="N343" s="2" t="s">
        <v>811</v>
      </c>
      <c r="O343" s="2" t="s">
        <v>101</v>
      </c>
      <c r="P343" s="2" t="str">
        <f>"2170605560                    "</f>
        <v xml:space="preserve">2170605560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5.65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0.8</v>
      </c>
      <c r="BK343" s="2">
        <v>1</v>
      </c>
      <c r="BL343" s="2">
        <v>45.15</v>
      </c>
      <c r="BM343" s="2">
        <v>6.32</v>
      </c>
      <c r="BN343" s="2">
        <v>51.47</v>
      </c>
      <c r="BO343" s="2">
        <v>51.47</v>
      </c>
      <c r="BP343" s="2" t="s">
        <v>812</v>
      </c>
      <c r="BQ343" s="2" t="s">
        <v>813</v>
      </c>
      <c r="BR343" s="2" t="s">
        <v>103</v>
      </c>
      <c r="BS343" s="3">
        <v>43071</v>
      </c>
      <c r="BT343" s="4">
        <v>0.41666666666666669</v>
      </c>
      <c r="BU343" s="2" t="s">
        <v>814</v>
      </c>
      <c r="BV343" s="2" t="s">
        <v>85</v>
      </c>
      <c r="BY343" s="2">
        <v>3810.24</v>
      </c>
      <c r="BZ343" s="2" t="s">
        <v>27</v>
      </c>
      <c r="CC343" s="2" t="s">
        <v>174</v>
      </c>
      <c r="CD343" s="2">
        <v>8001</v>
      </c>
      <c r="CE343" s="2" t="s">
        <v>95</v>
      </c>
      <c r="CF343" s="3">
        <v>43074</v>
      </c>
      <c r="CI343" s="2">
        <v>1</v>
      </c>
      <c r="CJ343" s="2">
        <v>0</v>
      </c>
      <c r="CK343" s="2">
        <v>21</v>
      </c>
      <c r="CL343" s="2" t="s">
        <v>89</v>
      </c>
    </row>
    <row r="344" spans="1:90">
      <c r="A344" s="2" t="s">
        <v>71</v>
      </c>
      <c r="B344" s="2" t="s">
        <v>72</v>
      </c>
      <c r="C344" s="2" t="s">
        <v>73</v>
      </c>
      <c r="E344" s="2" t="str">
        <f>"FES1162593448"</f>
        <v>FES1162593448</v>
      </c>
      <c r="F344" s="3">
        <v>43073</v>
      </c>
      <c r="G344" s="2">
        <v>201806</v>
      </c>
      <c r="H344" s="2" t="s">
        <v>74</v>
      </c>
      <c r="I344" s="2" t="s">
        <v>75</v>
      </c>
      <c r="J344" s="2" t="s">
        <v>97</v>
      </c>
      <c r="K344" s="2" t="s">
        <v>77</v>
      </c>
      <c r="L344" s="2" t="s">
        <v>173</v>
      </c>
      <c r="M344" s="2" t="s">
        <v>174</v>
      </c>
      <c r="N344" s="2" t="s">
        <v>815</v>
      </c>
      <c r="O344" s="2" t="s">
        <v>101</v>
      </c>
      <c r="P344" s="2" t="str">
        <f>"2170604327                    "</f>
        <v xml:space="preserve">2170604327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5.65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1</v>
      </c>
      <c r="BJ344" s="2">
        <v>0.2</v>
      </c>
      <c r="BK344" s="2">
        <v>1</v>
      </c>
      <c r="BL344" s="2">
        <v>45.15</v>
      </c>
      <c r="BM344" s="2">
        <v>6.32</v>
      </c>
      <c r="BN344" s="2">
        <v>51.47</v>
      </c>
      <c r="BO344" s="2">
        <v>51.47</v>
      </c>
      <c r="BQ344" s="2" t="s">
        <v>816</v>
      </c>
      <c r="BR344" s="2" t="s">
        <v>103</v>
      </c>
      <c r="BS344" s="3">
        <v>43075</v>
      </c>
      <c r="BT344" s="4">
        <v>0.41666666666666669</v>
      </c>
      <c r="BU344" s="2" t="s">
        <v>817</v>
      </c>
      <c r="BV344" s="2" t="s">
        <v>89</v>
      </c>
      <c r="BW344" s="2" t="s">
        <v>149</v>
      </c>
      <c r="BX344" s="2" t="s">
        <v>411</v>
      </c>
      <c r="BY344" s="2">
        <v>1200</v>
      </c>
      <c r="BZ344" s="2" t="s">
        <v>27</v>
      </c>
      <c r="CC344" s="2" t="s">
        <v>174</v>
      </c>
      <c r="CD344" s="2">
        <v>7945</v>
      </c>
      <c r="CE344" s="2" t="s">
        <v>120</v>
      </c>
      <c r="CF344" s="3">
        <v>43076</v>
      </c>
      <c r="CI344" s="2">
        <v>1</v>
      </c>
      <c r="CJ344" s="2">
        <v>2</v>
      </c>
      <c r="CK344" s="2">
        <v>21</v>
      </c>
      <c r="CL344" s="2" t="s">
        <v>89</v>
      </c>
    </row>
    <row r="345" spans="1:90">
      <c r="A345" s="2" t="s">
        <v>71</v>
      </c>
      <c r="B345" s="2" t="s">
        <v>72</v>
      </c>
      <c r="C345" s="2" t="s">
        <v>73</v>
      </c>
      <c r="E345" s="2" t="str">
        <f>"FES1162593060"</f>
        <v>FES1162593060</v>
      </c>
      <c r="F345" s="3">
        <v>43070</v>
      </c>
      <c r="G345" s="2">
        <v>201806</v>
      </c>
      <c r="H345" s="2" t="s">
        <v>74</v>
      </c>
      <c r="I345" s="2" t="s">
        <v>75</v>
      </c>
      <c r="J345" s="2" t="s">
        <v>97</v>
      </c>
      <c r="K345" s="2" t="s">
        <v>77</v>
      </c>
      <c r="L345" s="2" t="s">
        <v>168</v>
      </c>
      <c r="M345" s="2" t="s">
        <v>169</v>
      </c>
      <c r="N345" s="2" t="s">
        <v>170</v>
      </c>
      <c r="O345" s="2" t="s">
        <v>101</v>
      </c>
      <c r="P345" s="2" t="str">
        <f>"2170603739                    "</f>
        <v xml:space="preserve">2170603739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5.65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</v>
      </c>
      <c r="BJ345" s="2">
        <v>0.2</v>
      </c>
      <c r="BK345" s="2">
        <v>1</v>
      </c>
      <c r="BL345" s="2">
        <v>45.15</v>
      </c>
      <c r="BM345" s="2">
        <v>6.32</v>
      </c>
      <c r="BN345" s="2">
        <v>51.47</v>
      </c>
      <c r="BO345" s="2">
        <v>51.47</v>
      </c>
      <c r="BQ345" s="2" t="s">
        <v>128</v>
      </c>
      <c r="BR345" s="2" t="s">
        <v>103</v>
      </c>
      <c r="BS345" s="3">
        <v>43073</v>
      </c>
      <c r="BT345" s="4">
        <v>0.375</v>
      </c>
      <c r="BU345" s="2" t="s">
        <v>711</v>
      </c>
      <c r="BV345" s="2" t="s">
        <v>85</v>
      </c>
      <c r="BY345" s="2">
        <v>1200</v>
      </c>
      <c r="BZ345" s="2" t="s">
        <v>27</v>
      </c>
      <c r="CA345" s="2" t="s">
        <v>712</v>
      </c>
      <c r="CC345" s="2" t="s">
        <v>169</v>
      </c>
      <c r="CD345" s="2">
        <v>3610</v>
      </c>
      <c r="CE345" s="2" t="s">
        <v>120</v>
      </c>
      <c r="CF345" s="3">
        <v>43074</v>
      </c>
      <c r="CI345" s="2">
        <v>1</v>
      </c>
      <c r="CJ345" s="2">
        <v>1</v>
      </c>
      <c r="CK345" s="2">
        <v>21</v>
      </c>
      <c r="CL345" s="2" t="s">
        <v>89</v>
      </c>
    </row>
    <row r="346" spans="1:90">
      <c r="A346" s="2" t="s">
        <v>71</v>
      </c>
      <c r="B346" s="2" t="s">
        <v>72</v>
      </c>
      <c r="C346" s="2" t="s">
        <v>73</v>
      </c>
      <c r="E346" s="2" t="str">
        <f>"FES1162593392"</f>
        <v>FES1162593392</v>
      </c>
      <c r="F346" s="3">
        <v>43073</v>
      </c>
      <c r="G346" s="2">
        <v>201806</v>
      </c>
      <c r="H346" s="2" t="s">
        <v>74</v>
      </c>
      <c r="I346" s="2" t="s">
        <v>75</v>
      </c>
      <c r="J346" s="2" t="s">
        <v>97</v>
      </c>
      <c r="K346" s="2" t="s">
        <v>77</v>
      </c>
      <c r="L346" s="2" t="s">
        <v>212</v>
      </c>
      <c r="M346" s="2" t="s">
        <v>212</v>
      </c>
      <c r="N346" s="2" t="s">
        <v>213</v>
      </c>
      <c r="O346" s="2" t="s">
        <v>101</v>
      </c>
      <c r="P346" s="2" t="str">
        <f>"2170603015                    "</f>
        <v xml:space="preserve">2170603015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5.65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45.15</v>
      </c>
      <c r="BM346" s="2">
        <v>6.32</v>
      </c>
      <c r="BN346" s="2">
        <v>51.47</v>
      </c>
      <c r="BO346" s="2">
        <v>51.47</v>
      </c>
      <c r="BQ346" s="2" t="s">
        <v>102</v>
      </c>
      <c r="BR346" s="2" t="s">
        <v>103</v>
      </c>
      <c r="BS346" s="3">
        <v>43074</v>
      </c>
      <c r="BT346" s="4">
        <v>0.57291666666666663</v>
      </c>
      <c r="BU346" s="2" t="s">
        <v>531</v>
      </c>
      <c r="BV346" s="2" t="s">
        <v>85</v>
      </c>
      <c r="BY346" s="2">
        <v>1200</v>
      </c>
      <c r="BZ346" s="2" t="s">
        <v>27</v>
      </c>
      <c r="CA346" s="2" t="s">
        <v>532</v>
      </c>
      <c r="CC346" s="2" t="s">
        <v>212</v>
      </c>
      <c r="CD346" s="2">
        <v>7646</v>
      </c>
      <c r="CE346" s="2" t="s">
        <v>120</v>
      </c>
      <c r="CF346" s="3">
        <v>43074</v>
      </c>
      <c r="CI346" s="2">
        <v>1</v>
      </c>
      <c r="CJ346" s="2">
        <v>1</v>
      </c>
      <c r="CK346" s="2">
        <v>21</v>
      </c>
      <c r="CL346" s="2" t="s">
        <v>89</v>
      </c>
    </row>
    <row r="347" spans="1:90">
      <c r="A347" s="2" t="s">
        <v>71</v>
      </c>
      <c r="B347" s="2" t="s">
        <v>72</v>
      </c>
      <c r="C347" s="2" t="s">
        <v>73</v>
      </c>
      <c r="E347" s="2" t="str">
        <f>"FES1162593136"</f>
        <v>FES1162593136</v>
      </c>
      <c r="F347" s="3">
        <v>43070</v>
      </c>
      <c r="G347" s="2">
        <v>201806</v>
      </c>
      <c r="H347" s="2" t="s">
        <v>74</v>
      </c>
      <c r="I347" s="2" t="s">
        <v>75</v>
      </c>
      <c r="J347" s="2" t="s">
        <v>97</v>
      </c>
      <c r="K347" s="2" t="s">
        <v>77</v>
      </c>
      <c r="L347" s="2" t="s">
        <v>168</v>
      </c>
      <c r="M347" s="2" t="s">
        <v>169</v>
      </c>
      <c r="N347" s="2" t="s">
        <v>818</v>
      </c>
      <c r="O347" s="2" t="s">
        <v>101</v>
      </c>
      <c r="P347" s="2" t="str">
        <f>"217604296                     "</f>
        <v xml:space="preserve">217604296 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5.65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45.15</v>
      </c>
      <c r="BM347" s="2">
        <v>6.32</v>
      </c>
      <c r="BN347" s="2">
        <v>51.47</v>
      </c>
      <c r="BO347" s="2">
        <v>51.47</v>
      </c>
      <c r="BQ347" s="2" t="s">
        <v>187</v>
      </c>
      <c r="BR347" s="2" t="s">
        <v>103</v>
      </c>
      <c r="BS347" s="3">
        <v>43073</v>
      </c>
      <c r="BT347" s="4">
        <v>0.39999999999999997</v>
      </c>
      <c r="BU347" s="2" t="s">
        <v>819</v>
      </c>
      <c r="BV347" s="2" t="s">
        <v>85</v>
      </c>
      <c r="BY347" s="2">
        <v>1200</v>
      </c>
      <c r="BZ347" s="2" t="s">
        <v>27</v>
      </c>
      <c r="CA347" s="2" t="s">
        <v>220</v>
      </c>
      <c r="CC347" s="2" t="s">
        <v>169</v>
      </c>
      <c r="CD347" s="2">
        <v>3610</v>
      </c>
      <c r="CE347" s="2" t="s">
        <v>120</v>
      </c>
      <c r="CF347" s="3">
        <v>43074</v>
      </c>
      <c r="CI347" s="2">
        <v>1</v>
      </c>
      <c r="CJ347" s="2">
        <v>1</v>
      </c>
      <c r="CK347" s="2">
        <v>21</v>
      </c>
      <c r="CL347" s="2" t="s">
        <v>89</v>
      </c>
    </row>
    <row r="348" spans="1:90">
      <c r="A348" s="2" t="s">
        <v>71</v>
      </c>
      <c r="B348" s="2" t="s">
        <v>72</v>
      </c>
      <c r="C348" s="2" t="s">
        <v>73</v>
      </c>
      <c r="E348" s="2" t="str">
        <f>"FES1162593494"</f>
        <v>FES1162593494</v>
      </c>
      <c r="F348" s="3">
        <v>43073</v>
      </c>
      <c r="G348" s="2">
        <v>201806</v>
      </c>
      <c r="H348" s="2" t="s">
        <v>74</v>
      </c>
      <c r="I348" s="2" t="s">
        <v>75</v>
      </c>
      <c r="J348" s="2" t="s">
        <v>97</v>
      </c>
      <c r="K348" s="2" t="s">
        <v>77</v>
      </c>
      <c r="L348" s="2" t="s">
        <v>136</v>
      </c>
      <c r="M348" s="2" t="s">
        <v>137</v>
      </c>
      <c r="N348" s="2" t="s">
        <v>138</v>
      </c>
      <c r="O348" s="2" t="s">
        <v>101</v>
      </c>
      <c r="P348" s="2" t="str">
        <f>"2170605272                    "</f>
        <v xml:space="preserve">2170605272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5.65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</v>
      </c>
      <c r="BJ348" s="2">
        <v>0.2</v>
      </c>
      <c r="BK348" s="2">
        <v>1</v>
      </c>
      <c r="BL348" s="2">
        <v>45.15</v>
      </c>
      <c r="BM348" s="2">
        <v>6.32</v>
      </c>
      <c r="BN348" s="2">
        <v>51.47</v>
      </c>
      <c r="BO348" s="2">
        <v>51.47</v>
      </c>
      <c r="BQ348" s="2" t="s">
        <v>82</v>
      </c>
      <c r="BR348" s="2" t="s">
        <v>103</v>
      </c>
      <c r="BS348" s="3">
        <v>43074</v>
      </c>
      <c r="BT348" s="4">
        <v>0.35416666666666669</v>
      </c>
      <c r="BU348" s="2" t="s">
        <v>690</v>
      </c>
      <c r="BV348" s="2" t="s">
        <v>85</v>
      </c>
      <c r="BY348" s="2">
        <v>1200</v>
      </c>
      <c r="BZ348" s="2" t="s">
        <v>27</v>
      </c>
      <c r="CA348" s="2" t="s">
        <v>448</v>
      </c>
      <c r="CC348" s="2" t="s">
        <v>137</v>
      </c>
      <c r="CD348" s="2">
        <v>6001</v>
      </c>
      <c r="CE348" s="2" t="s">
        <v>120</v>
      </c>
      <c r="CF348" s="3">
        <v>43075</v>
      </c>
      <c r="CI348" s="2">
        <v>1</v>
      </c>
      <c r="CJ348" s="2">
        <v>1</v>
      </c>
      <c r="CK348" s="2">
        <v>21</v>
      </c>
      <c r="CL348" s="2" t="s">
        <v>89</v>
      </c>
    </row>
    <row r="349" spans="1:90">
      <c r="A349" s="2" t="s">
        <v>71</v>
      </c>
      <c r="B349" s="2" t="s">
        <v>72</v>
      </c>
      <c r="C349" s="2" t="s">
        <v>73</v>
      </c>
      <c r="E349" s="2" t="str">
        <f>"FES1162593194"</f>
        <v>FES1162593194</v>
      </c>
      <c r="F349" s="3">
        <v>43070</v>
      </c>
      <c r="G349" s="2">
        <v>201806</v>
      </c>
      <c r="H349" s="2" t="s">
        <v>74</v>
      </c>
      <c r="I349" s="2" t="s">
        <v>75</v>
      </c>
      <c r="J349" s="2" t="s">
        <v>97</v>
      </c>
      <c r="K349" s="2" t="s">
        <v>77</v>
      </c>
      <c r="L349" s="2" t="s">
        <v>98</v>
      </c>
      <c r="M349" s="2" t="s">
        <v>99</v>
      </c>
      <c r="N349" s="2" t="s">
        <v>820</v>
      </c>
      <c r="O349" s="2" t="s">
        <v>101</v>
      </c>
      <c r="P349" s="2" t="str">
        <f>"2170603162                    "</f>
        <v xml:space="preserve">2170603162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5.65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1</v>
      </c>
      <c r="BJ349" s="2">
        <v>0.2</v>
      </c>
      <c r="BK349" s="2">
        <v>1</v>
      </c>
      <c r="BL349" s="2">
        <v>45.15</v>
      </c>
      <c r="BM349" s="2">
        <v>6.32</v>
      </c>
      <c r="BN349" s="2">
        <v>51.47</v>
      </c>
      <c r="BO349" s="2">
        <v>51.47</v>
      </c>
      <c r="BQ349" s="2" t="s">
        <v>821</v>
      </c>
      <c r="BR349" s="2" t="s">
        <v>103</v>
      </c>
      <c r="BS349" s="3">
        <v>43073</v>
      </c>
      <c r="BT349" s="4">
        <v>0.34722222222222227</v>
      </c>
      <c r="BU349" s="2" t="s">
        <v>822</v>
      </c>
      <c r="BV349" s="2" t="s">
        <v>85</v>
      </c>
      <c r="BY349" s="2">
        <v>1200</v>
      </c>
      <c r="BZ349" s="2" t="s">
        <v>27</v>
      </c>
      <c r="CA349" s="2" t="s">
        <v>497</v>
      </c>
      <c r="CC349" s="2" t="s">
        <v>99</v>
      </c>
      <c r="CD349" s="2">
        <v>3200</v>
      </c>
      <c r="CE349" s="2" t="s">
        <v>120</v>
      </c>
      <c r="CF349" s="3">
        <v>43074</v>
      </c>
      <c r="CI349" s="2">
        <v>1</v>
      </c>
      <c r="CJ349" s="2">
        <v>1</v>
      </c>
      <c r="CK349" s="2">
        <v>21</v>
      </c>
      <c r="CL349" s="2" t="s">
        <v>89</v>
      </c>
    </row>
    <row r="350" spans="1:90">
      <c r="A350" s="2" t="s">
        <v>71</v>
      </c>
      <c r="B350" s="2" t="s">
        <v>72</v>
      </c>
      <c r="C350" s="2" t="s">
        <v>73</v>
      </c>
      <c r="E350" s="2" t="str">
        <f>"FES1162593501"</f>
        <v>FES1162593501</v>
      </c>
      <c r="F350" s="3">
        <v>43073</v>
      </c>
      <c r="G350" s="2">
        <v>201806</v>
      </c>
      <c r="H350" s="2" t="s">
        <v>74</v>
      </c>
      <c r="I350" s="2" t="s">
        <v>75</v>
      </c>
      <c r="J350" s="2" t="s">
        <v>97</v>
      </c>
      <c r="K350" s="2" t="s">
        <v>77</v>
      </c>
      <c r="L350" s="2" t="s">
        <v>136</v>
      </c>
      <c r="M350" s="2" t="s">
        <v>137</v>
      </c>
      <c r="N350" s="2" t="s">
        <v>823</v>
      </c>
      <c r="O350" s="2" t="s">
        <v>101</v>
      </c>
      <c r="P350" s="2" t="str">
        <f>"2170605396                    "</f>
        <v xml:space="preserve">2170605396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5.65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1</v>
      </c>
      <c r="BJ350" s="2">
        <v>0.2</v>
      </c>
      <c r="BK350" s="2">
        <v>1</v>
      </c>
      <c r="BL350" s="2">
        <v>45.15</v>
      </c>
      <c r="BM350" s="2">
        <v>6.32</v>
      </c>
      <c r="BN350" s="2">
        <v>51.47</v>
      </c>
      <c r="BO350" s="2">
        <v>51.47</v>
      </c>
      <c r="BQ350" s="2" t="s">
        <v>82</v>
      </c>
      <c r="BR350" s="2" t="s">
        <v>103</v>
      </c>
      <c r="BS350" s="3">
        <v>43074</v>
      </c>
      <c r="BT350" s="4">
        <v>0.34722222222222227</v>
      </c>
      <c r="BU350" s="2" t="s">
        <v>824</v>
      </c>
      <c r="BV350" s="2" t="s">
        <v>85</v>
      </c>
      <c r="BY350" s="2">
        <v>1200</v>
      </c>
      <c r="BZ350" s="2" t="s">
        <v>27</v>
      </c>
      <c r="CA350" s="2" t="s">
        <v>180</v>
      </c>
      <c r="CC350" s="2" t="s">
        <v>137</v>
      </c>
      <c r="CD350" s="2">
        <v>6001</v>
      </c>
      <c r="CE350" s="2" t="s">
        <v>120</v>
      </c>
      <c r="CF350" s="3">
        <v>43075</v>
      </c>
      <c r="CI350" s="2">
        <v>1</v>
      </c>
      <c r="CJ350" s="2">
        <v>1</v>
      </c>
      <c r="CK350" s="2">
        <v>21</v>
      </c>
      <c r="CL350" s="2" t="s">
        <v>89</v>
      </c>
    </row>
    <row r="351" spans="1:90">
      <c r="A351" s="2" t="s">
        <v>71</v>
      </c>
      <c r="B351" s="2" t="s">
        <v>72</v>
      </c>
      <c r="C351" s="2" t="s">
        <v>73</v>
      </c>
      <c r="E351" s="2" t="str">
        <f>"FES1162593304"</f>
        <v>FES1162593304</v>
      </c>
      <c r="F351" s="3">
        <v>43070</v>
      </c>
      <c r="G351" s="2">
        <v>201806</v>
      </c>
      <c r="H351" s="2" t="s">
        <v>74</v>
      </c>
      <c r="I351" s="2" t="s">
        <v>75</v>
      </c>
      <c r="J351" s="2" t="s">
        <v>97</v>
      </c>
      <c r="K351" s="2" t="s">
        <v>77</v>
      </c>
      <c r="L351" s="2" t="s">
        <v>136</v>
      </c>
      <c r="M351" s="2" t="s">
        <v>137</v>
      </c>
      <c r="N351" s="2" t="s">
        <v>580</v>
      </c>
      <c r="O351" s="2" t="s">
        <v>101</v>
      </c>
      <c r="P351" s="2" t="str">
        <f>"2170605603                    "</f>
        <v xml:space="preserve">2170605603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5.65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1</v>
      </c>
      <c r="BJ351" s="2">
        <v>0.2</v>
      </c>
      <c r="BK351" s="2">
        <v>1</v>
      </c>
      <c r="BL351" s="2">
        <v>45.15</v>
      </c>
      <c r="BM351" s="2">
        <v>6.32</v>
      </c>
      <c r="BN351" s="2">
        <v>51.47</v>
      </c>
      <c r="BO351" s="2">
        <v>51.47</v>
      </c>
      <c r="BQ351" s="2" t="s">
        <v>102</v>
      </c>
      <c r="BR351" s="2" t="s">
        <v>103</v>
      </c>
      <c r="BS351" s="3">
        <v>43073</v>
      </c>
      <c r="BT351" s="4">
        <v>0.3125</v>
      </c>
      <c r="BU351" s="2" t="s">
        <v>581</v>
      </c>
      <c r="BV351" s="2" t="s">
        <v>85</v>
      </c>
      <c r="BY351" s="2">
        <v>1200</v>
      </c>
      <c r="BZ351" s="2" t="s">
        <v>27</v>
      </c>
      <c r="CA351" s="2" t="s">
        <v>180</v>
      </c>
      <c r="CC351" s="2" t="s">
        <v>137</v>
      </c>
      <c r="CD351" s="2">
        <v>6001</v>
      </c>
      <c r="CE351" s="2" t="s">
        <v>120</v>
      </c>
      <c r="CF351" s="3">
        <v>43074</v>
      </c>
      <c r="CI351" s="2">
        <v>1</v>
      </c>
      <c r="CJ351" s="2">
        <v>1</v>
      </c>
      <c r="CK351" s="2">
        <v>21</v>
      </c>
      <c r="CL351" s="2" t="s">
        <v>89</v>
      </c>
    </row>
    <row r="352" spans="1:90">
      <c r="A352" s="2" t="s">
        <v>71</v>
      </c>
      <c r="B352" s="2" t="s">
        <v>72</v>
      </c>
      <c r="C352" s="2" t="s">
        <v>73</v>
      </c>
      <c r="E352" s="2" t="str">
        <f>"FES1162593469"</f>
        <v>FES1162593469</v>
      </c>
      <c r="F352" s="3">
        <v>43073</v>
      </c>
      <c r="G352" s="2">
        <v>201806</v>
      </c>
      <c r="H352" s="2" t="s">
        <v>74</v>
      </c>
      <c r="I352" s="2" t="s">
        <v>75</v>
      </c>
      <c r="J352" s="2" t="s">
        <v>97</v>
      </c>
      <c r="K352" s="2" t="s">
        <v>77</v>
      </c>
      <c r="L352" s="2" t="s">
        <v>173</v>
      </c>
      <c r="M352" s="2" t="s">
        <v>174</v>
      </c>
      <c r="N352" s="2" t="s">
        <v>164</v>
      </c>
      <c r="O352" s="2" t="s">
        <v>101</v>
      </c>
      <c r="P352" s="2" t="str">
        <f>"2170604829                    "</f>
        <v xml:space="preserve">2170604829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5.65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1</v>
      </c>
      <c r="BJ352" s="2">
        <v>0.2</v>
      </c>
      <c r="BK352" s="2">
        <v>1</v>
      </c>
      <c r="BL352" s="2">
        <v>45.15</v>
      </c>
      <c r="BM352" s="2">
        <v>6.32</v>
      </c>
      <c r="BN352" s="2">
        <v>51.47</v>
      </c>
      <c r="BO352" s="2">
        <v>51.47</v>
      </c>
      <c r="BQ352" s="2" t="s">
        <v>825</v>
      </c>
      <c r="BR352" s="2" t="s">
        <v>103</v>
      </c>
      <c r="BS352" s="3">
        <v>43074</v>
      </c>
      <c r="BT352" s="4">
        <v>0.49305555555555558</v>
      </c>
      <c r="BU352" s="2" t="s">
        <v>826</v>
      </c>
      <c r="BV352" s="2" t="s">
        <v>89</v>
      </c>
      <c r="BW352" s="2" t="s">
        <v>149</v>
      </c>
      <c r="BX352" s="2" t="s">
        <v>246</v>
      </c>
      <c r="BY352" s="2">
        <v>1200</v>
      </c>
      <c r="BZ352" s="2" t="s">
        <v>27</v>
      </c>
      <c r="CA352" s="2" t="s">
        <v>827</v>
      </c>
      <c r="CC352" s="2" t="s">
        <v>174</v>
      </c>
      <c r="CD352" s="2">
        <v>7700</v>
      </c>
      <c r="CE352" s="2" t="s">
        <v>120</v>
      </c>
      <c r="CF352" s="3">
        <v>43075</v>
      </c>
      <c r="CI352" s="2">
        <v>1</v>
      </c>
      <c r="CJ352" s="2">
        <v>1</v>
      </c>
      <c r="CK352" s="2">
        <v>21</v>
      </c>
      <c r="CL352" s="2" t="s">
        <v>89</v>
      </c>
    </row>
    <row r="353" spans="1:90">
      <c r="A353" s="2" t="s">
        <v>71</v>
      </c>
      <c r="B353" s="2" t="s">
        <v>72</v>
      </c>
      <c r="C353" s="2" t="s">
        <v>73</v>
      </c>
      <c r="E353" s="2" t="str">
        <f>"FES1162593297"</f>
        <v>FES1162593297</v>
      </c>
      <c r="F353" s="3">
        <v>43070</v>
      </c>
      <c r="G353" s="2">
        <v>201806</v>
      </c>
      <c r="H353" s="2" t="s">
        <v>74</v>
      </c>
      <c r="I353" s="2" t="s">
        <v>75</v>
      </c>
      <c r="J353" s="2" t="s">
        <v>97</v>
      </c>
      <c r="K353" s="2" t="s">
        <v>77</v>
      </c>
      <c r="L353" s="2" t="s">
        <v>74</v>
      </c>
      <c r="M353" s="2" t="s">
        <v>75</v>
      </c>
      <c r="N353" s="2" t="s">
        <v>204</v>
      </c>
      <c r="O353" s="2" t="s">
        <v>101</v>
      </c>
      <c r="P353" s="2" t="str">
        <f>"2170605596                    "</f>
        <v xml:space="preserve">2170605596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4.41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0.6</v>
      </c>
      <c r="BJ353" s="2">
        <v>1.3</v>
      </c>
      <c r="BK353" s="2">
        <v>2</v>
      </c>
      <c r="BL353" s="2">
        <v>35.270000000000003</v>
      </c>
      <c r="BM353" s="2">
        <v>4.9400000000000004</v>
      </c>
      <c r="BN353" s="2">
        <v>40.21</v>
      </c>
      <c r="BO353" s="2">
        <v>40.21</v>
      </c>
      <c r="BQ353" s="2" t="s">
        <v>102</v>
      </c>
      <c r="BR353" s="2" t="s">
        <v>103</v>
      </c>
      <c r="BS353" s="3">
        <v>43073</v>
      </c>
      <c r="BT353" s="4">
        <v>0.30277777777777776</v>
      </c>
      <c r="BU353" s="2" t="s">
        <v>205</v>
      </c>
      <c r="BV353" s="2" t="s">
        <v>85</v>
      </c>
      <c r="BY353" s="2">
        <v>6563.7</v>
      </c>
      <c r="CA353" s="2" t="s">
        <v>206</v>
      </c>
      <c r="CC353" s="2" t="s">
        <v>75</v>
      </c>
      <c r="CD353" s="2">
        <v>1645</v>
      </c>
      <c r="CE353" s="2" t="s">
        <v>95</v>
      </c>
      <c r="CF353" s="3">
        <v>43075</v>
      </c>
      <c r="CI353" s="2">
        <v>1</v>
      </c>
      <c r="CJ353" s="2">
        <v>1</v>
      </c>
      <c r="CK353" s="2">
        <v>22</v>
      </c>
      <c r="CL353" s="2" t="s">
        <v>89</v>
      </c>
    </row>
    <row r="354" spans="1:90">
      <c r="A354" s="2" t="s">
        <v>71</v>
      </c>
      <c r="B354" s="2" t="s">
        <v>72</v>
      </c>
      <c r="C354" s="2" t="s">
        <v>73</v>
      </c>
      <c r="E354" s="2" t="str">
        <f>"FES1162593441"</f>
        <v>FES1162593441</v>
      </c>
      <c r="F354" s="3">
        <v>43073</v>
      </c>
      <c r="G354" s="2">
        <v>201806</v>
      </c>
      <c r="H354" s="2" t="s">
        <v>74</v>
      </c>
      <c r="I354" s="2" t="s">
        <v>75</v>
      </c>
      <c r="J354" s="2" t="s">
        <v>97</v>
      </c>
      <c r="K354" s="2" t="s">
        <v>77</v>
      </c>
      <c r="L354" s="2" t="s">
        <v>136</v>
      </c>
      <c r="M354" s="2" t="s">
        <v>137</v>
      </c>
      <c r="N354" s="2" t="s">
        <v>178</v>
      </c>
      <c r="O354" s="2" t="s">
        <v>101</v>
      </c>
      <c r="P354" s="2" t="str">
        <f>"2170604146                    "</f>
        <v xml:space="preserve">2170604146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5.65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1</v>
      </c>
      <c r="BJ354" s="2">
        <v>0.2</v>
      </c>
      <c r="BK354" s="2">
        <v>1</v>
      </c>
      <c r="BL354" s="2">
        <v>45.15</v>
      </c>
      <c r="BM354" s="2">
        <v>6.32</v>
      </c>
      <c r="BN354" s="2">
        <v>51.47</v>
      </c>
      <c r="BO354" s="2">
        <v>51.47</v>
      </c>
      <c r="BQ354" s="2" t="s">
        <v>102</v>
      </c>
      <c r="BR354" s="2" t="s">
        <v>103</v>
      </c>
      <c r="BS354" s="3">
        <v>43074</v>
      </c>
      <c r="BT354" s="4">
        <v>0.4375</v>
      </c>
      <c r="BU354" s="2" t="s">
        <v>179</v>
      </c>
      <c r="BV354" s="2" t="s">
        <v>85</v>
      </c>
      <c r="BY354" s="2">
        <v>1200</v>
      </c>
      <c r="BZ354" s="2" t="s">
        <v>27</v>
      </c>
      <c r="CA354" s="2" t="s">
        <v>180</v>
      </c>
      <c r="CC354" s="2" t="s">
        <v>137</v>
      </c>
      <c r="CD354" s="2">
        <v>6001</v>
      </c>
      <c r="CE354" s="2" t="s">
        <v>120</v>
      </c>
      <c r="CF354" s="3">
        <v>43075</v>
      </c>
      <c r="CI354" s="2">
        <v>1</v>
      </c>
      <c r="CJ354" s="2">
        <v>1</v>
      </c>
      <c r="CK354" s="2">
        <v>21</v>
      </c>
      <c r="CL354" s="2" t="s">
        <v>89</v>
      </c>
    </row>
    <row r="355" spans="1:90">
      <c r="A355" s="2" t="s">
        <v>71</v>
      </c>
      <c r="B355" s="2" t="s">
        <v>72</v>
      </c>
      <c r="C355" s="2" t="s">
        <v>73</v>
      </c>
      <c r="E355" s="2" t="str">
        <f>"FES1162593263"</f>
        <v>FES1162593263</v>
      </c>
      <c r="F355" s="3">
        <v>43070</v>
      </c>
      <c r="G355" s="2">
        <v>201806</v>
      </c>
      <c r="H355" s="2" t="s">
        <v>74</v>
      </c>
      <c r="I355" s="2" t="s">
        <v>75</v>
      </c>
      <c r="J355" s="2" t="s">
        <v>97</v>
      </c>
      <c r="K355" s="2" t="s">
        <v>77</v>
      </c>
      <c r="L355" s="2" t="s">
        <v>828</v>
      </c>
      <c r="M355" s="2" t="s">
        <v>829</v>
      </c>
      <c r="N355" s="2" t="s">
        <v>830</v>
      </c>
      <c r="O355" s="2" t="s">
        <v>101</v>
      </c>
      <c r="P355" s="2" t="str">
        <f>"2170605559                    "</f>
        <v xml:space="preserve">2170605559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16.940000000000001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4</v>
      </c>
      <c r="BJ355" s="2">
        <v>5.7</v>
      </c>
      <c r="BK355" s="2">
        <v>6</v>
      </c>
      <c r="BL355" s="2">
        <v>135.4</v>
      </c>
      <c r="BM355" s="2">
        <v>18.96</v>
      </c>
      <c r="BN355" s="2">
        <v>154.36000000000001</v>
      </c>
      <c r="BO355" s="2">
        <v>154.36000000000001</v>
      </c>
      <c r="BQ355" s="2" t="s">
        <v>128</v>
      </c>
      <c r="BR355" s="2" t="s">
        <v>103</v>
      </c>
      <c r="BS355" s="3">
        <v>43073</v>
      </c>
      <c r="BT355" s="4">
        <v>0.36041666666666666</v>
      </c>
      <c r="BU355" s="2" t="s">
        <v>831</v>
      </c>
      <c r="BV355" s="2" t="s">
        <v>85</v>
      </c>
      <c r="BY355" s="2">
        <v>28314</v>
      </c>
      <c r="BZ355" s="2" t="s">
        <v>27</v>
      </c>
      <c r="CA355" s="2" t="s">
        <v>832</v>
      </c>
      <c r="CC355" s="2" t="s">
        <v>829</v>
      </c>
      <c r="CD355" s="2">
        <v>9300</v>
      </c>
      <c r="CE355" s="2" t="s">
        <v>95</v>
      </c>
      <c r="CF355" s="3">
        <v>43075</v>
      </c>
      <c r="CI355" s="2">
        <v>1</v>
      </c>
      <c r="CJ355" s="2">
        <v>1</v>
      </c>
      <c r="CK355" s="2">
        <v>21</v>
      </c>
      <c r="CL355" s="2" t="s">
        <v>89</v>
      </c>
    </row>
    <row r="356" spans="1:90">
      <c r="A356" s="2" t="s">
        <v>71</v>
      </c>
      <c r="B356" s="2" t="s">
        <v>72</v>
      </c>
      <c r="C356" s="2" t="s">
        <v>73</v>
      </c>
      <c r="E356" s="2" t="str">
        <f>"FES1162593433"</f>
        <v>FES1162593433</v>
      </c>
      <c r="F356" s="3">
        <v>43073</v>
      </c>
      <c r="G356" s="2">
        <v>201806</v>
      </c>
      <c r="H356" s="2" t="s">
        <v>74</v>
      </c>
      <c r="I356" s="2" t="s">
        <v>75</v>
      </c>
      <c r="J356" s="2" t="s">
        <v>97</v>
      </c>
      <c r="K356" s="2" t="s">
        <v>77</v>
      </c>
      <c r="L356" s="2" t="s">
        <v>173</v>
      </c>
      <c r="M356" s="2" t="s">
        <v>174</v>
      </c>
      <c r="N356" s="2" t="s">
        <v>376</v>
      </c>
      <c r="O356" s="2" t="s">
        <v>101</v>
      </c>
      <c r="P356" s="2" t="str">
        <f>"2170604046                    "</f>
        <v xml:space="preserve">2170604046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5.65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</v>
      </c>
      <c r="BJ356" s="2">
        <v>0.2</v>
      </c>
      <c r="BK356" s="2">
        <v>1</v>
      </c>
      <c r="BL356" s="2">
        <v>45.15</v>
      </c>
      <c r="BM356" s="2">
        <v>6.32</v>
      </c>
      <c r="BN356" s="2">
        <v>51.47</v>
      </c>
      <c r="BO356" s="2">
        <v>51.47</v>
      </c>
      <c r="BQ356" s="2" t="s">
        <v>102</v>
      </c>
      <c r="BR356" s="2" t="s">
        <v>103</v>
      </c>
      <c r="BS356" s="3">
        <v>43074</v>
      </c>
      <c r="BT356" s="4">
        <v>0.49652777777777773</v>
      </c>
      <c r="BU356" s="2" t="s">
        <v>536</v>
      </c>
      <c r="BV356" s="2" t="s">
        <v>89</v>
      </c>
      <c r="BW356" s="2" t="s">
        <v>149</v>
      </c>
      <c r="BX356" s="2" t="s">
        <v>246</v>
      </c>
      <c r="BY356" s="2">
        <v>1200</v>
      </c>
      <c r="BZ356" s="2" t="s">
        <v>27</v>
      </c>
      <c r="CA356" s="2" t="s">
        <v>537</v>
      </c>
      <c r="CC356" s="2" t="s">
        <v>174</v>
      </c>
      <c r="CD356" s="2">
        <v>7490</v>
      </c>
      <c r="CE356" s="2" t="s">
        <v>120</v>
      </c>
      <c r="CF356" s="3">
        <v>43075</v>
      </c>
      <c r="CI356" s="2">
        <v>1</v>
      </c>
      <c r="CJ356" s="2">
        <v>1</v>
      </c>
      <c r="CK356" s="2">
        <v>21</v>
      </c>
      <c r="CL356" s="2" t="s">
        <v>89</v>
      </c>
    </row>
    <row r="357" spans="1:90">
      <c r="A357" s="2" t="s">
        <v>71</v>
      </c>
      <c r="B357" s="2" t="s">
        <v>72</v>
      </c>
      <c r="C357" s="2" t="s">
        <v>73</v>
      </c>
      <c r="E357" s="2" t="str">
        <f>"FES1162593266"</f>
        <v>FES1162593266</v>
      </c>
      <c r="F357" s="3">
        <v>43070</v>
      </c>
      <c r="G357" s="2">
        <v>201806</v>
      </c>
      <c r="H357" s="2" t="s">
        <v>74</v>
      </c>
      <c r="I357" s="2" t="s">
        <v>75</v>
      </c>
      <c r="J357" s="2" t="s">
        <v>97</v>
      </c>
      <c r="K357" s="2" t="s">
        <v>77</v>
      </c>
      <c r="L357" s="2" t="s">
        <v>115</v>
      </c>
      <c r="M357" s="2" t="s">
        <v>116</v>
      </c>
      <c r="N357" s="2" t="s">
        <v>458</v>
      </c>
      <c r="O357" s="2" t="s">
        <v>101</v>
      </c>
      <c r="P357" s="2" t="str">
        <f>"2170604590                    "</f>
        <v xml:space="preserve">2170604590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4.41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4</v>
      </c>
      <c r="BJ357" s="2">
        <v>0.9</v>
      </c>
      <c r="BK357" s="2">
        <v>4</v>
      </c>
      <c r="BL357" s="2">
        <v>35.270000000000003</v>
      </c>
      <c r="BM357" s="2">
        <v>4.9400000000000004</v>
      </c>
      <c r="BN357" s="2">
        <v>40.21</v>
      </c>
      <c r="BO357" s="2">
        <v>40.21</v>
      </c>
      <c r="BQ357" s="2" t="s">
        <v>82</v>
      </c>
      <c r="BR357" s="2" t="s">
        <v>103</v>
      </c>
      <c r="BS357" s="3">
        <v>43074</v>
      </c>
      <c r="BT357" s="4">
        <v>0.61249999999999993</v>
      </c>
      <c r="BU357" s="2" t="s">
        <v>833</v>
      </c>
      <c r="BV357" s="2" t="s">
        <v>89</v>
      </c>
      <c r="BY357" s="2">
        <v>4256</v>
      </c>
      <c r="CA357" s="2" t="s">
        <v>834</v>
      </c>
      <c r="CC357" s="2" t="s">
        <v>116</v>
      </c>
      <c r="CD357" s="2">
        <v>1460</v>
      </c>
      <c r="CE357" s="2" t="s">
        <v>95</v>
      </c>
      <c r="CF357" s="3">
        <v>43077</v>
      </c>
      <c r="CI357" s="2">
        <v>1</v>
      </c>
      <c r="CJ357" s="2">
        <v>2</v>
      </c>
      <c r="CK357" s="2">
        <v>22</v>
      </c>
      <c r="CL357" s="2" t="s">
        <v>89</v>
      </c>
    </row>
    <row r="358" spans="1:90">
      <c r="A358" s="2" t="s">
        <v>71</v>
      </c>
      <c r="B358" s="2" t="s">
        <v>72</v>
      </c>
      <c r="C358" s="2" t="s">
        <v>73</v>
      </c>
      <c r="E358" s="2" t="str">
        <f>"FES1162593492"</f>
        <v>FES1162593492</v>
      </c>
      <c r="F358" s="3">
        <v>43073</v>
      </c>
      <c r="G358" s="2">
        <v>201806</v>
      </c>
      <c r="H358" s="2" t="s">
        <v>74</v>
      </c>
      <c r="I358" s="2" t="s">
        <v>75</v>
      </c>
      <c r="J358" s="2" t="s">
        <v>97</v>
      </c>
      <c r="K358" s="2" t="s">
        <v>77</v>
      </c>
      <c r="L358" s="2" t="s">
        <v>835</v>
      </c>
      <c r="M358" s="2" t="s">
        <v>836</v>
      </c>
      <c r="N358" s="2" t="s">
        <v>837</v>
      </c>
      <c r="O358" s="2" t="s">
        <v>101</v>
      </c>
      <c r="P358" s="2" t="str">
        <f>"2170605221                    "</f>
        <v xml:space="preserve">2170605221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10.94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</v>
      </c>
      <c r="BJ358" s="2">
        <v>0.2</v>
      </c>
      <c r="BK358" s="2">
        <v>1</v>
      </c>
      <c r="BL358" s="2">
        <v>87.47</v>
      </c>
      <c r="BM358" s="2">
        <v>12.25</v>
      </c>
      <c r="BN358" s="2">
        <v>99.72</v>
      </c>
      <c r="BO358" s="2">
        <v>99.72</v>
      </c>
      <c r="BQ358" s="2" t="s">
        <v>102</v>
      </c>
      <c r="BR358" s="2" t="s">
        <v>103</v>
      </c>
      <c r="BS358" s="3">
        <v>43075</v>
      </c>
      <c r="BT358" s="4">
        <v>0.61736111111111114</v>
      </c>
      <c r="BU358" s="2" t="s">
        <v>838</v>
      </c>
      <c r="BV358" s="2" t="s">
        <v>89</v>
      </c>
      <c r="BW358" s="2" t="s">
        <v>149</v>
      </c>
      <c r="BX358" s="2" t="s">
        <v>839</v>
      </c>
      <c r="BY358" s="2">
        <v>1200</v>
      </c>
      <c r="BZ358" s="2" t="s">
        <v>27</v>
      </c>
      <c r="CA358" s="2" t="s">
        <v>840</v>
      </c>
      <c r="CC358" s="2" t="s">
        <v>836</v>
      </c>
      <c r="CD358" s="2">
        <v>7349</v>
      </c>
      <c r="CE358" s="2" t="s">
        <v>120</v>
      </c>
      <c r="CF358" s="3">
        <v>43076</v>
      </c>
      <c r="CI358" s="2">
        <v>1</v>
      </c>
      <c r="CJ358" s="2">
        <v>2</v>
      </c>
      <c r="CK358" s="2">
        <v>23</v>
      </c>
      <c r="CL358" s="2" t="s">
        <v>89</v>
      </c>
    </row>
    <row r="359" spans="1:90">
      <c r="A359" s="2" t="s">
        <v>71</v>
      </c>
      <c r="B359" s="2" t="s">
        <v>72</v>
      </c>
      <c r="C359" s="2" t="s">
        <v>73</v>
      </c>
      <c r="E359" s="2" t="str">
        <f>"FES1162593070"</f>
        <v>FES1162593070</v>
      </c>
      <c r="F359" s="3">
        <v>43070</v>
      </c>
      <c r="G359" s="2">
        <v>201806</v>
      </c>
      <c r="H359" s="2" t="s">
        <v>74</v>
      </c>
      <c r="I359" s="2" t="s">
        <v>75</v>
      </c>
      <c r="J359" s="2" t="s">
        <v>97</v>
      </c>
      <c r="K359" s="2" t="s">
        <v>77</v>
      </c>
      <c r="L359" s="2" t="s">
        <v>449</v>
      </c>
      <c r="M359" s="2" t="s">
        <v>450</v>
      </c>
      <c r="N359" s="2" t="s">
        <v>841</v>
      </c>
      <c r="O359" s="2" t="s">
        <v>101</v>
      </c>
      <c r="P359" s="2" t="str">
        <f>"2170604622                    "</f>
        <v xml:space="preserve">2170604622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4.41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1</v>
      </c>
      <c r="BJ359" s="2">
        <v>0.2</v>
      </c>
      <c r="BK359" s="2">
        <v>1</v>
      </c>
      <c r="BL359" s="2">
        <v>35.270000000000003</v>
      </c>
      <c r="BM359" s="2">
        <v>4.9400000000000004</v>
      </c>
      <c r="BN359" s="2">
        <v>40.21</v>
      </c>
      <c r="BO359" s="2">
        <v>40.21</v>
      </c>
      <c r="BQ359" s="2" t="s">
        <v>82</v>
      </c>
      <c r="BR359" s="2" t="s">
        <v>103</v>
      </c>
      <c r="BS359" s="3">
        <v>43073</v>
      </c>
      <c r="BT359" s="4">
        <v>0.3430555555555555</v>
      </c>
      <c r="BU359" s="2" t="s">
        <v>842</v>
      </c>
      <c r="BV359" s="2" t="s">
        <v>85</v>
      </c>
      <c r="BY359" s="2">
        <v>1200</v>
      </c>
      <c r="BZ359" s="2" t="s">
        <v>27</v>
      </c>
      <c r="CA359" s="2" t="s">
        <v>843</v>
      </c>
      <c r="CC359" s="2" t="s">
        <v>450</v>
      </c>
      <c r="CD359" s="2">
        <v>1724</v>
      </c>
      <c r="CE359" s="2" t="s">
        <v>120</v>
      </c>
      <c r="CF359" s="3">
        <v>43074</v>
      </c>
      <c r="CI359" s="2">
        <v>1</v>
      </c>
      <c r="CJ359" s="2">
        <v>1</v>
      </c>
      <c r="CK359" s="2">
        <v>22</v>
      </c>
      <c r="CL359" s="2" t="s">
        <v>89</v>
      </c>
    </row>
    <row r="360" spans="1:90">
      <c r="A360" s="2" t="s">
        <v>71</v>
      </c>
      <c r="B360" s="2" t="s">
        <v>72</v>
      </c>
      <c r="C360" s="2" t="s">
        <v>73</v>
      </c>
      <c r="E360" s="2" t="str">
        <f>"FES1162593405"</f>
        <v>FES1162593405</v>
      </c>
      <c r="F360" s="3">
        <v>43073</v>
      </c>
      <c r="G360" s="2">
        <v>201806</v>
      </c>
      <c r="H360" s="2" t="s">
        <v>74</v>
      </c>
      <c r="I360" s="2" t="s">
        <v>75</v>
      </c>
      <c r="J360" s="2" t="s">
        <v>97</v>
      </c>
      <c r="K360" s="2" t="s">
        <v>77</v>
      </c>
      <c r="L360" s="2" t="s">
        <v>844</v>
      </c>
      <c r="M360" s="2" t="s">
        <v>844</v>
      </c>
      <c r="N360" s="2" t="s">
        <v>845</v>
      </c>
      <c r="O360" s="2" t="s">
        <v>101</v>
      </c>
      <c r="P360" s="2" t="str">
        <f>"21706032299                   "</f>
        <v xml:space="preserve">21706032299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5.65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</v>
      </c>
      <c r="BJ360" s="2">
        <v>0.2</v>
      </c>
      <c r="BK360" s="2">
        <v>1</v>
      </c>
      <c r="BL360" s="2">
        <v>45.15</v>
      </c>
      <c r="BM360" s="2">
        <v>6.32</v>
      </c>
      <c r="BN360" s="2">
        <v>51.47</v>
      </c>
      <c r="BO360" s="2">
        <v>51.47</v>
      </c>
      <c r="BQ360" s="2" t="s">
        <v>187</v>
      </c>
      <c r="BR360" s="2" t="s">
        <v>103</v>
      </c>
      <c r="BS360" s="3">
        <v>43075</v>
      </c>
      <c r="BT360" s="4">
        <v>0.59097222222222223</v>
      </c>
      <c r="BU360" s="2" t="s">
        <v>846</v>
      </c>
      <c r="BV360" s="2" t="s">
        <v>85</v>
      </c>
      <c r="BY360" s="2">
        <v>1200</v>
      </c>
      <c r="BZ360" s="2" t="s">
        <v>27</v>
      </c>
      <c r="CA360" s="2" t="s">
        <v>847</v>
      </c>
      <c r="CC360" s="2" t="s">
        <v>844</v>
      </c>
      <c r="CD360" s="2">
        <v>6835</v>
      </c>
      <c r="CE360" s="2" t="s">
        <v>120</v>
      </c>
      <c r="CF360" s="3">
        <v>43076</v>
      </c>
      <c r="CI360" s="2">
        <v>3</v>
      </c>
      <c r="CJ360" s="2">
        <v>2</v>
      </c>
      <c r="CK360" s="2">
        <v>21</v>
      </c>
      <c r="CL360" s="2" t="s">
        <v>89</v>
      </c>
    </row>
    <row r="361" spans="1:90">
      <c r="A361" s="2" t="s">
        <v>71</v>
      </c>
      <c r="B361" s="2" t="s">
        <v>72</v>
      </c>
      <c r="C361" s="2" t="s">
        <v>73</v>
      </c>
      <c r="E361" s="2" t="str">
        <f>"FES1162593090"</f>
        <v>FES1162593090</v>
      </c>
      <c r="F361" s="3">
        <v>43070</v>
      </c>
      <c r="G361" s="2">
        <v>201806</v>
      </c>
      <c r="H361" s="2" t="s">
        <v>74</v>
      </c>
      <c r="I361" s="2" t="s">
        <v>75</v>
      </c>
      <c r="J361" s="2" t="s">
        <v>97</v>
      </c>
      <c r="K361" s="2" t="s">
        <v>77</v>
      </c>
      <c r="L361" s="2" t="s">
        <v>212</v>
      </c>
      <c r="M361" s="2" t="s">
        <v>212</v>
      </c>
      <c r="N361" s="2" t="s">
        <v>370</v>
      </c>
      <c r="O361" s="2" t="s">
        <v>101</v>
      </c>
      <c r="P361" s="2" t="str">
        <f>"2170603198                    "</f>
        <v xml:space="preserve">2170603198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8.4700000000000006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3</v>
      </c>
      <c r="BJ361" s="2">
        <v>2.7</v>
      </c>
      <c r="BK361" s="2">
        <v>3</v>
      </c>
      <c r="BL361" s="2">
        <v>67.709999999999994</v>
      </c>
      <c r="BM361" s="2">
        <v>9.48</v>
      </c>
      <c r="BN361" s="2">
        <v>77.19</v>
      </c>
      <c r="BO361" s="2">
        <v>77.19</v>
      </c>
      <c r="BQ361" s="2" t="s">
        <v>102</v>
      </c>
      <c r="BR361" s="2" t="s">
        <v>103</v>
      </c>
      <c r="BS361" s="3">
        <v>43073</v>
      </c>
      <c r="BT361" s="4">
        <v>0.58333333333333337</v>
      </c>
      <c r="BU361" s="2" t="s">
        <v>538</v>
      </c>
      <c r="BV361" s="2" t="s">
        <v>89</v>
      </c>
      <c r="BW361" s="2" t="s">
        <v>313</v>
      </c>
      <c r="BX361" s="2" t="s">
        <v>368</v>
      </c>
      <c r="BY361" s="2">
        <v>13454</v>
      </c>
      <c r="BZ361" s="2" t="s">
        <v>27</v>
      </c>
      <c r="CA361" s="2" t="s">
        <v>532</v>
      </c>
      <c r="CC361" s="2" t="s">
        <v>212</v>
      </c>
      <c r="CD361" s="2">
        <v>7646</v>
      </c>
      <c r="CE361" s="2" t="s">
        <v>87</v>
      </c>
      <c r="CF361" s="3">
        <v>43074</v>
      </c>
      <c r="CI361" s="2">
        <v>1</v>
      </c>
      <c r="CJ361" s="2">
        <v>1</v>
      </c>
      <c r="CK361" s="2">
        <v>21</v>
      </c>
      <c r="CL361" s="2" t="s">
        <v>89</v>
      </c>
    </row>
    <row r="362" spans="1:90">
      <c r="A362" s="2" t="s">
        <v>71</v>
      </c>
      <c r="B362" s="2" t="s">
        <v>72</v>
      </c>
      <c r="C362" s="2" t="s">
        <v>73</v>
      </c>
      <c r="E362" s="2" t="str">
        <f>"FES1162593319"</f>
        <v>FES1162593319</v>
      </c>
      <c r="F362" s="3">
        <v>43073</v>
      </c>
      <c r="G362" s="2">
        <v>201806</v>
      </c>
      <c r="H362" s="2" t="s">
        <v>74</v>
      </c>
      <c r="I362" s="2" t="s">
        <v>75</v>
      </c>
      <c r="J362" s="2" t="s">
        <v>97</v>
      </c>
      <c r="K362" s="2" t="s">
        <v>77</v>
      </c>
      <c r="L362" s="2" t="s">
        <v>145</v>
      </c>
      <c r="M362" s="2" t="s">
        <v>146</v>
      </c>
      <c r="N362" s="2" t="s">
        <v>627</v>
      </c>
      <c r="O362" s="2" t="s">
        <v>101</v>
      </c>
      <c r="P362" s="2" t="str">
        <f>"2170598824                    "</f>
        <v xml:space="preserve">2170598824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5.65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0.2</v>
      </c>
      <c r="BK362" s="2">
        <v>1</v>
      </c>
      <c r="BL362" s="2">
        <v>45.15</v>
      </c>
      <c r="BM362" s="2">
        <v>6.32</v>
      </c>
      <c r="BN362" s="2">
        <v>51.47</v>
      </c>
      <c r="BO362" s="2">
        <v>51.47</v>
      </c>
      <c r="BQ362" s="2" t="s">
        <v>82</v>
      </c>
      <c r="BR362" s="2" t="s">
        <v>103</v>
      </c>
      <c r="BS362" s="3">
        <v>43074</v>
      </c>
      <c r="BT362" s="4">
        <v>0.41180555555555554</v>
      </c>
      <c r="BU362" s="2" t="s">
        <v>628</v>
      </c>
      <c r="BV362" s="2" t="s">
        <v>85</v>
      </c>
      <c r="BY362" s="2">
        <v>1200</v>
      </c>
      <c r="BZ362" s="2" t="s">
        <v>27</v>
      </c>
      <c r="CA362" s="2" t="s">
        <v>629</v>
      </c>
      <c r="CC362" s="2" t="s">
        <v>146</v>
      </c>
      <c r="CD362" s="2">
        <v>5201</v>
      </c>
      <c r="CE362" s="2" t="s">
        <v>120</v>
      </c>
      <c r="CF362" s="3">
        <v>43076</v>
      </c>
      <c r="CI362" s="2">
        <v>1</v>
      </c>
      <c r="CJ362" s="2">
        <v>1</v>
      </c>
      <c r="CK362" s="2">
        <v>21</v>
      </c>
      <c r="CL362" s="2" t="s">
        <v>89</v>
      </c>
    </row>
    <row r="363" spans="1:90">
      <c r="A363" s="2" t="s">
        <v>71</v>
      </c>
      <c r="B363" s="2" t="s">
        <v>72</v>
      </c>
      <c r="C363" s="2" t="s">
        <v>73</v>
      </c>
      <c r="E363" s="2" t="str">
        <f>"FES1162593260"</f>
        <v>FES1162593260</v>
      </c>
      <c r="F363" s="3">
        <v>43070</v>
      </c>
      <c r="G363" s="2">
        <v>201806</v>
      </c>
      <c r="H363" s="2" t="s">
        <v>74</v>
      </c>
      <c r="I363" s="2" t="s">
        <v>75</v>
      </c>
      <c r="J363" s="2" t="s">
        <v>97</v>
      </c>
      <c r="K363" s="2" t="s">
        <v>77</v>
      </c>
      <c r="L363" s="2" t="s">
        <v>152</v>
      </c>
      <c r="M363" s="2" t="s">
        <v>153</v>
      </c>
      <c r="N363" s="2" t="s">
        <v>596</v>
      </c>
      <c r="O363" s="2" t="s">
        <v>101</v>
      </c>
      <c r="P363" s="2" t="str">
        <f>"2170604739                    "</f>
        <v xml:space="preserve">2170604739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4.9400000000000004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8.9</v>
      </c>
      <c r="BJ363" s="2">
        <v>3.5</v>
      </c>
      <c r="BK363" s="2">
        <v>9</v>
      </c>
      <c r="BL363" s="2">
        <v>39.5</v>
      </c>
      <c r="BM363" s="2">
        <v>5.53</v>
      </c>
      <c r="BN363" s="2">
        <v>45.03</v>
      </c>
      <c r="BO363" s="2">
        <v>45.03</v>
      </c>
      <c r="BQ363" s="2" t="s">
        <v>82</v>
      </c>
      <c r="BR363" s="2" t="s">
        <v>103</v>
      </c>
      <c r="BS363" s="3">
        <v>43073</v>
      </c>
      <c r="BT363" s="4">
        <v>0.4375</v>
      </c>
      <c r="BU363" s="2" t="s">
        <v>848</v>
      </c>
      <c r="BV363" s="2" t="s">
        <v>85</v>
      </c>
      <c r="BY363" s="2">
        <v>17643.599999999999</v>
      </c>
      <c r="CC363" s="2" t="s">
        <v>153</v>
      </c>
      <c r="CD363" s="2">
        <v>1422</v>
      </c>
      <c r="CE363" s="2" t="s">
        <v>95</v>
      </c>
      <c r="CF363" s="3">
        <v>43075</v>
      </c>
      <c r="CI363" s="2">
        <v>1</v>
      </c>
      <c r="CJ363" s="2">
        <v>1</v>
      </c>
      <c r="CK363" s="2">
        <v>22</v>
      </c>
      <c r="CL363" s="2" t="s">
        <v>89</v>
      </c>
    </row>
    <row r="364" spans="1:90">
      <c r="A364" s="2" t="s">
        <v>71</v>
      </c>
      <c r="B364" s="2" t="s">
        <v>72</v>
      </c>
      <c r="C364" s="2" t="s">
        <v>73</v>
      </c>
      <c r="E364" s="2" t="str">
        <f>"FES1162593481"</f>
        <v>FES1162593481</v>
      </c>
      <c r="F364" s="3">
        <v>43073</v>
      </c>
      <c r="G364" s="2">
        <v>201806</v>
      </c>
      <c r="H364" s="2" t="s">
        <v>74</v>
      </c>
      <c r="I364" s="2" t="s">
        <v>75</v>
      </c>
      <c r="J364" s="2" t="s">
        <v>97</v>
      </c>
      <c r="K364" s="2" t="s">
        <v>77</v>
      </c>
      <c r="L364" s="2" t="s">
        <v>526</v>
      </c>
      <c r="M364" s="2" t="s">
        <v>527</v>
      </c>
      <c r="N364" s="2" t="s">
        <v>797</v>
      </c>
      <c r="O364" s="2" t="s">
        <v>101</v>
      </c>
      <c r="P364" s="2" t="str">
        <f>"2170605014                    "</f>
        <v xml:space="preserve">2170605014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5.65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</v>
      </c>
      <c r="BJ364" s="2">
        <v>0.2</v>
      </c>
      <c r="BK364" s="2">
        <v>1</v>
      </c>
      <c r="BL364" s="2">
        <v>45.15</v>
      </c>
      <c r="BM364" s="2">
        <v>6.32</v>
      </c>
      <c r="BN364" s="2">
        <v>51.47</v>
      </c>
      <c r="BO364" s="2">
        <v>51.47</v>
      </c>
      <c r="BQ364" s="2" t="s">
        <v>798</v>
      </c>
      <c r="BR364" s="2" t="s">
        <v>103</v>
      </c>
      <c r="BS364" s="3">
        <v>43074</v>
      </c>
      <c r="BT364" s="4">
        <v>0.41666666666666669</v>
      </c>
      <c r="BU364" s="2" t="s">
        <v>849</v>
      </c>
      <c r="BV364" s="2" t="s">
        <v>85</v>
      </c>
      <c r="BY364" s="2">
        <v>1200</v>
      </c>
      <c r="BZ364" s="2" t="s">
        <v>27</v>
      </c>
      <c r="CA364" s="2" t="s">
        <v>530</v>
      </c>
      <c r="CC364" s="2" t="s">
        <v>527</v>
      </c>
      <c r="CD364" s="2">
        <v>6850</v>
      </c>
      <c r="CE364" s="2" t="s">
        <v>120</v>
      </c>
      <c r="CF364" s="3">
        <v>43074</v>
      </c>
      <c r="CI364" s="2">
        <v>3</v>
      </c>
      <c r="CJ364" s="2">
        <v>1</v>
      </c>
      <c r="CK364" s="2">
        <v>21</v>
      </c>
      <c r="CL364" s="2" t="s">
        <v>89</v>
      </c>
    </row>
    <row r="365" spans="1:90">
      <c r="A365" s="2" t="s">
        <v>71</v>
      </c>
      <c r="B365" s="2" t="s">
        <v>72</v>
      </c>
      <c r="C365" s="2" t="s">
        <v>73</v>
      </c>
      <c r="E365" s="2" t="str">
        <f>"FES1162593168"</f>
        <v>FES1162593168</v>
      </c>
      <c r="F365" s="3">
        <v>43070</v>
      </c>
      <c r="G365" s="2">
        <v>201806</v>
      </c>
      <c r="H365" s="2" t="s">
        <v>74</v>
      </c>
      <c r="I365" s="2" t="s">
        <v>75</v>
      </c>
      <c r="J365" s="2" t="s">
        <v>97</v>
      </c>
      <c r="K365" s="2" t="s">
        <v>77</v>
      </c>
      <c r="L365" s="2" t="s">
        <v>850</v>
      </c>
      <c r="M365" s="2" t="s">
        <v>851</v>
      </c>
      <c r="N365" s="2" t="s">
        <v>852</v>
      </c>
      <c r="O365" s="2" t="s">
        <v>101</v>
      </c>
      <c r="P365" s="2" t="str">
        <f>"2170605492                    "</f>
        <v xml:space="preserve">2170605492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5.65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1</v>
      </c>
      <c r="BJ365" s="2">
        <v>0.2</v>
      </c>
      <c r="BK365" s="2">
        <v>1</v>
      </c>
      <c r="BL365" s="2">
        <v>45.15</v>
      </c>
      <c r="BM365" s="2">
        <v>6.32</v>
      </c>
      <c r="BN365" s="2">
        <v>51.47</v>
      </c>
      <c r="BO365" s="2">
        <v>51.47</v>
      </c>
      <c r="BR365" s="2" t="s">
        <v>103</v>
      </c>
      <c r="BS365" s="3">
        <v>43073</v>
      </c>
      <c r="BT365" s="4">
        <v>0.57222222222222219</v>
      </c>
      <c r="BU365" s="2" t="s">
        <v>853</v>
      </c>
      <c r="BV365" s="2" t="s">
        <v>85</v>
      </c>
      <c r="BY365" s="2">
        <v>1200</v>
      </c>
      <c r="BZ365" s="2" t="s">
        <v>27</v>
      </c>
      <c r="CA365" s="2" t="s">
        <v>854</v>
      </c>
      <c r="CC365" s="2" t="s">
        <v>851</v>
      </c>
      <c r="CD365" s="2">
        <v>3280</v>
      </c>
      <c r="CE365" s="2" t="s">
        <v>120</v>
      </c>
      <c r="CF365" s="3">
        <v>43074</v>
      </c>
      <c r="CI365" s="2">
        <v>1</v>
      </c>
      <c r="CJ365" s="2">
        <v>1</v>
      </c>
      <c r="CK365" s="2">
        <v>21</v>
      </c>
      <c r="CL365" s="2" t="s">
        <v>89</v>
      </c>
    </row>
    <row r="366" spans="1:90">
      <c r="A366" s="2" t="s">
        <v>71</v>
      </c>
      <c r="B366" s="2" t="s">
        <v>72</v>
      </c>
      <c r="C366" s="2" t="s">
        <v>73</v>
      </c>
      <c r="E366" s="2" t="str">
        <f>"FES1162593525"</f>
        <v>FES1162593525</v>
      </c>
      <c r="F366" s="3">
        <v>43073</v>
      </c>
      <c r="G366" s="2">
        <v>201806</v>
      </c>
      <c r="H366" s="2" t="s">
        <v>74</v>
      </c>
      <c r="I366" s="2" t="s">
        <v>75</v>
      </c>
      <c r="J366" s="2" t="s">
        <v>97</v>
      </c>
      <c r="K366" s="2" t="s">
        <v>77</v>
      </c>
      <c r="L366" s="2" t="s">
        <v>136</v>
      </c>
      <c r="M366" s="2" t="s">
        <v>137</v>
      </c>
      <c r="N366" s="2" t="s">
        <v>855</v>
      </c>
      <c r="O366" s="2" t="s">
        <v>101</v>
      </c>
      <c r="P366" s="2" t="str">
        <f>"2170605625                    "</f>
        <v xml:space="preserve">2170605625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5.65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45.15</v>
      </c>
      <c r="BM366" s="2">
        <v>6.32</v>
      </c>
      <c r="BN366" s="2">
        <v>51.47</v>
      </c>
      <c r="BO366" s="2">
        <v>51.47</v>
      </c>
      <c r="BQ366" s="2" t="s">
        <v>102</v>
      </c>
      <c r="BR366" s="2" t="s">
        <v>103</v>
      </c>
      <c r="BS366" s="3">
        <v>43074</v>
      </c>
      <c r="BT366" s="4">
        <v>0.3888888888888889</v>
      </c>
      <c r="BU366" s="2" t="s">
        <v>114</v>
      </c>
      <c r="BV366" s="2" t="s">
        <v>85</v>
      </c>
      <c r="BY366" s="2">
        <v>1200</v>
      </c>
      <c r="BZ366" s="2" t="s">
        <v>27</v>
      </c>
      <c r="CA366" s="2" t="s">
        <v>605</v>
      </c>
      <c r="CC366" s="2" t="s">
        <v>137</v>
      </c>
      <c r="CD366" s="2">
        <v>6001</v>
      </c>
      <c r="CE366" s="2" t="s">
        <v>120</v>
      </c>
      <c r="CF366" s="3">
        <v>43075</v>
      </c>
      <c r="CI366" s="2">
        <v>1</v>
      </c>
      <c r="CJ366" s="2">
        <v>1</v>
      </c>
      <c r="CK366" s="2">
        <v>21</v>
      </c>
      <c r="CL366" s="2" t="s">
        <v>89</v>
      </c>
    </row>
    <row r="367" spans="1:90">
      <c r="A367" s="2" t="s">
        <v>71</v>
      </c>
      <c r="B367" s="2" t="s">
        <v>72</v>
      </c>
      <c r="C367" s="2" t="s">
        <v>73</v>
      </c>
      <c r="E367" s="2" t="str">
        <f>"FES1162593171"</f>
        <v>FES1162593171</v>
      </c>
      <c r="F367" s="3">
        <v>43070</v>
      </c>
      <c r="G367" s="2">
        <v>201806</v>
      </c>
      <c r="H367" s="2" t="s">
        <v>74</v>
      </c>
      <c r="I367" s="2" t="s">
        <v>75</v>
      </c>
      <c r="J367" s="2" t="s">
        <v>97</v>
      </c>
      <c r="K367" s="2" t="s">
        <v>77</v>
      </c>
      <c r="L367" s="2" t="s">
        <v>125</v>
      </c>
      <c r="M367" s="2" t="s">
        <v>126</v>
      </c>
      <c r="N367" s="2" t="s">
        <v>856</v>
      </c>
      <c r="O367" s="2" t="s">
        <v>101</v>
      </c>
      <c r="P367" s="2" t="str">
        <f>"2170605506                    "</f>
        <v xml:space="preserve">2170605506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5.65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0.2</v>
      </c>
      <c r="BK367" s="2">
        <v>1</v>
      </c>
      <c r="BL367" s="2">
        <v>45.15</v>
      </c>
      <c r="BM367" s="2">
        <v>6.32</v>
      </c>
      <c r="BN367" s="2">
        <v>51.47</v>
      </c>
      <c r="BO367" s="2">
        <v>51.47</v>
      </c>
      <c r="BQ367" s="2" t="s">
        <v>82</v>
      </c>
      <c r="BR367" s="2" t="s">
        <v>103</v>
      </c>
      <c r="BS367" s="3">
        <v>43073</v>
      </c>
      <c r="BT367" s="4">
        <v>0.34861111111111115</v>
      </c>
      <c r="BU367" s="2" t="s">
        <v>857</v>
      </c>
      <c r="BV367" s="2" t="s">
        <v>85</v>
      </c>
      <c r="BY367" s="2">
        <v>1200</v>
      </c>
      <c r="BZ367" s="2" t="s">
        <v>27</v>
      </c>
      <c r="CA367" s="2" t="s">
        <v>135</v>
      </c>
      <c r="CC367" s="2" t="s">
        <v>126</v>
      </c>
      <c r="CD367" s="2">
        <v>4068</v>
      </c>
      <c r="CE367" s="2" t="s">
        <v>120</v>
      </c>
      <c r="CF367" s="3">
        <v>43074</v>
      </c>
      <c r="CI367" s="2">
        <v>1</v>
      </c>
      <c r="CJ367" s="2">
        <v>1</v>
      </c>
      <c r="CK367" s="2">
        <v>21</v>
      </c>
      <c r="CL367" s="2" t="s">
        <v>89</v>
      </c>
    </row>
    <row r="368" spans="1:90">
      <c r="A368" s="2" t="s">
        <v>71</v>
      </c>
      <c r="B368" s="2" t="s">
        <v>72</v>
      </c>
      <c r="C368" s="2" t="s">
        <v>73</v>
      </c>
      <c r="E368" s="2" t="str">
        <f>"FES1162593431"</f>
        <v>FES1162593431</v>
      </c>
      <c r="F368" s="3">
        <v>43073</v>
      </c>
      <c r="G368" s="2">
        <v>201806</v>
      </c>
      <c r="H368" s="2" t="s">
        <v>74</v>
      </c>
      <c r="I368" s="2" t="s">
        <v>75</v>
      </c>
      <c r="J368" s="2" t="s">
        <v>97</v>
      </c>
      <c r="K368" s="2" t="s">
        <v>77</v>
      </c>
      <c r="L368" s="2" t="s">
        <v>713</v>
      </c>
      <c r="M368" s="2" t="s">
        <v>714</v>
      </c>
      <c r="N368" s="2" t="s">
        <v>715</v>
      </c>
      <c r="O368" s="2" t="s">
        <v>101</v>
      </c>
      <c r="P368" s="2" t="str">
        <f>"2170604008                    "</f>
        <v xml:space="preserve">2170604008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10.94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1</v>
      </c>
      <c r="BJ368" s="2">
        <v>0.2</v>
      </c>
      <c r="BK368" s="2">
        <v>1</v>
      </c>
      <c r="BL368" s="2">
        <v>87.47</v>
      </c>
      <c r="BM368" s="2">
        <v>12.25</v>
      </c>
      <c r="BN368" s="2">
        <v>99.72</v>
      </c>
      <c r="BO368" s="2">
        <v>99.72</v>
      </c>
      <c r="BQ368" s="2" t="s">
        <v>82</v>
      </c>
      <c r="BR368" s="2" t="s">
        <v>103</v>
      </c>
      <c r="BS368" s="3">
        <v>43076</v>
      </c>
      <c r="BT368" s="4">
        <v>0.66805555555555562</v>
      </c>
      <c r="BU368" s="2" t="s">
        <v>717</v>
      </c>
      <c r="BV368" s="2" t="s">
        <v>85</v>
      </c>
      <c r="BY368" s="2">
        <v>1200</v>
      </c>
      <c r="BZ368" s="2" t="s">
        <v>27</v>
      </c>
      <c r="CC368" s="2" t="s">
        <v>714</v>
      </c>
      <c r="CD368" s="2">
        <v>6310</v>
      </c>
      <c r="CE368" s="2" t="s">
        <v>120</v>
      </c>
      <c r="CI368" s="2">
        <v>4</v>
      </c>
      <c r="CJ368" s="2">
        <v>3</v>
      </c>
      <c r="CK368" s="2">
        <v>23</v>
      </c>
      <c r="CL368" s="2" t="s">
        <v>89</v>
      </c>
    </row>
    <row r="369" spans="1:90">
      <c r="A369" s="2" t="s">
        <v>71</v>
      </c>
      <c r="B369" s="2" t="s">
        <v>72</v>
      </c>
      <c r="C369" s="2" t="s">
        <v>73</v>
      </c>
      <c r="E369" s="2" t="str">
        <f>"FES1162593301"</f>
        <v>FES1162593301</v>
      </c>
      <c r="F369" s="3">
        <v>43070</v>
      </c>
      <c r="G369" s="2">
        <v>201806</v>
      </c>
      <c r="H369" s="2" t="s">
        <v>74</v>
      </c>
      <c r="I369" s="2" t="s">
        <v>75</v>
      </c>
      <c r="J369" s="2" t="s">
        <v>97</v>
      </c>
      <c r="K369" s="2" t="s">
        <v>77</v>
      </c>
      <c r="L369" s="2" t="s">
        <v>125</v>
      </c>
      <c r="M369" s="2" t="s">
        <v>126</v>
      </c>
      <c r="N369" s="2" t="s">
        <v>858</v>
      </c>
      <c r="O369" s="2" t="s">
        <v>101</v>
      </c>
      <c r="P369" s="2" t="str">
        <f>"2170605599                    "</f>
        <v xml:space="preserve">2170605599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9.8800000000000008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2</v>
      </c>
      <c r="BJ369" s="2">
        <v>3.2</v>
      </c>
      <c r="BK369" s="2">
        <v>3.5</v>
      </c>
      <c r="BL369" s="2">
        <v>78.989999999999995</v>
      </c>
      <c r="BM369" s="2">
        <v>11.06</v>
      </c>
      <c r="BN369" s="2">
        <v>90.05</v>
      </c>
      <c r="BO369" s="2">
        <v>90.05</v>
      </c>
      <c r="BQ369" s="2" t="s">
        <v>82</v>
      </c>
      <c r="BR369" s="2" t="s">
        <v>103</v>
      </c>
      <c r="BS369" s="3">
        <v>43073</v>
      </c>
      <c r="BT369" s="4">
        <v>0.38055555555555554</v>
      </c>
      <c r="BU369" s="2" t="s">
        <v>859</v>
      </c>
      <c r="BV369" s="2" t="s">
        <v>85</v>
      </c>
      <c r="BY369" s="2">
        <v>16161.12</v>
      </c>
      <c r="BZ369" s="2" t="s">
        <v>27</v>
      </c>
      <c r="CA369" s="2" t="s">
        <v>666</v>
      </c>
      <c r="CC369" s="2" t="s">
        <v>126</v>
      </c>
      <c r="CD369" s="2">
        <v>4001</v>
      </c>
      <c r="CE369" s="2" t="s">
        <v>95</v>
      </c>
      <c r="CF369" s="3">
        <v>43074</v>
      </c>
      <c r="CI369" s="2">
        <v>1</v>
      </c>
      <c r="CJ369" s="2">
        <v>1</v>
      </c>
      <c r="CK369" s="2">
        <v>21</v>
      </c>
      <c r="CL369" s="2" t="s">
        <v>89</v>
      </c>
    </row>
    <row r="370" spans="1:90">
      <c r="A370" s="2" t="s">
        <v>71</v>
      </c>
      <c r="B370" s="2" t="s">
        <v>72</v>
      </c>
      <c r="C370" s="2" t="s">
        <v>73</v>
      </c>
      <c r="E370" s="2" t="str">
        <f>"FES1162593377"</f>
        <v>FES1162593377</v>
      </c>
      <c r="F370" s="3">
        <v>43073</v>
      </c>
      <c r="G370" s="2">
        <v>201806</v>
      </c>
      <c r="H370" s="2" t="s">
        <v>74</v>
      </c>
      <c r="I370" s="2" t="s">
        <v>75</v>
      </c>
      <c r="J370" s="2" t="s">
        <v>97</v>
      </c>
      <c r="K370" s="2" t="s">
        <v>77</v>
      </c>
      <c r="L370" s="2" t="s">
        <v>173</v>
      </c>
      <c r="M370" s="2" t="s">
        <v>174</v>
      </c>
      <c r="N370" s="2" t="s">
        <v>802</v>
      </c>
      <c r="O370" s="2" t="s">
        <v>101</v>
      </c>
      <c r="P370" s="2" t="str">
        <f>"2170602877                    "</f>
        <v xml:space="preserve">2170602877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5.65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1</v>
      </c>
      <c r="BJ370" s="2">
        <v>0.2</v>
      </c>
      <c r="BK370" s="2">
        <v>1</v>
      </c>
      <c r="BL370" s="2">
        <v>45.15</v>
      </c>
      <c r="BM370" s="2">
        <v>6.32</v>
      </c>
      <c r="BN370" s="2">
        <v>51.47</v>
      </c>
      <c r="BO370" s="2">
        <v>51.47</v>
      </c>
      <c r="BQ370" s="2" t="s">
        <v>102</v>
      </c>
      <c r="BR370" s="2" t="s">
        <v>103</v>
      </c>
      <c r="BS370" s="3">
        <v>43074</v>
      </c>
      <c r="BT370" s="4">
        <v>0.41666666666666669</v>
      </c>
      <c r="BU370" s="2" t="s">
        <v>803</v>
      </c>
      <c r="BV370" s="2" t="s">
        <v>85</v>
      </c>
      <c r="BY370" s="2">
        <v>1200</v>
      </c>
      <c r="BZ370" s="2" t="s">
        <v>27</v>
      </c>
      <c r="CC370" s="2" t="s">
        <v>174</v>
      </c>
      <c r="CD370" s="2">
        <v>7441</v>
      </c>
      <c r="CE370" s="2" t="s">
        <v>120</v>
      </c>
      <c r="CF370" s="3">
        <v>43075</v>
      </c>
      <c r="CI370" s="2">
        <v>1</v>
      </c>
      <c r="CJ370" s="2">
        <v>1</v>
      </c>
      <c r="CK370" s="2">
        <v>21</v>
      </c>
      <c r="CL370" s="2" t="s">
        <v>89</v>
      </c>
    </row>
    <row r="371" spans="1:90">
      <c r="A371" s="2" t="s">
        <v>71</v>
      </c>
      <c r="B371" s="2" t="s">
        <v>72</v>
      </c>
      <c r="C371" s="2" t="s">
        <v>73</v>
      </c>
      <c r="E371" s="2" t="str">
        <f>"FES1162593250"</f>
        <v>FES1162593250</v>
      </c>
      <c r="F371" s="3">
        <v>43070</v>
      </c>
      <c r="G371" s="2">
        <v>201806</v>
      </c>
      <c r="H371" s="2" t="s">
        <v>74</v>
      </c>
      <c r="I371" s="2" t="s">
        <v>75</v>
      </c>
      <c r="J371" s="2" t="s">
        <v>97</v>
      </c>
      <c r="K371" s="2" t="s">
        <v>77</v>
      </c>
      <c r="L371" s="2" t="s">
        <v>131</v>
      </c>
      <c r="M371" s="2" t="s">
        <v>132</v>
      </c>
      <c r="N371" s="2" t="s">
        <v>228</v>
      </c>
      <c r="O371" s="2" t="s">
        <v>101</v>
      </c>
      <c r="P371" s="2" t="str">
        <f>"2170605549                    "</f>
        <v xml:space="preserve">2170605549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26.82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6.6</v>
      </c>
      <c r="BJ371" s="2">
        <v>9.3000000000000007</v>
      </c>
      <c r="BK371" s="2">
        <v>9.5</v>
      </c>
      <c r="BL371" s="2">
        <v>214.37</v>
      </c>
      <c r="BM371" s="2">
        <v>30.01</v>
      </c>
      <c r="BN371" s="2">
        <v>244.38</v>
      </c>
      <c r="BO371" s="2">
        <v>244.38</v>
      </c>
      <c r="BQ371" s="2" t="s">
        <v>229</v>
      </c>
      <c r="BR371" s="2" t="s">
        <v>103</v>
      </c>
      <c r="BS371" s="3">
        <v>43073</v>
      </c>
      <c r="BT371" s="4">
        <v>0.4201388888888889</v>
      </c>
      <c r="BU371" s="2" t="s">
        <v>230</v>
      </c>
      <c r="BV371" s="2" t="s">
        <v>85</v>
      </c>
      <c r="BY371" s="2">
        <v>46714.05</v>
      </c>
      <c r="BZ371" s="2" t="s">
        <v>27</v>
      </c>
      <c r="CA371" s="2" t="s">
        <v>231</v>
      </c>
      <c r="CC371" s="2" t="s">
        <v>132</v>
      </c>
      <c r="CD371" s="2">
        <v>4300</v>
      </c>
      <c r="CE371" s="2" t="s">
        <v>95</v>
      </c>
      <c r="CF371" s="3">
        <v>43074</v>
      </c>
      <c r="CI371" s="2">
        <v>1</v>
      </c>
      <c r="CJ371" s="2">
        <v>1</v>
      </c>
      <c r="CK371" s="2">
        <v>21</v>
      </c>
      <c r="CL371" s="2" t="s">
        <v>89</v>
      </c>
    </row>
    <row r="372" spans="1:90">
      <c r="A372" s="2" t="s">
        <v>71</v>
      </c>
      <c r="B372" s="2" t="s">
        <v>72</v>
      </c>
      <c r="C372" s="2" t="s">
        <v>73</v>
      </c>
      <c r="E372" s="2" t="str">
        <f>"FES1162593427"</f>
        <v>FES1162593427</v>
      </c>
      <c r="F372" s="3">
        <v>43073</v>
      </c>
      <c r="G372" s="2">
        <v>201806</v>
      </c>
      <c r="H372" s="2" t="s">
        <v>74</v>
      </c>
      <c r="I372" s="2" t="s">
        <v>75</v>
      </c>
      <c r="J372" s="2" t="s">
        <v>97</v>
      </c>
      <c r="K372" s="2" t="s">
        <v>77</v>
      </c>
      <c r="L372" s="2" t="s">
        <v>136</v>
      </c>
      <c r="M372" s="2" t="s">
        <v>137</v>
      </c>
      <c r="N372" s="2" t="s">
        <v>823</v>
      </c>
      <c r="O372" s="2" t="s">
        <v>101</v>
      </c>
      <c r="P372" s="2" t="str">
        <f>"2170603928                    "</f>
        <v xml:space="preserve">2170603928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5.65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0.2</v>
      </c>
      <c r="BK372" s="2">
        <v>1</v>
      </c>
      <c r="BL372" s="2">
        <v>45.15</v>
      </c>
      <c r="BM372" s="2">
        <v>6.32</v>
      </c>
      <c r="BN372" s="2">
        <v>51.47</v>
      </c>
      <c r="BO372" s="2">
        <v>51.47</v>
      </c>
      <c r="BQ372" s="2" t="s">
        <v>82</v>
      </c>
      <c r="BR372" s="2" t="s">
        <v>103</v>
      </c>
      <c r="BS372" s="3">
        <v>43074</v>
      </c>
      <c r="BT372" s="4">
        <v>0.34722222222222227</v>
      </c>
      <c r="BU372" s="2" t="s">
        <v>824</v>
      </c>
      <c r="BV372" s="2" t="s">
        <v>85</v>
      </c>
      <c r="BY372" s="2">
        <v>1200</v>
      </c>
      <c r="BZ372" s="2" t="s">
        <v>27</v>
      </c>
      <c r="CA372" s="2" t="s">
        <v>180</v>
      </c>
      <c r="CC372" s="2" t="s">
        <v>137</v>
      </c>
      <c r="CD372" s="2">
        <v>6001</v>
      </c>
      <c r="CE372" s="2" t="s">
        <v>120</v>
      </c>
      <c r="CF372" s="3">
        <v>43075</v>
      </c>
      <c r="CI372" s="2">
        <v>1</v>
      </c>
      <c r="CJ372" s="2">
        <v>1</v>
      </c>
      <c r="CK372" s="2">
        <v>21</v>
      </c>
      <c r="CL372" s="2" t="s">
        <v>89</v>
      </c>
    </row>
    <row r="373" spans="1:90">
      <c r="A373" s="2" t="s">
        <v>71</v>
      </c>
      <c r="B373" s="2" t="s">
        <v>72</v>
      </c>
      <c r="C373" s="2" t="s">
        <v>73</v>
      </c>
      <c r="E373" s="2" t="str">
        <f>"FES1162593426"</f>
        <v>FES1162593426</v>
      </c>
      <c r="F373" s="3">
        <v>43073</v>
      </c>
      <c r="G373" s="2">
        <v>201806</v>
      </c>
      <c r="H373" s="2" t="s">
        <v>74</v>
      </c>
      <c r="I373" s="2" t="s">
        <v>75</v>
      </c>
      <c r="J373" s="2" t="s">
        <v>97</v>
      </c>
      <c r="K373" s="2" t="s">
        <v>77</v>
      </c>
      <c r="L373" s="2" t="s">
        <v>860</v>
      </c>
      <c r="M373" s="2" t="s">
        <v>861</v>
      </c>
      <c r="N373" s="2" t="s">
        <v>862</v>
      </c>
      <c r="O373" s="2" t="s">
        <v>101</v>
      </c>
      <c r="P373" s="2" t="str">
        <f>"2170603915                    "</f>
        <v xml:space="preserve">2170603915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5.65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45.15</v>
      </c>
      <c r="BM373" s="2">
        <v>6.32</v>
      </c>
      <c r="BN373" s="2">
        <v>51.47</v>
      </c>
      <c r="BO373" s="2">
        <v>51.47</v>
      </c>
      <c r="BQ373" s="2" t="s">
        <v>187</v>
      </c>
      <c r="BR373" s="2" t="s">
        <v>103</v>
      </c>
      <c r="BS373" s="3">
        <v>43074</v>
      </c>
      <c r="BT373" s="4">
        <v>0.75763888888888886</v>
      </c>
      <c r="BU373" s="2" t="s">
        <v>863</v>
      </c>
      <c r="BV373" s="2" t="s">
        <v>89</v>
      </c>
      <c r="BW373" s="2" t="s">
        <v>471</v>
      </c>
      <c r="BX373" s="2" t="s">
        <v>246</v>
      </c>
      <c r="BY373" s="2">
        <v>1200</v>
      </c>
      <c r="BZ373" s="2" t="s">
        <v>27</v>
      </c>
      <c r="CA373" s="2" t="s">
        <v>542</v>
      </c>
      <c r="CC373" s="2" t="s">
        <v>861</v>
      </c>
      <c r="CD373" s="2">
        <v>7140</v>
      </c>
      <c r="CE373" s="2" t="s">
        <v>120</v>
      </c>
      <c r="CF373" s="3">
        <v>43075</v>
      </c>
      <c r="CI373" s="2">
        <v>1</v>
      </c>
      <c r="CJ373" s="2">
        <v>1</v>
      </c>
      <c r="CK373" s="2">
        <v>21</v>
      </c>
      <c r="CL373" s="2" t="s">
        <v>89</v>
      </c>
    </row>
    <row r="374" spans="1:90">
      <c r="A374" s="2" t="s">
        <v>71</v>
      </c>
      <c r="B374" s="2" t="s">
        <v>72</v>
      </c>
      <c r="C374" s="2" t="s">
        <v>73</v>
      </c>
      <c r="E374" s="2" t="str">
        <f>"FES1162593296"</f>
        <v>FES1162593296</v>
      </c>
      <c r="F374" s="3">
        <v>43070</v>
      </c>
      <c r="G374" s="2">
        <v>201806</v>
      </c>
      <c r="H374" s="2" t="s">
        <v>74</v>
      </c>
      <c r="I374" s="2" t="s">
        <v>75</v>
      </c>
      <c r="J374" s="2" t="s">
        <v>97</v>
      </c>
      <c r="K374" s="2" t="s">
        <v>77</v>
      </c>
      <c r="L374" s="2" t="s">
        <v>125</v>
      </c>
      <c r="M374" s="2" t="s">
        <v>126</v>
      </c>
      <c r="N374" s="2" t="s">
        <v>664</v>
      </c>
      <c r="O374" s="2" t="s">
        <v>101</v>
      </c>
      <c r="P374" s="2" t="str">
        <f>"2170605592                    "</f>
        <v xml:space="preserve">2170605592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5.65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1</v>
      </c>
      <c r="BJ374" s="2">
        <v>0.2</v>
      </c>
      <c r="BK374" s="2">
        <v>1</v>
      </c>
      <c r="BL374" s="2">
        <v>45.15</v>
      </c>
      <c r="BM374" s="2">
        <v>6.32</v>
      </c>
      <c r="BN374" s="2">
        <v>51.47</v>
      </c>
      <c r="BO374" s="2">
        <v>51.47</v>
      </c>
      <c r="BQ374" s="2" t="s">
        <v>102</v>
      </c>
      <c r="BR374" s="2" t="s">
        <v>103</v>
      </c>
      <c r="BS374" s="3">
        <v>43073</v>
      </c>
      <c r="BT374" s="4">
        <v>0.42708333333333331</v>
      </c>
      <c r="BU374" s="2" t="s">
        <v>665</v>
      </c>
      <c r="BV374" s="2" t="s">
        <v>85</v>
      </c>
      <c r="BY374" s="2">
        <v>1200</v>
      </c>
      <c r="BZ374" s="2" t="s">
        <v>27</v>
      </c>
      <c r="CA374" s="2" t="s">
        <v>666</v>
      </c>
      <c r="CC374" s="2" t="s">
        <v>126</v>
      </c>
      <c r="CD374" s="2">
        <v>4001</v>
      </c>
      <c r="CE374" s="2" t="s">
        <v>120</v>
      </c>
      <c r="CF374" s="3">
        <v>43074</v>
      </c>
      <c r="CI374" s="2">
        <v>1</v>
      </c>
      <c r="CJ374" s="2">
        <v>1</v>
      </c>
      <c r="CK374" s="2">
        <v>21</v>
      </c>
      <c r="CL374" s="2" t="s">
        <v>89</v>
      </c>
    </row>
    <row r="375" spans="1:90">
      <c r="A375" s="2" t="s">
        <v>71</v>
      </c>
      <c r="B375" s="2" t="s">
        <v>72</v>
      </c>
      <c r="C375" s="2" t="s">
        <v>73</v>
      </c>
      <c r="E375" s="2" t="str">
        <f>"FES1162593505"</f>
        <v>FES1162593505</v>
      </c>
      <c r="F375" s="3">
        <v>43073</v>
      </c>
      <c r="G375" s="2">
        <v>201806</v>
      </c>
      <c r="H375" s="2" t="s">
        <v>74</v>
      </c>
      <c r="I375" s="2" t="s">
        <v>75</v>
      </c>
      <c r="J375" s="2" t="s">
        <v>97</v>
      </c>
      <c r="K375" s="2" t="s">
        <v>77</v>
      </c>
      <c r="L375" s="2" t="s">
        <v>173</v>
      </c>
      <c r="M375" s="2" t="s">
        <v>174</v>
      </c>
      <c r="N375" s="2" t="s">
        <v>864</v>
      </c>
      <c r="O375" s="2" t="s">
        <v>101</v>
      </c>
      <c r="P375" s="2" t="str">
        <f>"2170605482                    "</f>
        <v xml:space="preserve">2170605482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5.65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</v>
      </c>
      <c r="BJ375" s="2">
        <v>0.2</v>
      </c>
      <c r="BK375" s="2">
        <v>1</v>
      </c>
      <c r="BL375" s="2">
        <v>45.15</v>
      </c>
      <c r="BM375" s="2">
        <v>6.32</v>
      </c>
      <c r="BN375" s="2">
        <v>51.47</v>
      </c>
      <c r="BO375" s="2">
        <v>51.47</v>
      </c>
      <c r="BQ375" s="2" t="s">
        <v>82</v>
      </c>
      <c r="BR375" s="2" t="s">
        <v>103</v>
      </c>
      <c r="BS375" s="3">
        <v>43074</v>
      </c>
      <c r="BT375" s="4">
        <v>0.3979166666666667</v>
      </c>
      <c r="BU375" s="2" t="s">
        <v>865</v>
      </c>
      <c r="BV375" s="2" t="s">
        <v>85</v>
      </c>
      <c r="BY375" s="2">
        <v>1200</v>
      </c>
      <c r="BZ375" s="2" t="s">
        <v>27</v>
      </c>
      <c r="CA375" s="2" t="s">
        <v>247</v>
      </c>
      <c r="CC375" s="2" t="s">
        <v>174</v>
      </c>
      <c r="CD375" s="2">
        <v>7493</v>
      </c>
      <c r="CE375" s="2" t="s">
        <v>120</v>
      </c>
      <c r="CF375" s="3">
        <v>43074</v>
      </c>
      <c r="CI375" s="2">
        <v>1</v>
      </c>
      <c r="CJ375" s="2">
        <v>1</v>
      </c>
      <c r="CK375" s="2">
        <v>21</v>
      </c>
      <c r="CL375" s="2" t="s">
        <v>89</v>
      </c>
    </row>
    <row r="376" spans="1:90">
      <c r="A376" s="2" t="s">
        <v>71</v>
      </c>
      <c r="B376" s="2" t="s">
        <v>72</v>
      </c>
      <c r="C376" s="2" t="s">
        <v>73</v>
      </c>
      <c r="E376" s="2" t="str">
        <f>"FES1162593262"</f>
        <v>FES1162593262</v>
      </c>
      <c r="F376" s="3">
        <v>43070</v>
      </c>
      <c r="G376" s="2">
        <v>201806</v>
      </c>
      <c r="H376" s="2" t="s">
        <v>74</v>
      </c>
      <c r="I376" s="2" t="s">
        <v>75</v>
      </c>
      <c r="J376" s="2" t="s">
        <v>97</v>
      </c>
      <c r="K376" s="2" t="s">
        <v>77</v>
      </c>
      <c r="L376" s="2" t="s">
        <v>168</v>
      </c>
      <c r="M376" s="2" t="s">
        <v>169</v>
      </c>
      <c r="N376" s="2" t="s">
        <v>764</v>
      </c>
      <c r="O376" s="2" t="s">
        <v>101</v>
      </c>
      <c r="P376" s="2" t="str">
        <f>"2170605401                    "</f>
        <v xml:space="preserve">2170605401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5.65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</v>
      </c>
      <c r="BJ376" s="2">
        <v>0.2</v>
      </c>
      <c r="BK376" s="2">
        <v>1</v>
      </c>
      <c r="BL376" s="2">
        <v>45.15</v>
      </c>
      <c r="BM376" s="2">
        <v>6.32</v>
      </c>
      <c r="BN376" s="2">
        <v>51.47</v>
      </c>
      <c r="BO376" s="2">
        <v>51.47</v>
      </c>
      <c r="BQ376" s="2" t="s">
        <v>765</v>
      </c>
      <c r="BR376" s="2" t="s">
        <v>103</v>
      </c>
      <c r="BS376" s="3">
        <v>43073</v>
      </c>
      <c r="BT376" s="4">
        <v>0.33055555555555555</v>
      </c>
      <c r="BU376" s="2" t="s">
        <v>766</v>
      </c>
      <c r="BV376" s="2" t="s">
        <v>85</v>
      </c>
      <c r="BY376" s="2">
        <v>1200</v>
      </c>
      <c r="BZ376" s="2" t="s">
        <v>27</v>
      </c>
      <c r="CA376" s="2" t="s">
        <v>220</v>
      </c>
      <c r="CC376" s="2" t="s">
        <v>169</v>
      </c>
      <c r="CD376" s="2">
        <v>3610</v>
      </c>
      <c r="CE376" s="2" t="s">
        <v>120</v>
      </c>
      <c r="CF376" s="3">
        <v>43074</v>
      </c>
      <c r="CI376" s="2">
        <v>1</v>
      </c>
      <c r="CJ376" s="2">
        <v>1</v>
      </c>
      <c r="CK376" s="2">
        <v>21</v>
      </c>
      <c r="CL376" s="2" t="s">
        <v>89</v>
      </c>
    </row>
    <row r="377" spans="1:90">
      <c r="A377" s="2" t="s">
        <v>71</v>
      </c>
      <c r="B377" s="2" t="s">
        <v>72</v>
      </c>
      <c r="C377" s="2" t="s">
        <v>73</v>
      </c>
      <c r="E377" s="2" t="str">
        <f>"FES1162593382"</f>
        <v>FES1162593382</v>
      </c>
      <c r="F377" s="3">
        <v>43073</v>
      </c>
      <c r="G377" s="2">
        <v>201806</v>
      </c>
      <c r="H377" s="2" t="s">
        <v>74</v>
      </c>
      <c r="I377" s="2" t="s">
        <v>75</v>
      </c>
      <c r="J377" s="2" t="s">
        <v>97</v>
      </c>
      <c r="K377" s="2" t="s">
        <v>77</v>
      </c>
      <c r="L377" s="2" t="s">
        <v>212</v>
      </c>
      <c r="M377" s="2" t="s">
        <v>212</v>
      </c>
      <c r="N377" s="2" t="s">
        <v>866</v>
      </c>
      <c r="O377" s="2" t="s">
        <v>101</v>
      </c>
      <c r="P377" s="2" t="str">
        <f>"2170602697                    "</f>
        <v xml:space="preserve">2170602697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5.65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1</v>
      </c>
      <c r="BJ377" s="2">
        <v>0.2</v>
      </c>
      <c r="BK377" s="2">
        <v>1</v>
      </c>
      <c r="BL377" s="2">
        <v>45.15</v>
      </c>
      <c r="BM377" s="2">
        <v>6.32</v>
      </c>
      <c r="BN377" s="2">
        <v>51.47</v>
      </c>
      <c r="BO377" s="2">
        <v>51.47</v>
      </c>
      <c r="BQ377" s="2" t="s">
        <v>187</v>
      </c>
      <c r="BR377" s="2" t="s">
        <v>103</v>
      </c>
      <c r="BS377" s="3">
        <v>43074</v>
      </c>
      <c r="BT377" s="4">
        <v>0.49722222222222223</v>
      </c>
      <c r="BU377" s="2" t="s">
        <v>867</v>
      </c>
      <c r="BV377" s="2" t="s">
        <v>85</v>
      </c>
      <c r="BY377" s="2">
        <v>1200</v>
      </c>
      <c r="BZ377" s="2" t="s">
        <v>27</v>
      </c>
      <c r="CA377" s="2" t="s">
        <v>532</v>
      </c>
      <c r="CC377" s="2" t="s">
        <v>212</v>
      </c>
      <c r="CD377" s="2">
        <v>7646</v>
      </c>
      <c r="CE377" s="2" t="s">
        <v>120</v>
      </c>
      <c r="CF377" s="3">
        <v>43074</v>
      </c>
      <c r="CI377" s="2">
        <v>1</v>
      </c>
      <c r="CJ377" s="2">
        <v>1</v>
      </c>
      <c r="CK377" s="2">
        <v>21</v>
      </c>
      <c r="CL377" s="2" t="s">
        <v>89</v>
      </c>
    </row>
    <row r="378" spans="1:90">
      <c r="A378" s="2" t="s">
        <v>71</v>
      </c>
      <c r="B378" s="2" t="s">
        <v>72</v>
      </c>
      <c r="C378" s="2" t="s">
        <v>73</v>
      </c>
      <c r="E378" s="2" t="str">
        <f>"FES1162593178"</f>
        <v>FES1162593178</v>
      </c>
      <c r="F378" s="3">
        <v>43070</v>
      </c>
      <c r="G378" s="2">
        <v>201806</v>
      </c>
      <c r="H378" s="2" t="s">
        <v>74</v>
      </c>
      <c r="I378" s="2" t="s">
        <v>75</v>
      </c>
      <c r="J378" s="2" t="s">
        <v>97</v>
      </c>
      <c r="K378" s="2" t="s">
        <v>77</v>
      </c>
      <c r="L378" s="2" t="s">
        <v>168</v>
      </c>
      <c r="M378" s="2" t="s">
        <v>169</v>
      </c>
      <c r="N378" s="2" t="s">
        <v>351</v>
      </c>
      <c r="O378" s="2" t="s">
        <v>101</v>
      </c>
      <c r="P378" s="2" t="str">
        <f>"217060599967                  "</f>
        <v xml:space="preserve">217060599967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9.8800000000000008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3.1</v>
      </c>
      <c r="BJ378" s="2">
        <v>0.9</v>
      </c>
      <c r="BK378" s="2">
        <v>3.5</v>
      </c>
      <c r="BL378" s="2">
        <v>78.989999999999995</v>
      </c>
      <c r="BM378" s="2">
        <v>11.06</v>
      </c>
      <c r="BN378" s="2">
        <v>90.05</v>
      </c>
      <c r="BO378" s="2">
        <v>90.05</v>
      </c>
      <c r="BQ378" s="2" t="s">
        <v>102</v>
      </c>
      <c r="BR378" s="2" t="s">
        <v>103</v>
      </c>
      <c r="BS378" s="3">
        <v>43073</v>
      </c>
      <c r="BT378" s="4">
        <v>0.30694444444444441</v>
      </c>
      <c r="BU378" s="2" t="s">
        <v>868</v>
      </c>
      <c r="BV378" s="2" t="s">
        <v>85</v>
      </c>
      <c r="BY378" s="2">
        <v>4509.6499999999996</v>
      </c>
      <c r="BZ378" s="2" t="s">
        <v>27</v>
      </c>
      <c r="CA378" s="2" t="s">
        <v>220</v>
      </c>
      <c r="CC378" s="2" t="s">
        <v>169</v>
      </c>
      <c r="CD378" s="2">
        <v>3610</v>
      </c>
      <c r="CE378" s="2" t="s">
        <v>87</v>
      </c>
      <c r="CF378" s="3">
        <v>43074</v>
      </c>
      <c r="CI378" s="2">
        <v>1</v>
      </c>
      <c r="CJ378" s="2">
        <v>1</v>
      </c>
      <c r="CK378" s="2">
        <v>21</v>
      </c>
      <c r="CL378" s="2" t="s">
        <v>89</v>
      </c>
    </row>
    <row r="379" spans="1:90">
      <c r="A379" s="2" t="s">
        <v>71</v>
      </c>
      <c r="B379" s="2" t="s">
        <v>72</v>
      </c>
      <c r="C379" s="2" t="s">
        <v>73</v>
      </c>
      <c r="E379" s="2" t="str">
        <f>"FES1162593349"</f>
        <v>FES1162593349</v>
      </c>
      <c r="F379" s="3">
        <v>43073</v>
      </c>
      <c r="G379" s="2">
        <v>201806</v>
      </c>
      <c r="H379" s="2" t="s">
        <v>74</v>
      </c>
      <c r="I379" s="2" t="s">
        <v>75</v>
      </c>
      <c r="J379" s="2" t="s">
        <v>97</v>
      </c>
      <c r="K379" s="2" t="s">
        <v>77</v>
      </c>
      <c r="L379" s="2" t="s">
        <v>173</v>
      </c>
      <c r="M379" s="2" t="s">
        <v>174</v>
      </c>
      <c r="N379" s="2" t="s">
        <v>747</v>
      </c>
      <c r="O379" s="2" t="s">
        <v>101</v>
      </c>
      <c r="P379" s="2" t="str">
        <f>"2170601759                    "</f>
        <v xml:space="preserve">2170601759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5.65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1</v>
      </c>
      <c r="BJ379" s="2">
        <v>0.2</v>
      </c>
      <c r="BK379" s="2">
        <v>1</v>
      </c>
      <c r="BL379" s="2">
        <v>45.15</v>
      </c>
      <c r="BM379" s="2">
        <v>6.32</v>
      </c>
      <c r="BN379" s="2">
        <v>51.47</v>
      </c>
      <c r="BO379" s="2">
        <v>51.47</v>
      </c>
      <c r="BQ379" s="2" t="s">
        <v>142</v>
      </c>
      <c r="BR379" s="2" t="s">
        <v>103</v>
      </c>
      <c r="BS379" s="3">
        <v>43074</v>
      </c>
      <c r="BT379" s="4">
        <v>0.41666666666666669</v>
      </c>
      <c r="BU379" s="2" t="s">
        <v>869</v>
      </c>
      <c r="BV379" s="2" t="s">
        <v>85</v>
      </c>
      <c r="BY379" s="2">
        <v>1200</v>
      </c>
      <c r="BZ379" s="2" t="s">
        <v>27</v>
      </c>
      <c r="CA379" s="2" t="s">
        <v>489</v>
      </c>
      <c r="CC379" s="2" t="s">
        <v>174</v>
      </c>
      <c r="CD379" s="2">
        <v>7580</v>
      </c>
      <c r="CE379" s="2" t="s">
        <v>120</v>
      </c>
      <c r="CF379" s="3">
        <v>43075</v>
      </c>
      <c r="CI379" s="2">
        <v>1</v>
      </c>
      <c r="CJ379" s="2">
        <v>1</v>
      </c>
      <c r="CK379" s="2">
        <v>21</v>
      </c>
      <c r="CL379" s="2" t="s">
        <v>89</v>
      </c>
    </row>
    <row r="380" spans="1:90">
      <c r="A380" s="2" t="s">
        <v>71</v>
      </c>
      <c r="B380" s="2" t="s">
        <v>72</v>
      </c>
      <c r="C380" s="2" t="s">
        <v>73</v>
      </c>
      <c r="E380" s="2" t="str">
        <f>"FES1162593302"</f>
        <v>FES1162593302</v>
      </c>
      <c r="F380" s="3">
        <v>43070</v>
      </c>
      <c r="G380" s="2">
        <v>201806</v>
      </c>
      <c r="H380" s="2" t="s">
        <v>74</v>
      </c>
      <c r="I380" s="2" t="s">
        <v>75</v>
      </c>
      <c r="J380" s="2" t="s">
        <v>97</v>
      </c>
      <c r="K380" s="2" t="s">
        <v>77</v>
      </c>
      <c r="L380" s="2" t="s">
        <v>870</v>
      </c>
      <c r="M380" s="2" t="s">
        <v>871</v>
      </c>
      <c r="N380" s="2" t="s">
        <v>872</v>
      </c>
      <c r="O380" s="2" t="s">
        <v>101</v>
      </c>
      <c r="P380" s="2" t="str">
        <f>"2170605600                    "</f>
        <v xml:space="preserve">2170605600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5.65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</v>
      </c>
      <c r="BJ380" s="2">
        <v>0.2</v>
      </c>
      <c r="BK380" s="2">
        <v>1</v>
      </c>
      <c r="BL380" s="2">
        <v>45.15</v>
      </c>
      <c r="BM380" s="2">
        <v>6.32</v>
      </c>
      <c r="BN380" s="2">
        <v>51.47</v>
      </c>
      <c r="BO380" s="2">
        <v>51.47</v>
      </c>
      <c r="BQ380" s="2" t="s">
        <v>82</v>
      </c>
      <c r="BR380" s="2" t="s">
        <v>103</v>
      </c>
      <c r="BS380" s="3">
        <v>43073</v>
      </c>
      <c r="BT380" s="4">
        <v>0.41666666666666669</v>
      </c>
      <c r="BU380" s="2" t="s">
        <v>873</v>
      </c>
      <c r="BV380" s="2" t="s">
        <v>85</v>
      </c>
      <c r="BY380" s="2">
        <v>1200</v>
      </c>
      <c r="BZ380" s="2" t="s">
        <v>27</v>
      </c>
      <c r="CA380" s="2" t="s">
        <v>293</v>
      </c>
      <c r="CC380" s="2" t="s">
        <v>871</v>
      </c>
      <c r="CD380" s="2">
        <v>3250</v>
      </c>
      <c r="CE380" s="2" t="s">
        <v>120</v>
      </c>
      <c r="CF380" s="3">
        <v>43074</v>
      </c>
      <c r="CI380" s="2">
        <v>1</v>
      </c>
      <c r="CJ380" s="2">
        <v>1</v>
      </c>
      <c r="CK380" s="2">
        <v>21</v>
      </c>
      <c r="CL380" s="2" t="s">
        <v>89</v>
      </c>
    </row>
    <row r="381" spans="1:90">
      <c r="A381" s="2" t="s">
        <v>71</v>
      </c>
      <c r="B381" s="2" t="s">
        <v>72</v>
      </c>
      <c r="C381" s="2" t="s">
        <v>73</v>
      </c>
      <c r="E381" s="2" t="str">
        <f>"FES1162593312"</f>
        <v>FES1162593312</v>
      </c>
      <c r="F381" s="3">
        <v>43073</v>
      </c>
      <c r="G381" s="2">
        <v>201806</v>
      </c>
      <c r="H381" s="2" t="s">
        <v>74</v>
      </c>
      <c r="I381" s="2" t="s">
        <v>75</v>
      </c>
      <c r="J381" s="2" t="s">
        <v>97</v>
      </c>
      <c r="K381" s="2" t="s">
        <v>77</v>
      </c>
      <c r="L381" s="2" t="s">
        <v>173</v>
      </c>
      <c r="M381" s="2" t="s">
        <v>174</v>
      </c>
      <c r="N381" s="2" t="s">
        <v>747</v>
      </c>
      <c r="O381" s="2" t="s">
        <v>101</v>
      </c>
      <c r="P381" s="2" t="str">
        <f>"2170601761                    "</f>
        <v xml:space="preserve">2170601761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5.65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1</v>
      </c>
      <c r="BJ381" s="2">
        <v>0.2</v>
      </c>
      <c r="BK381" s="2">
        <v>1</v>
      </c>
      <c r="BL381" s="2">
        <v>45.15</v>
      </c>
      <c r="BM381" s="2">
        <v>6.32</v>
      </c>
      <c r="BN381" s="2">
        <v>51.47</v>
      </c>
      <c r="BO381" s="2">
        <v>51.47</v>
      </c>
      <c r="BQ381" s="2" t="s">
        <v>142</v>
      </c>
      <c r="BR381" s="2" t="s">
        <v>103</v>
      </c>
      <c r="BS381" s="3">
        <v>43074</v>
      </c>
      <c r="BT381" s="4">
        <v>0.41666666666666669</v>
      </c>
      <c r="BU381" s="2" t="s">
        <v>869</v>
      </c>
      <c r="BV381" s="2" t="s">
        <v>85</v>
      </c>
      <c r="BY381" s="2">
        <v>1200</v>
      </c>
      <c r="BZ381" s="2" t="s">
        <v>27</v>
      </c>
      <c r="CA381" s="2" t="s">
        <v>489</v>
      </c>
      <c r="CC381" s="2" t="s">
        <v>174</v>
      </c>
      <c r="CD381" s="2">
        <v>7580</v>
      </c>
      <c r="CE381" s="2" t="s">
        <v>120</v>
      </c>
      <c r="CF381" s="3">
        <v>43075</v>
      </c>
      <c r="CI381" s="2">
        <v>1</v>
      </c>
      <c r="CJ381" s="2">
        <v>1</v>
      </c>
      <c r="CK381" s="2">
        <v>21</v>
      </c>
      <c r="CL381" s="2" t="s">
        <v>89</v>
      </c>
    </row>
    <row r="382" spans="1:90">
      <c r="A382" s="2" t="s">
        <v>71</v>
      </c>
      <c r="B382" s="2" t="s">
        <v>72</v>
      </c>
      <c r="C382" s="2" t="s">
        <v>73</v>
      </c>
      <c r="E382" s="2" t="str">
        <f>"FES1162593123"</f>
        <v>FES1162593123</v>
      </c>
      <c r="F382" s="3">
        <v>43070</v>
      </c>
      <c r="G382" s="2">
        <v>201806</v>
      </c>
      <c r="H382" s="2" t="s">
        <v>74</v>
      </c>
      <c r="I382" s="2" t="s">
        <v>75</v>
      </c>
      <c r="J382" s="2" t="s">
        <v>97</v>
      </c>
      <c r="K382" s="2" t="s">
        <v>77</v>
      </c>
      <c r="L382" s="2" t="s">
        <v>158</v>
      </c>
      <c r="M382" s="2" t="s">
        <v>159</v>
      </c>
      <c r="N382" s="2" t="s">
        <v>874</v>
      </c>
      <c r="O382" s="2" t="s">
        <v>101</v>
      </c>
      <c r="P382" s="2" t="str">
        <f>"2170602884                    "</f>
        <v xml:space="preserve">2170602884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5.65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</v>
      </c>
      <c r="BJ382" s="2">
        <v>0.2</v>
      </c>
      <c r="BK382" s="2">
        <v>1</v>
      </c>
      <c r="BL382" s="2">
        <v>45.15</v>
      </c>
      <c r="BM382" s="2">
        <v>6.32</v>
      </c>
      <c r="BN382" s="2">
        <v>51.47</v>
      </c>
      <c r="BO382" s="2">
        <v>51.47</v>
      </c>
      <c r="BQ382" s="2" t="s">
        <v>102</v>
      </c>
      <c r="BR382" s="2" t="s">
        <v>103</v>
      </c>
      <c r="BS382" s="3">
        <v>43073</v>
      </c>
      <c r="BT382" s="4">
        <v>0.40277777777777773</v>
      </c>
      <c r="BU382" s="2" t="s">
        <v>875</v>
      </c>
      <c r="BV382" s="2" t="s">
        <v>85</v>
      </c>
      <c r="BY382" s="2">
        <v>1200</v>
      </c>
      <c r="BZ382" s="2" t="s">
        <v>27</v>
      </c>
      <c r="CC382" s="2" t="s">
        <v>159</v>
      </c>
      <c r="CD382" s="2">
        <v>200</v>
      </c>
      <c r="CE382" s="2" t="s">
        <v>120</v>
      </c>
      <c r="CF382" s="3">
        <v>43075</v>
      </c>
      <c r="CI382" s="2">
        <v>1</v>
      </c>
      <c r="CJ382" s="2">
        <v>1</v>
      </c>
      <c r="CK382" s="2">
        <v>21</v>
      </c>
      <c r="CL382" s="2" t="s">
        <v>89</v>
      </c>
    </row>
    <row r="383" spans="1:90">
      <c r="A383" s="2" t="s">
        <v>71</v>
      </c>
      <c r="B383" s="2" t="s">
        <v>72</v>
      </c>
      <c r="C383" s="2" t="s">
        <v>73</v>
      </c>
      <c r="E383" s="2" t="str">
        <f>"FES1162593328"</f>
        <v>FES1162593328</v>
      </c>
      <c r="F383" s="3">
        <v>43073</v>
      </c>
      <c r="G383" s="2">
        <v>201806</v>
      </c>
      <c r="H383" s="2" t="s">
        <v>74</v>
      </c>
      <c r="I383" s="2" t="s">
        <v>75</v>
      </c>
      <c r="J383" s="2" t="s">
        <v>97</v>
      </c>
      <c r="K383" s="2" t="s">
        <v>77</v>
      </c>
      <c r="L383" s="2" t="s">
        <v>173</v>
      </c>
      <c r="M383" s="2" t="s">
        <v>174</v>
      </c>
      <c r="N383" s="2" t="s">
        <v>876</v>
      </c>
      <c r="O383" s="2" t="s">
        <v>101</v>
      </c>
      <c r="P383" s="2" t="str">
        <f>"2170603335                    "</f>
        <v xml:space="preserve">2170603335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5.65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1</v>
      </c>
      <c r="BJ383" s="2">
        <v>0.2</v>
      </c>
      <c r="BK383" s="2">
        <v>1</v>
      </c>
      <c r="BL383" s="2">
        <v>45.15</v>
      </c>
      <c r="BM383" s="2">
        <v>6.32</v>
      </c>
      <c r="BN383" s="2">
        <v>51.47</v>
      </c>
      <c r="BO383" s="2">
        <v>51.47</v>
      </c>
      <c r="BQ383" s="2" t="s">
        <v>128</v>
      </c>
      <c r="BR383" s="2" t="s">
        <v>103</v>
      </c>
      <c r="BS383" s="3">
        <v>43074</v>
      </c>
      <c r="BT383" s="4">
        <v>0.44722222222222219</v>
      </c>
      <c r="BU383" s="2" t="s">
        <v>877</v>
      </c>
      <c r="BV383" s="2" t="s">
        <v>85</v>
      </c>
      <c r="BY383" s="2">
        <v>1200</v>
      </c>
      <c r="BZ383" s="2" t="s">
        <v>27</v>
      </c>
      <c r="CA383" s="2">
        <v>6560004692</v>
      </c>
      <c r="CC383" s="2" t="s">
        <v>174</v>
      </c>
      <c r="CD383" s="2">
        <v>7441</v>
      </c>
      <c r="CE383" s="2" t="s">
        <v>120</v>
      </c>
      <c r="CF383" s="3">
        <v>43075</v>
      </c>
      <c r="CI383" s="2">
        <v>1</v>
      </c>
      <c r="CJ383" s="2">
        <v>1</v>
      </c>
      <c r="CK383" s="2">
        <v>21</v>
      </c>
      <c r="CL383" s="2" t="s">
        <v>89</v>
      </c>
    </row>
    <row r="384" spans="1:90">
      <c r="A384" s="2" t="s">
        <v>71</v>
      </c>
      <c r="B384" s="2" t="s">
        <v>72</v>
      </c>
      <c r="C384" s="2" t="s">
        <v>73</v>
      </c>
      <c r="E384" s="2" t="str">
        <f>"FES1162593080"</f>
        <v>FES1162593080</v>
      </c>
      <c r="F384" s="3">
        <v>43070</v>
      </c>
      <c r="G384" s="2">
        <v>201806</v>
      </c>
      <c r="H384" s="2" t="s">
        <v>74</v>
      </c>
      <c r="I384" s="2" t="s">
        <v>75</v>
      </c>
      <c r="J384" s="2" t="s">
        <v>97</v>
      </c>
      <c r="K384" s="2" t="s">
        <v>77</v>
      </c>
      <c r="L384" s="2" t="s">
        <v>131</v>
      </c>
      <c r="M384" s="2" t="s">
        <v>132</v>
      </c>
      <c r="N384" s="2" t="s">
        <v>228</v>
      </c>
      <c r="O384" s="2" t="s">
        <v>101</v>
      </c>
      <c r="P384" s="2" t="str">
        <f>"2170605436                    "</f>
        <v xml:space="preserve">2170605436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5.65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1</v>
      </c>
      <c r="BJ384" s="2">
        <v>0.2</v>
      </c>
      <c r="BK384" s="2">
        <v>1</v>
      </c>
      <c r="BL384" s="2">
        <v>45.15</v>
      </c>
      <c r="BM384" s="2">
        <v>6.32</v>
      </c>
      <c r="BN384" s="2">
        <v>51.47</v>
      </c>
      <c r="BO384" s="2">
        <v>51.47</v>
      </c>
      <c r="BQ384" s="2" t="s">
        <v>229</v>
      </c>
      <c r="BR384" s="2" t="s">
        <v>103</v>
      </c>
      <c r="BS384" s="3">
        <v>43073</v>
      </c>
      <c r="BT384" s="4">
        <v>0.4201388888888889</v>
      </c>
      <c r="BU384" s="2" t="s">
        <v>230</v>
      </c>
      <c r="BV384" s="2" t="s">
        <v>85</v>
      </c>
      <c r="BY384" s="2">
        <v>1200</v>
      </c>
      <c r="BZ384" s="2" t="s">
        <v>27</v>
      </c>
      <c r="CA384" s="2" t="s">
        <v>231</v>
      </c>
      <c r="CC384" s="2" t="s">
        <v>132</v>
      </c>
      <c r="CD384" s="2">
        <v>4300</v>
      </c>
      <c r="CE384" s="2" t="s">
        <v>120</v>
      </c>
      <c r="CF384" s="3">
        <v>43074</v>
      </c>
      <c r="CI384" s="2">
        <v>1</v>
      </c>
      <c r="CJ384" s="2">
        <v>1</v>
      </c>
      <c r="CK384" s="2">
        <v>21</v>
      </c>
      <c r="CL384" s="2" t="s">
        <v>89</v>
      </c>
    </row>
    <row r="385" spans="1:90">
      <c r="A385" s="2" t="s">
        <v>71</v>
      </c>
      <c r="B385" s="2" t="s">
        <v>72</v>
      </c>
      <c r="C385" s="2" t="s">
        <v>73</v>
      </c>
      <c r="E385" s="2" t="str">
        <f>"FES1162593311"</f>
        <v>FES1162593311</v>
      </c>
      <c r="F385" s="3">
        <v>43073</v>
      </c>
      <c r="G385" s="2">
        <v>201806</v>
      </c>
      <c r="H385" s="2" t="s">
        <v>74</v>
      </c>
      <c r="I385" s="2" t="s">
        <v>75</v>
      </c>
      <c r="J385" s="2" t="s">
        <v>97</v>
      </c>
      <c r="K385" s="2" t="s">
        <v>77</v>
      </c>
      <c r="L385" s="2" t="s">
        <v>173</v>
      </c>
      <c r="M385" s="2" t="s">
        <v>174</v>
      </c>
      <c r="N385" s="2" t="s">
        <v>747</v>
      </c>
      <c r="O385" s="2" t="s">
        <v>101</v>
      </c>
      <c r="P385" s="2" t="str">
        <f>"2170601760                    "</f>
        <v xml:space="preserve">2170601760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5.65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1</v>
      </c>
      <c r="BJ385" s="2">
        <v>0.2</v>
      </c>
      <c r="BK385" s="2">
        <v>1</v>
      </c>
      <c r="BL385" s="2">
        <v>45.15</v>
      </c>
      <c r="BM385" s="2">
        <v>6.32</v>
      </c>
      <c r="BN385" s="2">
        <v>51.47</v>
      </c>
      <c r="BO385" s="2">
        <v>51.47</v>
      </c>
      <c r="BQ385" s="2" t="s">
        <v>142</v>
      </c>
      <c r="BR385" s="2" t="s">
        <v>103</v>
      </c>
      <c r="BS385" s="3">
        <v>43074</v>
      </c>
      <c r="BT385" s="4">
        <v>0.41666666666666669</v>
      </c>
      <c r="BU385" s="2" t="s">
        <v>869</v>
      </c>
      <c r="BV385" s="2" t="s">
        <v>85</v>
      </c>
      <c r="BY385" s="2">
        <v>1200</v>
      </c>
      <c r="BZ385" s="2" t="s">
        <v>27</v>
      </c>
      <c r="CA385" s="2" t="s">
        <v>489</v>
      </c>
      <c r="CC385" s="2" t="s">
        <v>174</v>
      </c>
      <c r="CD385" s="2">
        <v>7580</v>
      </c>
      <c r="CE385" s="2" t="s">
        <v>120</v>
      </c>
      <c r="CF385" s="3">
        <v>43075</v>
      </c>
      <c r="CI385" s="2">
        <v>1</v>
      </c>
      <c r="CJ385" s="2">
        <v>1</v>
      </c>
      <c r="CK385" s="2">
        <v>21</v>
      </c>
      <c r="CL385" s="2" t="s">
        <v>89</v>
      </c>
    </row>
    <row r="386" spans="1:90">
      <c r="A386" s="2" t="s">
        <v>71</v>
      </c>
      <c r="B386" s="2" t="s">
        <v>72</v>
      </c>
      <c r="C386" s="2" t="s">
        <v>73</v>
      </c>
      <c r="E386" s="2" t="str">
        <f>"FES1162593284"</f>
        <v>FES1162593284</v>
      </c>
      <c r="F386" s="3">
        <v>43070</v>
      </c>
      <c r="G386" s="2">
        <v>201806</v>
      </c>
      <c r="H386" s="2" t="s">
        <v>74</v>
      </c>
      <c r="I386" s="2" t="s">
        <v>75</v>
      </c>
      <c r="J386" s="2" t="s">
        <v>97</v>
      </c>
      <c r="K386" s="2" t="s">
        <v>77</v>
      </c>
      <c r="L386" s="2" t="s">
        <v>759</v>
      </c>
      <c r="M386" s="2" t="s">
        <v>760</v>
      </c>
      <c r="N386" s="2" t="s">
        <v>761</v>
      </c>
      <c r="O386" s="2" t="s">
        <v>101</v>
      </c>
      <c r="P386" s="2" t="str">
        <f>"2170605578                    "</f>
        <v xml:space="preserve">2170605578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5.65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1</v>
      </c>
      <c r="BJ386" s="2">
        <v>0.2</v>
      </c>
      <c r="BK386" s="2">
        <v>1</v>
      </c>
      <c r="BL386" s="2">
        <v>45.15</v>
      </c>
      <c r="BM386" s="2">
        <v>6.32</v>
      </c>
      <c r="BN386" s="2">
        <v>51.47</v>
      </c>
      <c r="BO386" s="2">
        <v>51.47</v>
      </c>
      <c r="BQ386" s="2" t="s">
        <v>82</v>
      </c>
      <c r="BR386" s="2" t="s">
        <v>103</v>
      </c>
      <c r="BS386" s="3">
        <v>43073</v>
      </c>
      <c r="BT386" s="4">
        <v>0.36527777777777781</v>
      </c>
      <c r="BU386" s="2" t="s">
        <v>762</v>
      </c>
      <c r="BV386" s="2" t="s">
        <v>85</v>
      </c>
      <c r="BY386" s="2">
        <v>1200</v>
      </c>
      <c r="BZ386" s="2" t="s">
        <v>27</v>
      </c>
      <c r="CA386" s="2" t="s">
        <v>578</v>
      </c>
      <c r="CC386" s="2" t="s">
        <v>760</v>
      </c>
      <c r="CD386" s="2">
        <v>4026</v>
      </c>
      <c r="CE386" s="2" t="s">
        <v>120</v>
      </c>
      <c r="CF386" s="3">
        <v>43074</v>
      </c>
      <c r="CI386" s="2">
        <v>1</v>
      </c>
      <c r="CJ386" s="2">
        <v>1</v>
      </c>
      <c r="CK386" s="2">
        <v>21</v>
      </c>
      <c r="CL386" s="2" t="s">
        <v>89</v>
      </c>
    </row>
    <row r="387" spans="1:90">
      <c r="A387" s="2" t="s">
        <v>71</v>
      </c>
      <c r="B387" s="2" t="s">
        <v>72</v>
      </c>
      <c r="C387" s="2" t="s">
        <v>73</v>
      </c>
      <c r="E387" s="2" t="str">
        <f>"FES1162593413"</f>
        <v>FES1162593413</v>
      </c>
      <c r="F387" s="3">
        <v>43073</v>
      </c>
      <c r="G387" s="2">
        <v>201806</v>
      </c>
      <c r="H387" s="2" t="s">
        <v>74</v>
      </c>
      <c r="I387" s="2" t="s">
        <v>75</v>
      </c>
      <c r="J387" s="2" t="s">
        <v>97</v>
      </c>
      <c r="K387" s="2" t="s">
        <v>77</v>
      </c>
      <c r="L387" s="2" t="s">
        <v>173</v>
      </c>
      <c r="M387" s="2" t="s">
        <v>174</v>
      </c>
      <c r="N387" s="2" t="s">
        <v>876</v>
      </c>
      <c r="O387" s="2" t="s">
        <v>101</v>
      </c>
      <c r="P387" s="2" t="str">
        <f>"2170603316                    "</f>
        <v xml:space="preserve">2170603316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5.65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1</v>
      </c>
      <c r="BJ387" s="2">
        <v>0.2</v>
      </c>
      <c r="BK387" s="2">
        <v>1</v>
      </c>
      <c r="BL387" s="2">
        <v>45.15</v>
      </c>
      <c r="BM387" s="2">
        <v>6.32</v>
      </c>
      <c r="BN387" s="2">
        <v>51.47</v>
      </c>
      <c r="BO387" s="2">
        <v>51.47</v>
      </c>
      <c r="BQ387" s="2" t="s">
        <v>128</v>
      </c>
      <c r="BR387" s="2" t="s">
        <v>103</v>
      </c>
      <c r="BS387" s="3">
        <v>43074</v>
      </c>
      <c r="BT387" s="4">
        <v>0.44722222222222219</v>
      </c>
      <c r="BU387" s="2" t="s">
        <v>877</v>
      </c>
      <c r="BV387" s="2" t="s">
        <v>85</v>
      </c>
      <c r="BY387" s="2">
        <v>1200</v>
      </c>
      <c r="BZ387" s="2" t="s">
        <v>27</v>
      </c>
      <c r="CA387" s="2" t="s">
        <v>878</v>
      </c>
      <c r="CC387" s="2" t="s">
        <v>174</v>
      </c>
      <c r="CD387" s="2">
        <v>7441</v>
      </c>
      <c r="CE387" s="2" t="s">
        <v>120</v>
      </c>
      <c r="CF387" s="3">
        <v>43075</v>
      </c>
      <c r="CI387" s="2">
        <v>1</v>
      </c>
      <c r="CJ387" s="2">
        <v>1</v>
      </c>
      <c r="CK387" s="2">
        <v>21</v>
      </c>
      <c r="CL387" s="2" t="s">
        <v>89</v>
      </c>
    </row>
    <row r="388" spans="1:90">
      <c r="A388" s="2" t="s">
        <v>71</v>
      </c>
      <c r="B388" s="2" t="s">
        <v>72</v>
      </c>
      <c r="C388" s="2" t="s">
        <v>73</v>
      </c>
      <c r="E388" s="2" t="str">
        <f>"FES1162593295"</f>
        <v>FES1162593295</v>
      </c>
      <c r="F388" s="3">
        <v>43070</v>
      </c>
      <c r="G388" s="2">
        <v>201806</v>
      </c>
      <c r="H388" s="2" t="s">
        <v>74</v>
      </c>
      <c r="I388" s="2" t="s">
        <v>75</v>
      </c>
      <c r="J388" s="2" t="s">
        <v>97</v>
      </c>
      <c r="K388" s="2" t="s">
        <v>77</v>
      </c>
      <c r="L388" s="2" t="s">
        <v>125</v>
      </c>
      <c r="M388" s="2" t="s">
        <v>126</v>
      </c>
      <c r="N388" s="2" t="s">
        <v>858</v>
      </c>
      <c r="O388" s="2" t="s">
        <v>101</v>
      </c>
      <c r="P388" s="2" t="str">
        <f>"2170605588                    "</f>
        <v xml:space="preserve">2170605588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5.65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45.15</v>
      </c>
      <c r="BM388" s="2">
        <v>6.32</v>
      </c>
      <c r="BN388" s="2">
        <v>51.47</v>
      </c>
      <c r="BO388" s="2">
        <v>51.47</v>
      </c>
      <c r="BQ388" s="2" t="s">
        <v>82</v>
      </c>
      <c r="BR388" s="2" t="s">
        <v>103</v>
      </c>
      <c r="BS388" s="3">
        <v>43073</v>
      </c>
      <c r="BT388" s="4">
        <v>0.38055555555555554</v>
      </c>
      <c r="BU388" s="2" t="s">
        <v>859</v>
      </c>
      <c r="BV388" s="2" t="s">
        <v>85</v>
      </c>
      <c r="BY388" s="2">
        <v>1200</v>
      </c>
      <c r="BZ388" s="2" t="s">
        <v>27</v>
      </c>
      <c r="CA388" s="2" t="s">
        <v>666</v>
      </c>
      <c r="CC388" s="2" t="s">
        <v>126</v>
      </c>
      <c r="CD388" s="2">
        <v>4001</v>
      </c>
      <c r="CE388" s="2" t="s">
        <v>120</v>
      </c>
      <c r="CF388" s="3">
        <v>43074</v>
      </c>
      <c r="CI388" s="2">
        <v>1</v>
      </c>
      <c r="CJ388" s="2">
        <v>1</v>
      </c>
      <c r="CK388" s="2">
        <v>21</v>
      </c>
      <c r="CL388" s="2" t="s">
        <v>89</v>
      </c>
    </row>
    <row r="389" spans="1:90">
      <c r="A389" s="2" t="s">
        <v>71</v>
      </c>
      <c r="B389" s="2" t="s">
        <v>72</v>
      </c>
      <c r="C389" s="2" t="s">
        <v>73</v>
      </c>
      <c r="E389" s="2" t="str">
        <f>"FES1162593347"</f>
        <v>FES1162593347</v>
      </c>
      <c r="F389" s="3">
        <v>43073</v>
      </c>
      <c r="G389" s="2">
        <v>201806</v>
      </c>
      <c r="H389" s="2" t="s">
        <v>74</v>
      </c>
      <c r="I389" s="2" t="s">
        <v>75</v>
      </c>
      <c r="J389" s="2" t="s">
        <v>97</v>
      </c>
      <c r="K389" s="2" t="s">
        <v>77</v>
      </c>
      <c r="L389" s="2" t="s">
        <v>173</v>
      </c>
      <c r="M389" s="2" t="s">
        <v>174</v>
      </c>
      <c r="N389" s="2" t="s">
        <v>376</v>
      </c>
      <c r="O389" s="2" t="s">
        <v>101</v>
      </c>
      <c r="P389" s="2" t="str">
        <f>"2170601746                    "</f>
        <v xml:space="preserve">2170601746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5.65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2</v>
      </c>
      <c r="BJ389" s="2">
        <v>0.9</v>
      </c>
      <c r="BK389" s="2">
        <v>2</v>
      </c>
      <c r="BL389" s="2">
        <v>45.15</v>
      </c>
      <c r="BM389" s="2">
        <v>6.32</v>
      </c>
      <c r="BN389" s="2">
        <v>51.47</v>
      </c>
      <c r="BO389" s="2">
        <v>51.47</v>
      </c>
      <c r="BQ389" s="2" t="s">
        <v>102</v>
      </c>
      <c r="BR389" s="2" t="s">
        <v>103</v>
      </c>
      <c r="BS389" s="3">
        <v>43074</v>
      </c>
      <c r="BT389" s="4">
        <v>0.49652777777777773</v>
      </c>
      <c r="BU389" s="2" t="s">
        <v>536</v>
      </c>
      <c r="BV389" s="2" t="s">
        <v>89</v>
      </c>
      <c r="BW389" s="2" t="s">
        <v>149</v>
      </c>
      <c r="BX389" s="2" t="s">
        <v>246</v>
      </c>
      <c r="BY389" s="2">
        <v>4581.04</v>
      </c>
      <c r="BZ389" s="2" t="s">
        <v>27</v>
      </c>
      <c r="CA389" s="2" t="s">
        <v>537</v>
      </c>
      <c r="CC389" s="2" t="s">
        <v>174</v>
      </c>
      <c r="CD389" s="2">
        <v>7490</v>
      </c>
      <c r="CE389" s="2" t="s">
        <v>87</v>
      </c>
      <c r="CF389" s="3">
        <v>43075</v>
      </c>
      <c r="CI389" s="2">
        <v>1</v>
      </c>
      <c r="CJ389" s="2">
        <v>1</v>
      </c>
      <c r="CK389" s="2">
        <v>21</v>
      </c>
      <c r="CL389" s="2" t="s">
        <v>89</v>
      </c>
    </row>
    <row r="390" spans="1:90">
      <c r="A390" s="2" t="s">
        <v>71</v>
      </c>
      <c r="B390" s="2" t="s">
        <v>72</v>
      </c>
      <c r="C390" s="2" t="s">
        <v>73</v>
      </c>
      <c r="E390" s="2" t="str">
        <f>"FES1162593105"</f>
        <v>FES1162593105</v>
      </c>
      <c r="F390" s="3">
        <v>43070</v>
      </c>
      <c r="G390" s="2">
        <v>201806</v>
      </c>
      <c r="H390" s="2" t="s">
        <v>74</v>
      </c>
      <c r="I390" s="2" t="s">
        <v>75</v>
      </c>
      <c r="J390" s="2" t="s">
        <v>97</v>
      </c>
      <c r="K390" s="2" t="s">
        <v>77</v>
      </c>
      <c r="L390" s="2" t="s">
        <v>212</v>
      </c>
      <c r="M390" s="2" t="s">
        <v>212</v>
      </c>
      <c r="N390" s="2" t="s">
        <v>370</v>
      </c>
      <c r="O390" s="2" t="s">
        <v>101</v>
      </c>
      <c r="P390" s="2" t="str">
        <f>"2170605454                    "</f>
        <v xml:space="preserve">2170605454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8.4700000000000006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3</v>
      </c>
      <c r="BJ390" s="2">
        <v>1</v>
      </c>
      <c r="BK390" s="2">
        <v>3</v>
      </c>
      <c r="BL390" s="2">
        <v>67.709999999999994</v>
      </c>
      <c r="BM390" s="2">
        <v>9.48</v>
      </c>
      <c r="BN390" s="2">
        <v>77.19</v>
      </c>
      <c r="BO390" s="2">
        <v>77.19</v>
      </c>
      <c r="BQ390" s="2" t="s">
        <v>102</v>
      </c>
      <c r="BR390" s="2" t="s">
        <v>103</v>
      </c>
      <c r="BS390" s="3">
        <v>43073</v>
      </c>
      <c r="BT390" s="4">
        <v>0.58263888888888882</v>
      </c>
      <c r="BU390" s="2" t="s">
        <v>538</v>
      </c>
      <c r="BV390" s="2" t="s">
        <v>85</v>
      </c>
      <c r="BY390" s="2">
        <v>4804.8</v>
      </c>
      <c r="BZ390" s="2" t="s">
        <v>27</v>
      </c>
      <c r="CA390" s="2" t="s">
        <v>532</v>
      </c>
      <c r="CC390" s="2" t="s">
        <v>212</v>
      </c>
      <c r="CD390" s="2">
        <v>7646</v>
      </c>
      <c r="CE390" s="2" t="s">
        <v>87</v>
      </c>
      <c r="CF390" s="3">
        <v>43074</v>
      </c>
      <c r="CI390" s="2">
        <v>1</v>
      </c>
      <c r="CJ390" s="2">
        <v>1</v>
      </c>
      <c r="CK390" s="2">
        <v>21</v>
      </c>
      <c r="CL390" s="2" t="s">
        <v>89</v>
      </c>
    </row>
    <row r="391" spans="1:90">
      <c r="A391" s="2" t="s">
        <v>71</v>
      </c>
      <c r="B391" s="2" t="s">
        <v>72</v>
      </c>
      <c r="C391" s="2" t="s">
        <v>73</v>
      </c>
      <c r="E391" s="2" t="str">
        <f>"FES1162593383"</f>
        <v>FES1162593383</v>
      </c>
      <c r="F391" s="3">
        <v>43073</v>
      </c>
      <c r="G391" s="2">
        <v>201806</v>
      </c>
      <c r="H391" s="2" t="s">
        <v>74</v>
      </c>
      <c r="I391" s="2" t="s">
        <v>75</v>
      </c>
      <c r="J391" s="2" t="s">
        <v>97</v>
      </c>
      <c r="K391" s="2" t="s">
        <v>77</v>
      </c>
      <c r="L391" s="2" t="s">
        <v>173</v>
      </c>
      <c r="M391" s="2" t="s">
        <v>174</v>
      </c>
      <c r="N391" s="2" t="s">
        <v>349</v>
      </c>
      <c r="O391" s="2" t="s">
        <v>101</v>
      </c>
      <c r="P391" s="2" t="str">
        <f>"2170602972                    "</f>
        <v xml:space="preserve">2170602972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5.65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0.8</v>
      </c>
      <c r="BJ391" s="2">
        <v>1.6</v>
      </c>
      <c r="BK391" s="2">
        <v>2</v>
      </c>
      <c r="BL391" s="2">
        <v>45.15</v>
      </c>
      <c r="BM391" s="2">
        <v>6.32</v>
      </c>
      <c r="BN391" s="2">
        <v>51.47</v>
      </c>
      <c r="BO391" s="2">
        <v>51.47</v>
      </c>
      <c r="BQ391" s="2" t="s">
        <v>879</v>
      </c>
      <c r="BR391" s="2" t="s">
        <v>103</v>
      </c>
      <c r="BS391" s="3">
        <v>43074</v>
      </c>
      <c r="BT391" s="4">
        <v>0.41666666666666669</v>
      </c>
      <c r="BU391" s="2" t="s">
        <v>880</v>
      </c>
      <c r="BV391" s="2" t="s">
        <v>85</v>
      </c>
      <c r="BY391" s="2">
        <v>7992.87</v>
      </c>
      <c r="BZ391" s="2" t="s">
        <v>27</v>
      </c>
      <c r="CC391" s="2" t="s">
        <v>174</v>
      </c>
      <c r="CD391" s="2">
        <v>7800</v>
      </c>
      <c r="CE391" s="2" t="s">
        <v>95</v>
      </c>
      <c r="CF391" s="3">
        <v>43075</v>
      </c>
      <c r="CI391" s="2">
        <v>1</v>
      </c>
      <c r="CJ391" s="2">
        <v>1</v>
      </c>
      <c r="CK391" s="2">
        <v>21</v>
      </c>
      <c r="CL391" s="2" t="s">
        <v>89</v>
      </c>
    </row>
    <row r="392" spans="1:90">
      <c r="A392" s="2" t="s">
        <v>71</v>
      </c>
      <c r="B392" s="2" t="s">
        <v>72</v>
      </c>
      <c r="C392" s="2" t="s">
        <v>73</v>
      </c>
      <c r="E392" s="2" t="str">
        <f>"FES1162593102"</f>
        <v>FES1162593102</v>
      </c>
      <c r="F392" s="3">
        <v>43070</v>
      </c>
      <c r="G392" s="2">
        <v>201806</v>
      </c>
      <c r="H392" s="2" t="s">
        <v>74</v>
      </c>
      <c r="I392" s="2" t="s">
        <v>75</v>
      </c>
      <c r="J392" s="2" t="s">
        <v>97</v>
      </c>
      <c r="K392" s="2" t="s">
        <v>77</v>
      </c>
      <c r="L392" s="2" t="s">
        <v>152</v>
      </c>
      <c r="M392" s="2" t="s">
        <v>153</v>
      </c>
      <c r="N392" s="2" t="s">
        <v>881</v>
      </c>
      <c r="O392" s="2" t="s">
        <v>101</v>
      </c>
      <c r="P392" s="2" t="str">
        <f>"2170605239                    "</f>
        <v xml:space="preserve">2170605239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4.41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35.270000000000003</v>
      </c>
      <c r="BM392" s="2">
        <v>4.9400000000000004</v>
      </c>
      <c r="BN392" s="2">
        <v>40.21</v>
      </c>
      <c r="BO392" s="2">
        <v>40.21</v>
      </c>
      <c r="BQ392" s="2" t="s">
        <v>102</v>
      </c>
      <c r="BR392" s="2" t="s">
        <v>103</v>
      </c>
      <c r="BS392" s="3">
        <v>43073</v>
      </c>
      <c r="BT392" s="4">
        <v>0.4375</v>
      </c>
      <c r="BU392" s="2" t="s">
        <v>882</v>
      </c>
      <c r="BV392" s="2" t="s">
        <v>85</v>
      </c>
      <c r="BY392" s="2">
        <v>1200</v>
      </c>
      <c r="CC392" s="2" t="s">
        <v>153</v>
      </c>
      <c r="CD392" s="2">
        <v>1428</v>
      </c>
      <c r="CE392" s="2" t="s">
        <v>120</v>
      </c>
      <c r="CF392" s="3">
        <v>43075</v>
      </c>
      <c r="CI392" s="2">
        <v>1</v>
      </c>
      <c r="CJ392" s="2">
        <v>1</v>
      </c>
      <c r="CK392" s="2">
        <v>22</v>
      </c>
      <c r="CL392" s="2" t="s">
        <v>89</v>
      </c>
    </row>
    <row r="393" spans="1:90">
      <c r="A393" s="2" t="s">
        <v>71</v>
      </c>
      <c r="B393" s="2" t="s">
        <v>72</v>
      </c>
      <c r="C393" s="2" t="s">
        <v>73</v>
      </c>
      <c r="E393" s="2" t="str">
        <f>"FES1162593326"</f>
        <v>FES1162593326</v>
      </c>
      <c r="F393" s="3">
        <v>43073</v>
      </c>
      <c r="G393" s="2">
        <v>201806</v>
      </c>
      <c r="H393" s="2" t="s">
        <v>74</v>
      </c>
      <c r="I393" s="2" t="s">
        <v>75</v>
      </c>
      <c r="J393" s="2" t="s">
        <v>97</v>
      </c>
      <c r="K393" s="2" t="s">
        <v>77</v>
      </c>
      <c r="L393" s="2" t="s">
        <v>883</v>
      </c>
      <c r="M393" s="2" t="s">
        <v>884</v>
      </c>
      <c r="N393" s="2" t="s">
        <v>885</v>
      </c>
      <c r="O393" s="2" t="s">
        <v>101</v>
      </c>
      <c r="P393" s="2" t="str">
        <f>"2170603357                    "</f>
        <v xml:space="preserve">2170603357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7.06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2.2999999999999998</v>
      </c>
      <c r="BJ393" s="2">
        <v>1.5</v>
      </c>
      <c r="BK393" s="2">
        <v>2.5</v>
      </c>
      <c r="BL393" s="2">
        <v>56.43</v>
      </c>
      <c r="BM393" s="2">
        <v>7.9</v>
      </c>
      <c r="BN393" s="2">
        <v>64.33</v>
      </c>
      <c r="BO393" s="2">
        <v>64.33</v>
      </c>
      <c r="BQ393" s="2" t="s">
        <v>886</v>
      </c>
      <c r="BR393" s="2" t="s">
        <v>103</v>
      </c>
      <c r="BS393" s="3">
        <v>43074</v>
      </c>
      <c r="BT393" s="4">
        <v>0.41666666666666669</v>
      </c>
      <c r="BU393" s="2" t="s">
        <v>554</v>
      </c>
      <c r="BV393" s="2" t="s">
        <v>85</v>
      </c>
      <c r="BY393" s="2">
        <v>7393.59</v>
      </c>
      <c r="BZ393" s="2" t="s">
        <v>27</v>
      </c>
      <c r="CA393" s="2" t="s">
        <v>887</v>
      </c>
      <c r="CC393" s="2" t="s">
        <v>884</v>
      </c>
      <c r="CD393" s="2">
        <v>7599</v>
      </c>
      <c r="CE393" s="2" t="s">
        <v>87</v>
      </c>
      <c r="CF393" s="3">
        <v>43075</v>
      </c>
      <c r="CI393" s="2">
        <v>1</v>
      </c>
      <c r="CJ393" s="2">
        <v>1</v>
      </c>
      <c r="CK393" s="2">
        <v>21</v>
      </c>
      <c r="CL393" s="2" t="s">
        <v>89</v>
      </c>
    </row>
    <row r="394" spans="1:90">
      <c r="A394" s="2" t="s">
        <v>71</v>
      </c>
      <c r="B394" s="2" t="s">
        <v>72</v>
      </c>
      <c r="C394" s="2" t="s">
        <v>73</v>
      </c>
      <c r="E394" s="2" t="str">
        <f>"FES1162593076"</f>
        <v>FES1162593076</v>
      </c>
      <c r="F394" s="3">
        <v>43070</v>
      </c>
      <c r="G394" s="2">
        <v>201806</v>
      </c>
      <c r="H394" s="2" t="s">
        <v>74</v>
      </c>
      <c r="I394" s="2" t="s">
        <v>75</v>
      </c>
      <c r="J394" s="2" t="s">
        <v>97</v>
      </c>
      <c r="K394" s="2" t="s">
        <v>77</v>
      </c>
      <c r="L394" s="2" t="s">
        <v>566</v>
      </c>
      <c r="M394" s="2" t="s">
        <v>567</v>
      </c>
      <c r="N394" s="2" t="s">
        <v>888</v>
      </c>
      <c r="O394" s="2" t="s">
        <v>101</v>
      </c>
      <c r="P394" s="2" t="str">
        <f>"2170605428                    "</f>
        <v xml:space="preserve">2170605428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7.94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1</v>
      </c>
      <c r="BJ394" s="2">
        <v>0.2</v>
      </c>
      <c r="BK394" s="2">
        <v>1</v>
      </c>
      <c r="BL394" s="2">
        <v>63.49</v>
      </c>
      <c r="BM394" s="2">
        <v>8.89</v>
      </c>
      <c r="BN394" s="2">
        <v>72.38</v>
      </c>
      <c r="BO394" s="2">
        <v>72.38</v>
      </c>
      <c r="BQ394" s="2" t="s">
        <v>102</v>
      </c>
      <c r="BR394" s="2" t="s">
        <v>103</v>
      </c>
      <c r="BS394" s="3">
        <v>43073</v>
      </c>
      <c r="BT394" s="4">
        <v>0.4375</v>
      </c>
      <c r="BU394" s="2" t="s">
        <v>889</v>
      </c>
      <c r="BV394" s="2" t="s">
        <v>85</v>
      </c>
      <c r="BY394" s="2">
        <v>1200</v>
      </c>
      <c r="CA394" s="2" t="s">
        <v>890</v>
      </c>
      <c r="CC394" s="2" t="s">
        <v>567</v>
      </c>
      <c r="CD394" s="2">
        <v>1739</v>
      </c>
      <c r="CE394" s="2" t="s">
        <v>120</v>
      </c>
      <c r="CF394" s="3">
        <v>43075</v>
      </c>
      <c r="CI394" s="2">
        <v>1</v>
      </c>
      <c r="CJ394" s="2">
        <v>1</v>
      </c>
      <c r="CK394" s="2">
        <v>24</v>
      </c>
      <c r="CL394" s="2" t="s">
        <v>89</v>
      </c>
    </row>
    <row r="395" spans="1:90">
      <c r="A395" s="2" t="s">
        <v>71</v>
      </c>
      <c r="B395" s="2" t="s">
        <v>72</v>
      </c>
      <c r="C395" s="2" t="s">
        <v>73</v>
      </c>
      <c r="E395" s="2" t="str">
        <f>"FES1162593391"</f>
        <v>FES1162593391</v>
      </c>
      <c r="F395" s="3">
        <v>43073</v>
      </c>
      <c r="G395" s="2">
        <v>201806</v>
      </c>
      <c r="H395" s="2" t="s">
        <v>74</v>
      </c>
      <c r="I395" s="2" t="s">
        <v>75</v>
      </c>
      <c r="J395" s="2" t="s">
        <v>97</v>
      </c>
      <c r="K395" s="2" t="s">
        <v>77</v>
      </c>
      <c r="L395" s="2" t="s">
        <v>173</v>
      </c>
      <c r="M395" s="2" t="s">
        <v>174</v>
      </c>
      <c r="N395" s="2" t="s">
        <v>376</v>
      </c>
      <c r="O395" s="2" t="s">
        <v>101</v>
      </c>
      <c r="P395" s="2" t="str">
        <f>"2170603013                    "</f>
        <v xml:space="preserve">2170603013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5.65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0.8</v>
      </c>
      <c r="BJ395" s="2">
        <v>1.7</v>
      </c>
      <c r="BK395" s="2">
        <v>2</v>
      </c>
      <c r="BL395" s="2">
        <v>45.15</v>
      </c>
      <c r="BM395" s="2">
        <v>6.32</v>
      </c>
      <c r="BN395" s="2">
        <v>51.47</v>
      </c>
      <c r="BO395" s="2">
        <v>51.47</v>
      </c>
      <c r="BQ395" s="2" t="s">
        <v>102</v>
      </c>
      <c r="BR395" s="2" t="s">
        <v>103</v>
      </c>
      <c r="BS395" s="3">
        <v>43074</v>
      </c>
      <c r="BT395" s="4">
        <v>0.49652777777777773</v>
      </c>
      <c r="BU395" s="2" t="s">
        <v>536</v>
      </c>
      <c r="BV395" s="2" t="s">
        <v>89</v>
      </c>
      <c r="BW395" s="2" t="s">
        <v>149</v>
      </c>
      <c r="BX395" s="2" t="s">
        <v>246</v>
      </c>
      <c r="BY395" s="2">
        <v>8717.18</v>
      </c>
      <c r="BZ395" s="2" t="s">
        <v>27</v>
      </c>
      <c r="CA395" s="2" t="s">
        <v>537</v>
      </c>
      <c r="CC395" s="2" t="s">
        <v>174</v>
      </c>
      <c r="CD395" s="2">
        <v>7490</v>
      </c>
      <c r="CE395" s="2" t="s">
        <v>95</v>
      </c>
      <c r="CF395" s="3">
        <v>43075</v>
      </c>
      <c r="CI395" s="2">
        <v>1</v>
      </c>
      <c r="CJ395" s="2">
        <v>1</v>
      </c>
      <c r="CK395" s="2">
        <v>21</v>
      </c>
      <c r="CL395" s="2" t="s">
        <v>89</v>
      </c>
    </row>
    <row r="396" spans="1:90">
      <c r="A396" s="2" t="s">
        <v>71</v>
      </c>
      <c r="B396" s="2" t="s">
        <v>72</v>
      </c>
      <c r="C396" s="2" t="s">
        <v>73</v>
      </c>
      <c r="E396" s="2" t="str">
        <f>"FES1162593150"</f>
        <v>FES1162593150</v>
      </c>
      <c r="F396" s="3">
        <v>43070</v>
      </c>
      <c r="G396" s="2">
        <v>201806</v>
      </c>
      <c r="H396" s="2" t="s">
        <v>74</v>
      </c>
      <c r="I396" s="2" t="s">
        <v>75</v>
      </c>
      <c r="J396" s="2" t="s">
        <v>97</v>
      </c>
      <c r="K396" s="2" t="s">
        <v>77</v>
      </c>
      <c r="L396" s="2" t="s">
        <v>566</v>
      </c>
      <c r="M396" s="2" t="s">
        <v>567</v>
      </c>
      <c r="N396" s="2" t="s">
        <v>891</v>
      </c>
      <c r="O396" s="2" t="s">
        <v>101</v>
      </c>
      <c r="P396" s="2" t="str">
        <f>"2170602947                    "</f>
        <v xml:space="preserve">2170602947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7.94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0.2</v>
      </c>
      <c r="BK396" s="2">
        <v>1</v>
      </c>
      <c r="BL396" s="2">
        <v>63.49</v>
      </c>
      <c r="BM396" s="2">
        <v>8.89</v>
      </c>
      <c r="BN396" s="2">
        <v>72.38</v>
      </c>
      <c r="BO396" s="2">
        <v>72.38</v>
      </c>
      <c r="BQ396" s="2" t="s">
        <v>82</v>
      </c>
      <c r="BR396" s="2" t="s">
        <v>103</v>
      </c>
      <c r="BS396" s="3">
        <v>43073</v>
      </c>
      <c r="BT396" s="4">
        <v>0.41666666666666669</v>
      </c>
      <c r="BU396" s="2" t="s">
        <v>892</v>
      </c>
      <c r="BV396" s="2" t="s">
        <v>85</v>
      </c>
      <c r="BY396" s="2">
        <v>1200</v>
      </c>
      <c r="CC396" s="2" t="s">
        <v>567</v>
      </c>
      <c r="CD396" s="2">
        <v>1754</v>
      </c>
      <c r="CE396" s="2" t="s">
        <v>120</v>
      </c>
      <c r="CF396" s="3">
        <v>43075</v>
      </c>
      <c r="CI396" s="2">
        <v>1</v>
      </c>
      <c r="CJ396" s="2">
        <v>1</v>
      </c>
      <c r="CK396" s="2">
        <v>24</v>
      </c>
      <c r="CL396" s="2" t="s">
        <v>89</v>
      </c>
    </row>
    <row r="397" spans="1:90">
      <c r="A397" s="2" t="s">
        <v>71</v>
      </c>
      <c r="B397" s="2" t="s">
        <v>72</v>
      </c>
      <c r="C397" s="2" t="s">
        <v>73</v>
      </c>
      <c r="E397" s="2" t="str">
        <f>"FES1162593117"</f>
        <v>FES1162593117</v>
      </c>
      <c r="F397" s="3">
        <v>43070</v>
      </c>
      <c r="G397" s="2">
        <v>201806</v>
      </c>
      <c r="H397" s="2" t="s">
        <v>74</v>
      </c>
      <c r="I397" s="2" t="s">
        <v>75</v>
      </c>
      <c r="J397" s="2" t="s">
        <v>97</v>
      </c>
      <c r="K397" s="2" t="s">
        <v>77</v>
      </c>
      <c r="L397" s="2" t="s">
        <v>74</v>
      </c>
      <c r="M397" s="2" t="s">
        <v>75</v>
      </c>
      <c r="N397" s="2" t="s">
        <v>204</v>
      </c>
      <c r="O397" s="2" t="s">
        <v>101</v>
      </c>
      <c r="P397" s="2" t="str">
        <f>"2170602655                    "</f>
        <v xml:space="preserve">2170602655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4.41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35.270000000000003</v>
      </c>
      <c r="BM397" s="2">
        <v>4.9400000000000004</v>
      </c>
      <c r="BN397" s="2">
        <v>40.21</v>
      </c>
      <c r="BO397" s="2">
        <v>40.21</v>
      </c>
      <c r="BQ397" s="2" t="s">
        <v>102</v>
      </c>
      <c r="BR397" s="2" t="s">
        <v>103</v>
      </c>
      <c r="BS397" s="3">
        <v>43073</v>
      </c>
      <c r="BT397" s="4">
        <v>0.30208333333333331</v>
      </c>
      <c r="BU397" s="2" t="s">
        <v>205</v>
      </c>
      <c r="BV397" s="2" t="s">
        <v>85</v>
      </c>
      <c r="BY397" s="2">
        <v>1200</v>
      </c>
      <c r="CA397" s="2" t="s">
        <v>206</v>
      </c>
      <c r="CC397" s="2" t="s">
        <v>75</v>
      </c>
      <c r="CD397" s="2">
        <v>1645</v>
      </c>
      <c r="CE397" s="2" t="s">
        <v>120</v>
      </c>
      <c r="CF397" s="3">
        <v>43075</v>
      </c>
      <c r="CI397" s="2">
        <v>1</v>
      </c>
      <c r="CJ397" s="2">
        <v>1</v>
      </c>
      <c r="CK397" s="2">
        <v>22</v>
      </c>
      <c r="CL397" s="2" t="s">
        <v>89</v>
      </c>
    </row>
    <row r="398" spans="1:90">
      <c r="A398" s="2" t="s">
        <v>71</v>
      </c>
      <c r="B398" s="2" t="s">
        <v>72</v>
      </c>
      <c r="C398" s="2" t="s">
        <v>73</v>
      </c>
      <c r="E398" s="2" t="str">
        <f>"FES1162593241"</f>
        <v>FES1162593241</v>
      </c>
      <c r="F398" s="3">
        <v>43073</v>
      </c>
      <c r="G398" s="2">
        <v>201806</v>
      </c>
      <c r="H398" s="2" t="s">
        <v>74</v>
      </c>
      <c r="I398" s="2" t="s">
        <v>75</v>
      </c>
      <c r="J398" s="2" t="s">
        <v>97</v>
      </c>
      <c r="K398" s="2" t="s">
        <v>77</v>
      </c>
      <c r="L398" s="2" t="s">
        <v>189</v>
      </c>
      <c r="M398" s="2" t="s">
        <v>190</v>
      </c>
      <c r="N398" s="2" t="s">
        <v>199</v>
      </c>
      <c r="O398" s="2" t="s">
        <v>101</v>
      </c>
      <c r="P398" s="2" t="str">
        <f>"2170605539                    "</f>
        <v xml:space="preserve">2170605539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8.4700000000000006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1.8</v>
      </c>
      <c r="BJ398" s="2">
        <v>2.9</v>
      </c>
      <c r="BK398" s="2">
        <v>3</v>
      </c>
      <c r="BL398" s="2">
        <v>67.709999999999994</v>
      </c>
      <c r="BM398" s="2">
        <v>9.48</v>
      </c>
      <c r="BN398" s="2">
        <v>77.19</v>
      </c>
      <c r="BO398" s="2">
        <v>77.19</v>
      </c>
      <c r="BQ398" s="2" t="s">
        <v>102</v>
      </c>
      <c r="BR398" s="2" t="s">
        <v>103</v>
      </c>
      <c r="BS398" s="3">
        <v>43074</v>
      </c>
      <c r="BT398" s="4">
        <v>0.51180555555555551</v>
      </c>
      <c r="BU398" s="2" t="s">
        <v>667</v>
      </c>
      <c r="BV398" s="2" t="s">
        <v>89</v>
      </c>
      <c r="BW398" s="2" t="s">
        <v>156</v>
      </c>
      <c r="BX398" s="2" t="s">
        <v>668</v>
      </c>
      <c r="BY398" s="2">
        <v>14390.94</v>
      </c>
      <c r="BZ398" s="2" t="s">
        <v>27</v>
      </c>
      <c r="CA398" s="2" t="s">
        <v>669</v>
      </c>
      <c r="CC398" s="2" t="s">
        <v>190</v>
      </c>
      <c r="CD398" s="2">
        <v>157</v>
      </c>
      <c r="CE398" s="2" t="s">
        <v>87</v>
      </c>
      <c r="CF398" s="3">
        <v>43076</v>
      </c>
      <c r="CI398" s="2">
        <v>1</v>
      </c>
      <c r="CJ398" s="2">
        <v>1</v>
      </c>
      <c r="CK398" s="2">
        <v>21</v>
      </c>
      <c r="CL398" s="2" t="s">
        <v>89</v>
      </c>
    </row>
    <row r="399" spans="1:90">
      <c r="A399" s="2" t="s">
        <v>71</v>
      </c>
      <c r="B399" s="2" t="s">
        <v>72</v>
      </c>
      <c r="C399" s="2" t="s">
        <v>73</v>
      </c>
      <c r="E399" s="2" t="str">
        <f>"FES1162593127"</f>
        <v>FES1162593127</v>
      </c>
      <c r="F399" s="3">
        <v>43070</v>
      </c>
      <c r="G399" s="2">
        <v>201806</v>
      </c>
      <c r="H399" s="2" t="s">
        <v>74</v>
      </c>
      <c r="I399" s="2" t="s">
        <v>75</v>
      </c>
      <c r="J399" s="2" t="s">
        <v>97</v>
      </c>
      <c r="K399" s="2" t="s">
        <v>77</v>
      </c>
      <c r="L399" s="2" t="s">
        <v>566</v>
      </c>
      <c r="M399" s="2" t="s">
        <v>567</v>
      </c>
      <c r="N399" s="2" t="s">
        <v>164</v>
      </c>
      <c r="O399" s="2" t="s">
        <v>101</v>
      </c>
      <c r="P399" s="2" t="str">
        <f>"2170602963                    "</f>
        <v xml:space="preserve">2170602963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7.94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1</v>
      </c>
      <c r="BJ399" s="2">
        <v>0.2</v>
      </c>
      <c r="BK399" s="2">
        <v>1</v>
      </c>
      <c r="BL399" s="2">
        <v>63.49</v>
      </c>
      <c r="BM399" s="2">
        <v>8.89</v>
      </c>
      <c r="BN399" s="2">
        <v>72.38</v>
      </c>
      <c r="BO399" s="2">
        <v>72.38</v>
      </c>
      <c r="BQ399" s="2" t="s">
        <v>102</v>
      </c>
      <c r="BR399" s="2" t="s">
        <v>103</v>
      </c>
      <c r="BS399" s="3">
        <v>43073</v>
      </c>
      <c r="BT399" s="4">
        <v>0.41666666666666669</v>
      </c>
      <c r="BU399" s="2" t="s">
        <v>641</v>
      </c>
      <c r="BV399" s="2" t="s">
        <v>85</v>
      </c>
      <c r="BY399" s="2">
        <v>1200</v>
      </c>
      <c r="CC399" s="2" t="s">
        <v>567</v>
      </c>
      <c r="CD399" s="2">
        <v>1754</v>
      </c>
      <c r="CE399" s="2" t="s">
        <v>120</v>
      </c>
      <c r="CF399" s="3">
        <v>43075</v>
      </c>
      <c r="CI399" s="2">
        <v>1</v>
      </c>
      <c r="CJ399" s="2">
        <v>1</v>
      </c>
      <c r="CK399" s="2">
        <v>24</v>
      </c>
      <c r="CL399" s="2" t="s">
        <v>89</v>
      </c>
    </row>
    <row r="400" spans="1:90">
      <c r="A400" s="2" t="s">
        <v>71</v>
      </c>
      <c r="B400" s="2" t="s">
        <v>72</v>
      </c>
      <c r="C400" s="2" t="s">
        <v>73</v>
      </c>
      <c r="E400" s="2" t="str">
        <f>"FES1162593224"</f>
        <v>FES1162593224</v>
      </c>
      <c r="F400" s="3">
        <v>43073</v>
      </c>
      <c r="G400" s="2">
        <v>201806</v>
      </c>
      <c r="H400" s="2" t="s">
        <v>74</v>
      </c>
      <c r="I400" s="2" t="s">
        <v>75</v>
      </c>
      <c r="J400" s="2" t="s">
        <v>97</v>
      </c>
      <c r="K400" s="2" t="s">
        <v>77</v>
      </c>
      <c r="L400" s="2" t="s">
        <v>158</v>
      </c>
      <c r="M400" s="2" t="s">
        <v>159</v>
      </c>
      <c r="N400" s="2" t="s">
        <v>615</v>
      </c>
      <c r="O400" s="2" t="s">
        <v>101</v>
      </c>
      <c r="P400" s="2" t="str">
        <f>"2170605502                    "</f>
        <v xml:space="preserve">2170605502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5.65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</v>
      </c>
      <c r="BJ400" s="2">
        <v>0.2</v>
      </c>
      <c r="BK400" s="2">
        <v>1</v>
      </c>
      <c r="BL400" s="2">
        <v>45.15</v>
      </c>
      <c r="BM400" s="2">
        <v>6.32</v>
      </c>
      <c r="BN400" s="2">
        <v>51.47</v>
      </c>
      <c r="BO400" s="2">
        <v>51.47</v>
      </c>
      <c r="BQ400" s="2" t="s">
        <v>102</v>
      </c>
      <c r="BR400" s="2" t="s">
        <v>103</v>
      </c>
      <c r="BS400" s="3">
        <v>43074</v>
      </c>
      <c r="BT400" s="4">
        <v>0.41666666666666669</v>
      </c>
      <c r="BU400" s="2" t="s">
        <v>893</v>
      </c>
      <c r="BV400" s="2" t="s">
        <v>85</v>
      </c>
      <c r="BY400" s="2">
        <v>1200</v>
      </c>
      <c r="BZ400" s="2" t="s">
        <v>27</v>
      </c>
      <c r="CC400" s="2" t="s">
        <v>159</v>
      </c>
      <c r="CD400" s="2">
        <v>200</v>
      </c>
      <c r="CE400" s="2" t="s">
        <v>120</v>
      </c>
      <c r="CF400" s="3">
        <v>43075</v>
      </c>
      <c r="CI400" s="2">
        <v>1</v>
      </c>
      <c r="CJ400" s="2">
        <v>1</v>
      </c>
      <c r="CK400" s="2">
        <v>21</v>
      </c>
      <c r="CL400" s="2" t="s">
        <v>89</v>
      </c>
    </row>
    <row r="401" spans="1:90">
      <c r="A401" s="2" t="s">
        <v>71</v>
      </c>
      <c r="B401" s="2" t="s">
        <v>72</v>
      </c>
      <c r="C401" s="2" t="s">
        <v>73</v>
      </c>
      <c r="E401" s="2" t="str">
        <f>"FES1162593162"</f>
        <v>FES1162593162</v>
      </c>
      <c r="F401" s="3">
        <v>43070</v>
      </c>
      <c r="G401" s="2">
        <v>201806</v>
      </c>
      <c r="H401" s="2" t="s">
        <v>74</v>
      </c>
      <c r="I401" s="2" t="s">
        <v>75</v>
      </c>
      <c r="J401" s="2" t="s">
        <v>97</v>
      </c>
      <c r="K401" s="2" t="s">
        <v>77</v>
      </c>
      <c r="L401" s="2" t="s">
        <v>106</v>
      </c>
      <c r="M401" s="2" t="s">
        <v>107</v>
      </c>
      <c r="N401" s="2" t="s">
        <v>108</v>
      </c>
      <c r="O401" s="2" t="s">
        <v>101</v>
      </c>
      <c r="P401" s="2" t="str">
        <f>"2170604314                    "</f>
        <v xml:space="preserve">2170604314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4.41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2</v>
      </c>
      <c r="BJ401" s="2">
        <v>0.2</v>
      </c>
      <c r="BK401" s="2">
        <v>2</v>
      </c>
      <c r="BL401" s="2">
        <v>35.270000000000003</v>
      </c>
      <c r="BM401" s="2">
        <v>4.9400000000000004</v>
      </c>
      <c r="BN401" s="2">
        <v>40.21</v>
      </c>
      <c r="BO401" s="2">
        <v>40.21</v>
      </c>
      <c r="BQ401" s="2" t="s">
        <v>82</v>
      </c>
      <c r="BR401" s="2" t="s">
        <v>103</v>
      </c>
      <c r="BS401" s="3">
        <v>43073</v>
      </c>
      <c r="BT401" s="4">
        <v>0.39305555555555555</v>
      </c>
      <c r="BU401" s="2" t="s">
        <v>643</v>
      </c>
      <c r="BV401" s="2" t="s">
        <v>85</v>
      </c>
      <c r="BY401" s="2">
        <v>1200</v>
      </c>
      <c r="CA401" s="2" t="s">
        <v>644</v>
      </c>
      <c r="CC401" s="2" t="s">
        <v>107</v>
      </c>
      <c r="CD401" s="2">
        <v>2094</v>
      </c>
      <c r="CE401" s="2" t="s">
        <v>120</v>
      </c>
      <c r="CF401" s="3">
        <v>43075</v>
      </c>
      <c r="CI401" s="2">
        <v>1</v>
      </c>
      <c r="CJ401" s="2">
        <v>1</v>
      </c>
      <c r="CK401" s="2">
        <v>22</v>
      </c>
      <c r="CL401" s="2" t="s">
        <v>89</v>
      </c>
    </row>
    <row r="402" spans="1:90">
      <c r="A402" s="2" t="s">
        <v>71</v>
      </c>
      <c r="B402" s="2" t="s">
        <v>72</v>
      </c>
      <c r="C402" s="2" t="s">
        <v>73</v>
      </c>
      <c r="E402" s="2" t="str">
        <f>"FES1162593088"</f>
        <v>FES1162593088</v>
      </c>
      <c r="F402" s="3">
        <v>43073</v>
      </c>
      <c r="G402" s="2">
        <v>201806</v>
      </c>
      <c r="H402" s="2" t="s">
        <v>74</v>
      </c>
      <c r="I402" s="2" t="s">
        <v>75</v>
      </c>
      <c r="J402" s="2" t="s">
        <v>97</v>
      </c>
      <c r="K402" s="2" t="s">
        <v>77</v>
      </c>
      <c r="L402" s="2" t="s">
        <v>295</v>
      </c>
      <c r="M402" s="2" t="s">
        <v>296</v>
      </c>
      <c r="N402" s="2" t="s">
        <v>894</v>
      </c>
      <c r="O402" s="2" t="s">
        <v>101</v>
      </c>
      <c r="P402" s="2" t="str">
        <f>"21706027555                   "</f>
        <v xml:space="preserve">21706027555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7.94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63.49</v>
      </c>
      <c r="BM402" s="2">
        <v>8.89</v>
      </c>
      <c r="BN402" s="2">
        <v>72.38</v>
      </c>
      <c r="BO402" s="2">
        <v>72.38</v>
      </c>
      <c r="BQ402" s="2" t="s">
        <v>895</v>
      </c>
      <c r="BR402" s="2" t="s">
        <v>103</v>
      </c>
      <c r="BS402" s="3">
        <v>43074</v>
      </c>
      <c r="BT402" s="4">
        <v>0.42708333333333331</v>
      </c>
      <c r="BU402" s="2" t="s">
        <v>896</v>
      </c>
      <c r="BV402" s="2" t="s">
        <v>85</v>
      </c>
      <c r="BY402" s="2">
        <v>1200</v>
      </c>
      <c r="BZ402" s="2" t="s">
        <v>27</v>
      </c>
      <c r="CC402" s="2" t="s">
        <v>296</v>
      </c>
      <c r="CD402" s="2">
        <v>208</v>
      </c>
      <c r="CE402" s="2" t="s">
        <v>120</v>
      </c>
      <c r="CF402" s="3">
        <v>43076</v>
      </c>
      <c r="CI402" s="2">
        <v>1</v>
      </c>
      <c r="CJ402" s="2">
        <v>1</v>
      </c>
      <c r="CK402" s="2">
        <v>24</v>
      </c>
      <c r="CL402" s="2" t="s">
        <v>89</v>
      </c>
    </row>
    <row r="403" spans="1:90">
      <c r="A403" s="2" t="s">
        <v>71</v>
      </c>
      <c r="B403" s="2" t="s">
        <v>72</v>
      </c>
      <c r="C403" s="2" t="s">
        <v>73</v>
      </c>
      <c r="E403" s="2" t="str">
        <f>"FES1162593189"</f>
        <v>FES1162593189</v>
      </c>
      <c r="F403" s="3">
        <v>43073</v>
      </c>
      <c r="G403" s="2">
        <v>201806</v>
      </c>
      <c r="H403" s="2" t="s">
        <v>74</v>
      </c>
      <c r="I403" s="2" t="s">
        <v>75</v>
      </c>
      <c r="J403" s="2" t="s">
        <v>97</v>
      </c>
      <c r="K403" s="2" t="s">
        <v>77</v>
      </c>
      <c r="L403" s="2" t="s">
        <v>651</v>
      </c>
      <c r="M403" s="2" t="s">
        <v>652</v>
      </c>
      <c r="N403" s="2" t="s">
        <v>897</v>
      </c>
      <c r="O403" s="2" t="s">
        <v>101</v>
      </c>
      <c r="P403" s="2" t="str">
        <f>"2170603078                    "</f>
        <v xml:space="preserve">2170603078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7.94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63.49</v>
      </c>
      <c r="BM403" s="2">
        <v>8.89</v>
      </c>
      <c r="BN403" s="2">
        <v>72.38</v>
      </c>
      <c r="BO403" s="2">
        <v>72.38</v>
      </c>
      <c r="BQ403" s="2" t="s">
        <v>102</v>
      </c>
      <c r="BR403" s="2" t="s">
        <v>103</v>
      </c>
      <c r="BS403" s="3">
        <v>43074</v>
      </c>
      <c r="BT403" s="4">
        <v>0.47569444444444442</v>
      </c>
      <c r="BU403" s="2" t="s">
        <v>898</v>
      </c>
      <c r="BV403" s="2" t="s">
        <v>85</v>
      </c>
      <c r="BY403" s="2">
        <v>1200</v>
      </c>
      <c r="BZ403" s="2" t="s">
        <v>27</v>
      </c>
      <c r="CC403" s="2" t="s">
        <v>652</v>
      </c>
      <c r="CD403" s="2">
        <v>250</v>
      </c>
      <c r="CE403" s="2" t="s">
        <v>120</v>
      </c>
      <c r="CF403" s="3">
        <v>43077</v>
      </c>
      <c r="CI403" s="2">
        <v>1</v>
      </c>
      <c r="CJ403" s="2">
        <v>1</v>
      </c>
      <c r="CK403" s="2">
        <v>24</v>
      </c>
      <c r="CL403" s="2" t="s">
        <v>89</v>
      </c>
    </row>
    <row r="404" spans="1:90">
      <c r="A404" s="2" t="s">
        <v>71</v>
      </c>
      <c r="B404" s="2" t="s">
        <v>72</v>
      </c>
      <c r="C404" s="2" t="s">
        <v>73</v>
      </c>
      <c r="E404" s="2" t="str">
        <f>"FES1162593075"</f>
        <v>FES1162593075</v>
      </c>
      <c r="F404" s="3">
        <v>43070</v>
      </c>
      <c r="G404" s="2">
        <v>201806</v>
      </c>
      <c r="H404" s="2" t="s">
        <v>74</v>
      </c>
      <c r="I404" s="2" t="s">
        <v>75</v>
      </c>
      <c r="J404" s="2" t="s">
        <v>97</v>
      </c>
      <c r="K404" s="2" t="s">
        <v>77</v>
      </c>
      <c r="L404" s="2" t="s">
        <v>90</v>
      </c>
      <c r="M404" s="2" t="s">
        <v>91</v>
      </c>
      <c r="N404" s="2" t="s">
        <v>899</v>
      </c>
      <c r="O404" s="2" t="s">
        <v>101</v>
      </c>
      <c r="P404" s="2" t="str">
        <f>"2170605395                    "</f>
        <v xml:space="preserve">2170605395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6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2</v>
      </c>
      <c r="BI404" s="2">
        <v>10.4</v>
      </c>
      <c r="BJ404" s="2">
        <v>7.3</v>
      </c>
      <c r="BK404" s="2">
        <v>11</v>
      </c>
      <c r="BL404" s="2">
        <v>47.96</v>
      </c>
      <c r="BM404" s="2">
        <v>6.71</v>
      </c>
      <c r="BN404" s="2">
        <v>54.67</v>
      </c>
      <c r="BO404" s="2">
        <v>54.67</v>
      </c>
      <c r="BQ404" s="2" t="s">
        <v>82</v>
      </c>
      <c r="BR404" s="2" t="s">
        <v>103</v>
      </c>
      <c r="BS404" s="3">
        <v>43073</v>
      </c>
      <c r="BT404" s="4">
        <v>0.52083333333333337</v>
      </c>
      <c r="BU404" s="2" t="s">
        <v>900</v>
      </c>
      <c r="BV404" s="2" t="s">
        <v>85</v>
      </c>
      <c r="BY404" s="2">
        <v>36642.660000000003</v>
      </c>
      <c r="BZ404" s="2" t="s">
        <v>27</v>
      </c>
      <c r="CC404" s="2" t="s">
        <v>91</v>
      </c>
      <c r="CD404" s="2">
        <v>1510</v>
      </c>
      <c r="CE404" s="2" t="s">
        <v>288</v>
      </c>
      <c r="CF404" s="3">
        <v>43075</v>
      </c>
      <c r="CI404" s="2">
        <v>1</v>
      </c>
      <c r="CJ404" s="2">
        <v>1</v>
      </c>
      <c r="CK404" s="2">
        <v>22</v>
      </c>
      <c r="CL404" s="2" t="s">
        <v>89</v>
      </c>
    </row>
    <row r="405" spans="1:90">
      <c r="A405" s="2" t="s">
        <v>71</v>
      </c>
      <c r="B405" s="2" t="s">
        <v>72</v>
      </c>
      <c r="C405" s="2" t="s">
        <v>73</v>
      </c>
      <c r="E405" s="2" t="str">
        <f>"FES1162593577"</f>
        <v>FES1162593577</v>
      </c>
      <c r="F405" s="3">
        <v>43073</v>
      </c>
      <c r="G405" s="2">
        <v>201806</v>
      </c>
      <c r="H405" s="2" t="s">
        <v>74</v>
      </c>
      <c r="I405" s="2" t="s">
        <v>75</v>
      </c>
      <c r="J405" s="2" t="s">
        <v>97</v>
      </c>
      <c r="K405" s="2" t="s">
        <v>77</v>
      </c>
      <c r="L405" s="2" t="s">
        <v>145</v>
      </c>
      <c r="M405" s="2" t="s">
        <v>146</v>
      </c>
      <c r="N405" s="2" t="s">
        <v>753</v>
      </c>
      <c r="O405" s="2" t="s">
        <v>101</v>
      </c>
      <c r="P405" s="2" t="str">
        <f>"2140605687                    "</f>
        <v xml:space="preserve">2140605687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11.29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4</v>
      </c>
      <c r="BJ405" s="2">
        <v>1.9</v>
      </c>
      <c r="BK405" s="2">
        <v>4</v>
      </c>
      <c r="BL405" s="2">
        <v>90.27</v>
      </c>
      <c r="BM405" s="2">
        <v>12.64</v>
      </c>
      <c r="BN405" s="2">
        <v>102.91</v>
      </c>
      <c r="BO405" s="2">
        <v>102.91</v>
      </c>
      <c r="BQ405" s="2" t="s">
        <v>82</v>
      </c>
      <c r="BR405" s="2" t="s">
        <v>103</v>
      </c>
      <c r="BS405" s="3">
        <v>43074</v>
      </c>
      <c r="BT405" s="4">
        <v>0.42222222222222222</v>
      </c>
      <c r="BU405" s="2" t="s">
        <v>901</v>
      </c>
      <c r="BV405" s="2" t="s">
        <v>85</v>
      </c>
      <c r="BY405" s="2">
        <v>9735.86</v>
      </c>
      <c r="BZ405" s="2" t="s">
        <v>27</v>
      </c>
      <c r="CA405" s="2" t="s">
        <v>754</v>
      </c>
      <c r="CC405" s="2" t="s">
        <v>146</v>
      </c>
      <c r="CD405" s="2">
        <v>5201</v>
      </c>
      <c r="CE405" s="2" t="s">
        <v>87</v>
      </c>
      <c r="CF405" s="3">
        <v>43076</v>
      </c>
      <c r="CI405" s="2">
        <v>1</v>
      </c>
      <c r="CJ405" s="2">
        <v>1</v>
      </c>
      <c r="CK405" s="2">
        <v>21</v>
      </c>
      <c r="CL405" s="2" t="s">
        <v>89</v>
      </c>
    </row>
    <row r="406" spans="1:90">
      <c r="A406" s="2" t="s">
        <v>71</v>
      </c>
      <c r="B406" s="2" t="s">
        <v>72</v>
      </c>
      <c r="C406" s="2" t="s">
        <v>73</v>
      </c>
      <c r="E406" s="2" t="str">
        <f>"FES1162593192"</f>
        <v>FES1162593192</v>
      </c>
      <c r="F406" s="3">
        <v>43070</v>
      </c>
      <c r="G406" s="2">
        <v>201806</v>
      </c>
      <c r="H406" s="2" t="s">
        <v>74</v>
      </c>
      <c r="I406" s="2" t="s">
        <v>75</v>
      </c>
      <c r="J406" s="2" t="s">
        <v>97</v>
      </c>
      <c r="K406" s="2" t="s">
        <v>77</v>
      </c>
      <c r="L406" s="2" t="s">
        <v>136</v>
      </c>
      <c r="M406" s="2" t="s">
        <v>137</v>
      </c>
      <c r="N406" s="2" t="s">
        <v>138</v>
      </c>
      <c r="O406" s="2" t="s">
        <v>101</v>
      </c>
      <c r="P406" s="2" t="str">
        <f>"2170603133                    "</f>
        <v xml:space="preserve">2170603133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11.29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4</v>
      </c>
      <c r="BJ406" s="2">
        <v>1.7</v>
      </c>
      <c r="BK406" s="2">
        <v>4</v>
      </c>
      <c r="BL406" s="2">
        <v>90.27</v>
      </c>
      <c r="BM406" s="2">
        <v>12.64</v>
      </c>
      <c r="BN406" s="2">
        <v>102.91</v>
      </c>
      <c r="BO406" s="2">
        <v>102.91</v>
      </c>
      <c r="BQ406" s="2" t="s">
        <v>82</v>
      </c>
      <c r="BR406" s="2" t="s">
        <v>103</v>
      </c>
      <c r="BS406" s="3">
        <v>43073</v>
      </c>
      <c r="BT406" s="4">
        <v>0.35416666666666669</v>
      </c>
      <c r="BU406" s="2" t="s">
        <v>139</v>
      </c>
      <c r="BV406" s="2" t="s">
        <v>85</v>
      </c>
      <c r="BY406" s="2">
        <v>8425.0300000000007</v>
      </c>
      <c r="BZ406" s="2" t="s">
        <v>27</v>
      </c>
      <c r="CA406" s="2" t="s">
        <v>140</v>
      </c>
      <c r="CC406" s="2" t="s">
        <v>137</v>
      </c>
      <c r="CD406" s="2">
        <v>6001</v>
      </c>
      <c r="CE406" s="2" t="s">
        <v>95</v>
      </c>
      <c r="CF406" s="3">
        <v>43074</v>
      </c>
      <c r="CI406" s="2">
        <v>1</v>
      </c>
      <c r="CJ406" s="2">
        <v>1</v>
      </c>
      <c r="CK406" s="2">
        <v>21</v>
      </c>
      <c r="CL406" s="2" t="s">
        <v>89</v>
      </c>
    </row>
    <row r="407" spans="1:90">
      <c r="A407" s="2" t="s">
        <v>71</v>
      </c>
      <c r="B407" s="2" t="s">
        <v>72</v>
      </c>
      <c r="C407" s="2" t="s">
        <v>73</v>
      </c>
      <c r="E407" s="2" t="str">
        <f>"FES1162593559"</f>
        <v>FES1162593559</v>
      </c>
      <c r="F407" s="3">
        <v>43073</v>
      </c>
      <c r="G407" s="2">
        <v>201806</v>
      </c>
      <c r="H407" s="2" t="s">
        <v>74</v>
      </c>
      <c r="I407" s="2" t="s">
        <v>75</v>
      </c>
      <c r="J407" s="2" t="s">
        <v>97</v>
      </c>
      <c r="K407" s="2" t="s">
        <v>77</v>
      </c>
      <c r="L407" s="2" t="s">
        <v>136</v>
      </c>
      <c r="M407" s="2" t="s">
        <v>137</v>
      </c>
      <c r="N407" s="2" t="s">
        <v>662</v>
      </c>
      <c r="O407" s="2" t="s">
        <v>101</v>
      </c>
      <c r="P407" s="2" t="str">
        <f>"217060566                     "</f>
        <v xml:space="preserve">217060566 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18.350000000000001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6.1</v>
      </c>
      <c r="BJ407" s="2">
        <v>3.4</v>
      </c>
      <c r="BK407" s="2">
        <v>6.5</v>
      </c>
      <c r="BL407" s="2">
        <v>146.68</v>
      </c>
      <c r="BM407" s="2">
        <v>20.54</v>
      </c>
      <c r="BN407" s="2">
        <v>167.22</v>
      </c>
      <c r="BO407" s="2">
        <v>167.22</v>
      </c>
      <c r="BQ407" s="2" t="s">
        <v>128</v>
      </c>
      <c r="BR407" s="2" t="s">
        <v>103</v>
      </c>
      <c r="BS407" s="3">
        <v>43074</v>
      </c>
      <c r="BT407" s="4">
        <v>0.31458333333333333</v>
      </c>
      <c r="BU407" s="2" t="s">
        <v>663</v>
      </c>
      <c r="BV407" s="2" t="s">
        <v>85</v>
      </c>
      <c r="BY407" s="2">
        <v>17075.52</v>
      </c>
      <c r="BZ407" s="2" t="s">
        <v>27</v>
      </c>
      <c r="CA407" s="2" t="s">
        <v>293</v>
      </c>
      <c r="CC407" s="2" t="s">
        <v>137</v>
      </c>
      <c r="CD407" s="2">
        <v>6012</v>
      </c>
      <c r="CE407" s="2" t="s">
        <v>95</v>
      </c>
      <c r="CF407" s="3">
        <v>43075</v>
      </c>
      <c r="CI407" s="2">
        <v>1</v>
      </c>
      <c r="CJ407" s="2">
        <v>1</v>
      </c>
      <c r="CK407" s="2">
        <v>21</v>
      </c>
      <c r="CL407" s="2" t="s">
        <v>89</v>
      </c>
    </row>
    <row r="408" spans="1:90">
      <c r="A408" s="2" t="s">
        <v>71</v>
      </c>
      <c r="B408" s="2" t="s">
        <v>72</v>
      </c>
      <c r="C408" s="2" t="s">
        <v>73</v>
      </c>
      <c r="E408" s="2" t="str">
        <f>"FES1162593310"</f>
        <v>FES1162593310</v>
      </c>
      <c r="F408" s="3">
        <v>43073</v>
      </c>
      <c r="G408" s="2">
        <v>201806</v>
      </c>
      <c r="H408" s="2" t="s">
        <v>74</v>
      </c>
      <c r="I408" s="2" t="s">
        <v>75</v>
      </c>
      <c r="J408" s="2" t="s">
        <v>97</v>
      </c>
      <c r="K408" s="2" t="s">
        <v>77</v>
      </c>
      <c r="L408" s="2" t="s">
        <v>173</v>
      </c>
      <c r="M408" s="2" t="s">
        <v>174</v>
      </c>
      <c r="N408" s="2" t="s">
        <v>376</v>
      </c>
      <c r="O408" s="2" t="s">
        <v>101</v>
      </c>
      <c r="P408" s="2" t="str">
        <f>"21706016424                   "</f>
        <v xml:space="preserve">21706016424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12.71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2</v>
      </c>
      <c r="BI408" s="2">
        <v>4.0999999999999996</v>
      </c>
      <c r="BJ408" s="2">
        <v>1.7</v>
      </c>
      <c r="BK408" s="2">
        <v>4.5</v>
      </c>
      <c r="BL408" s="2">
        <v>101.56</v>
      </c>
      <c r="BM408" s="2">
        <v>14.22</v>
      </c>
      <c r="BN408" s="2">
        <v>115.78</v>
      </c>
      <c r="BO408" s="2">
        <v>115.78</v>
      </c>
      <c r="BQ408" s="2" t="s">
        <v>102</v>
      </c>
      <c r="BR408" s="2" t="s">
        <v>103</v>
      </c>
      <c r="BS408" s="3">
        <v>43074</v>
      </c>
      <c r="BT408" s="4">
        <v>0.49652777777777773</v>
      </c>
      <c r="BU408" s="2" t="s">
        <v>536</v>
      </c>
      <c r="BV408" s="2" t="s">
        <v>89</v>
      </c>
      <c r="BW408" s="2" t="s">
        <v>149</v>
      </c>
      <c r="BX408" s="2" t="s">
        <v>246</v>
      </c>
      <c r="BY408" s="2">
        <v>8688.67</v>
      </c>
      <c r="BZ408" s="2" t="s">
        <v>27</v>
      </c>
      <c r="CA408" s="2" t="s">
        <v>537</v>
      </c>
      <c r="CC408" s="2" t="s">
        <v>174</v>
      </c>
      <c r="CD408" s="2">
        <v>7490</v>
      </c>
      <c r="CE408" s="2" t="s">
        <v>95</v>
      </c>
      <c r="CF408" s="3">
        <v>43075</v>
      </c>
      <c r="CI408" s="2">
        <v>1</v>
      </c>
      <c r="CJ408" s="2">
        <v>1</v>
      </c>
      <c r="CK408" s="2">
        <v>21</v>
      </c>
      <c r="CL408" s="2" t="s">
        <v>89</v>
      </c>
    </row>
    <row r="409" spans="1:90">
      <c r="A409" s="2" t="s">
        <v>71</v>
      </c>
      <c r="B409" s="2" t="s">
        <v>72</v>
      </c>
      <c r="C409" s="2" t="s">
        <v>73</v>
      </c>
      <c r="E409" s="2" t="str">
        <f>"FES1162593066"</f>
        <v>FES1162593066</v>
      </c>
      <c r="F409" s="3">
        <v>43070</v>
      </c>
      <c r="G409" s="2">
        <v>201806</v>
      </c>
      <c r="H409" s="2" t="s">
        <v>74</v>
      </c>
      <c r="I409" s="2" t="s">
        <v>75</v>
      </c>
      <c r="J409" s="2" t="s">
        <v>97</v>
      </c>
      <c r="K409" s="2" t="s">
        <v>77</v>
      </c>
      <c r="L409" s="2" t="s">
        <v>125</v>
      </c>
      <c r="M409" s="2" t="s">
        <v>126</v>
      </c>
      <c r="N409" s="2" t="s">
        <v>664</v>
      </c>
      <c r="O409" s="2" t="s">
        <v>101</v>
      </c>
      <c r="P409" s="2" t="str">
        <f>"2170604238                    "</f>
        <v xml:space="preserve">2170604238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5.65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</v>
      </c>
      <c r="BJ409" s="2">
        <v>0.2</v>
      </c>
      <c r="BK409" s="2">
        <v>1</v>
      </c>
      <c r="BL409" s="2">
        <v>45.15</v>
      </c>
      <c r="BM409" s="2">
        <v>6.32</v>
      </c>
      <c r="BN409" s="2">
        <v>51.47</v>
      </c>
      <c r="BO409" s="2">
        <v>51.47</v>
      </c>
      <c r="BQ409" s="2" t="s">
        <v>102</v>
      </c>
      <c r="BR409" s="2" t="s">
        <v>103</v>
      </c>
      <c r="BS409" s="3">
        <v>43073</v>
      </c>
      <c r="BT409" s="4">
        <v>0.43402777777777773</v>
      </c>
      <c r="BU409" s="2" t="s">
        <v>665</v>
      </c>
      <c r="BV409" s="2" t="s">
        <v>85</v>
      </c>
      <c r="BY409" s="2">
        <v>1200</v>
      </c>
      <c r="BZ409" s="2" t="s">
        <v>27</v>
      </c>
      <c r="CA409" s="2" t="s">
        <v>666</v>
      </c>
      <c r="CC409" s="2" t="s">
        <v>126</v>
      </c>
      <c r="CD409" s="2">
        <v>4001</v>
      </c>
      <c r="CE409" s="2" t="s">
        <v>120</v>
      </c>
      <c r="CF409" s="3">
        <v>43074</v>
      </c>
      <c r="CI409" s="2">
        <v>1</v>
      </c>
      <c r="CJ409" s="2">
        <v>1</v>
      </c>
      <c r="CK409" s="2">
        <v>21</v>
      </c>
      <c r="CL409" s="2" t="s">
        <v>89</v>
      </c>
    </row>
    <row r="410" spans="1:90">
      <c r="A410" s="2" t="s">
        <v>71</v>
      </c>
      <c r="B410" s="2" t="s">
        <v>72</v>
      </c>
      <c r="C410" s="2" t="s">
        <v>73</v>
      </c>
      <c r="E410" s="2" t="str">
        <f>"FES1162593570"</f>
        <v>FES1162593570</v>
      </c>
      <c r="F410" s="3">
        <v>43073</v>
      </c>
      <c r="G410" s="2">
        <v>201806</v>
      </c>
      <c r="H410" s="2" t="s">
        <v>74</v>
      </c>
      <c r="I410" s="2" t="s">
        <v>75</v>
      </c>
      <c r="J410" s="2" t="s">
        <v>97</v>
      </c>
      <c r="K410" s="2" t="s">
        <v>77</v>
      </c>
      <c r="L410" s="2" t="s">
        <v>136</v>
      </c>
      <c r="M410" s="2" t="s">
        <v>137</v>
      </c>
      <c r="N410" s="2" t="s">
        <v>178</v>
      </c>
      <c r="O410" s="2" t="s">
        <v>101</v>
      </c>
      <c r="P410" s="2" t="str">
        <f>"2170605679                    "</f>
        <v xml:space="preserve">2170605679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21.17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7.3</v>
      </c>
      <c r="BJ410" s="2">
        <v>1.6</v>
      </c>
      <c r="BK410" s="2">
        <v>7.5</v>
      </c>
      <c r="BL410" s="2">
        <v>169.24</v>
      </c>
      <c r="BM410" s="2">
        <v>23.69</v>
      </c>
      <c r="BN410" s="2">
        <v>192.93</v>
      </c>
      <c r="BO410" s="2">
        <v>192.93</v>
      </c>
      <c r="BQ410" s="2" t="s">
        <v>102</v>
      </c>
      <c r="BR410" s="2" t="s">
        <v>103</v>
      </c>
      <c r="BS410" s="3">
        <v>43074</v>
      </c>
      <c r="BT410" s="4">
        <v>0.4375</v>
      </c>
      <c r="BU410" s="2" t="s">
        <v>902</v>
      </c>
      <c r="BV410" s="2" t="s">
        <v>85</v>
      </c>
      <c r="BY410" s="2">
        <v>8173.04</v>
      </c>
      <c r="BZ410" s="2" t="s">
        <v>27</v>
      </c>
      <c r="CA410" s="2" t="s">
        <v>180</v>
      </c>
      <c r="CC410" s="2" t="s">
        <v>137</v>
      </c>
      <c r="CD410" s="2">
        <v>6001</v>
      </c>
      <c r="CE410" s="2" t="s">
        <v>95</v>
      </c>
      <c r="CF410" s="3">
        <v>43075</v>
      </c>
      <c r="CI410" s="2">
        <v>1</v>
      </c>
      <c r="CJ410" s="2">
        <v>1</v>
      </c>
      <c r="CK410" s="2">
        <v>21</v>
      </c>
      <c r="CL410" s="2" t="s">
        <v>89</v>
      </c>
    </row>
    <row r="411" spans="1:90">
      <c r="A411" s="2" t="s">
        <v>71</v>
      </c>
      <c r="B411" s="2" t="s">
        <v>72</v>
      </c>
      <c r="C411" s="2" t="s">
        <v>73</v>
      </c>
      <c r="E411" s="2" t="str">
        <f>"FES1162593129"</f>
        <v>FES1162593129</v>
      </c>
      <c r="F411" s="3">
        <v>43070</v>
      </c>
      <c r="G411" s="2">
        <v>201806</v>
      </c>
      <c r="H411" s="2" t="s">
        <v>74</v>
      </c>
      <c r="I411" s="2" t="s">
        <v>75</v>
      </c>
      <c r="J411" s="2" t="s">
        <v>97</v>
      </c>
      <c r="K411" s="2" t="s">
        <v>77</v>
      </c>
      <c r="L411" s="2" t="s">
        <v>212</v>
      </c>
      <c r="M411" s="2" t="s">
        <v>212</v>
      </c>
      <c r="N411" s="2" t="s">
        <v>213</v>
      </c>
      <c r="O411" s="2" t="s">
        <v>101</v>
      </c>
      <c r="P411" s="2" t="str">
        <f>"2170603015                    "</f>
        <v xml:space="preserve">2170603015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12.71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4.3</v>
      </c>
      <c r="BJ411" s="2">
        <v>1.8</v>
      </c>
      <c r="BK411" s="2">
        <v>4.5</v>
      </c>
      <c r="BL411" s="2">
        <v>101.56</v>
      </c>
      <c r="BM411" s="2">
        <v>14.22</v>
      </c>
      <c r="BN411" s="2">
        <v>115.78</v>
      </c>
      <c r="BO411" s="2">
        <v>115.78</v>
      </c>
      <c r="BQ411" s="2" t="s">
        <v>102</v>
      </c>
      <c r="BR411" s="2" t="s">
        <v>103</v>
      </c>
      <c r="BS411" s="3">
        <v>43083</v>
      </c>
      <c r="BT411" s="4">
        <v>0.56944444444444442</v>
      </c>
      <c r="BU411" s="2" t="s">
        <v>554</v>
      </c>
      <c r="BV411" s="2" t="s">
        <v>89</v>
      </c>
      <c r="BW411" s="2" t="s">
        <v>471</v>
      </c>
      <c r="BX411" s="2" t="s">
        <v>246</v>
      </c>
      <c r="BY411" s="2">
        <v>8825.5400000000009</v>
      </c>
      <c r="BZ411" s="2" t="s">
        <v>27</v>
      </c>
      <c r="CA411" s="2" t="s">
        <v>532</v>
      </c>
      <c r="CC411" s="2" t="s">
        <v>212</v>
      </c>
      <c r="CD411" s="2">
        <v>7646</v>
      </c>
      <c r="CE411" s="2" t="s">
        <v>95</v>
      </c>
      <c r="CF411" s="3">
        <v>43084</v>
      </c>
      <c r="CI411" s="2">
        <v>1</v>
      </c>
      <c r="CJ411" s="2">
        <v>9</v>
      </c>
      <c r="CK411" s="2">
        <v>21</v>
      </c>
      <c r="CL411" s="2" t="s">
        <v>89</v>
      </c>
    </row>
    <row r="412" spans="1:90">
      <c r="A412" s="2" t="s">
        <v>71</v>
      </c>
      <c r="B412" s="2" t="s">
        <v>72</v>
      </c>
      <c r="C412" s="2" t="s">
        <v>73</v>
      </c>
      <c r="E412" s="2" t="str">
        <f>"FES1162593558"</f>
        <v>FES1162593558</v>
      </c>
      <c r="F412" s="3">
        <v>43073</v>
      </c>
      <c r="G412" s="2">
        <v>201806</v>
      </c>
      <c r="H412" s="2" t="s">
        <v>74</v>
      </c>
      <c r="I412" s="2" t="s">
        <v>75</v>
      </c>
      <c r="J412" s="2" t="s">
        <v>97</v>
      </c>
      <c r="K412" s="2" t="s">
        <v>77</v>
      </c>
      <c r="L412" s="2" t="s">
        <v>136</v>
      </c>
      <c r="M412" s="2" t="s">
        <v>137</v>
      </c>
      <c r="N412" s="2" t="s">
        <v>662</v>
      </c>
      <c r="O412" s="2" t="s">
        <v>101</v>
      </c>
      <c r="P412" s="2" t="str">
        <f>"2172605665                    "</f>
        <v xml:space="preserve">2172605665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8.4700000000000006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2.7</v>
      </c>
      <c r="BJ412" s="2">
        <v>1.9</v>
      </c>
      <c r="BK412" s="2">
        <v>3</v>
      </c>
      <c r="BL412" s="2">
        <v>67.709999999999994</v>
      </c>
      <c r="BM412" s="2">
        <v>9.48</v>
      </c>
      <c r="BN412" s="2">
        <v>77.19</v>
      </c>
      <c r="BO412" s="2">
        <v>77.19</v>
      </c>
      <c r="BQ412" s="2" t="s">
        <v>128</v>
      </c>
      <c r="BR412" s="2" t="s">
        <v>103</v>
      </c>
      <c r="BS412" s="3">
        <v>43074</v>
      </c>
      <c r="BT412" s="4">
        <v>0.31458333333333333</v>
      </c>
      <c r="BU412" s="2" t="s">
        <v>663</v>
      </c>
      <c r="BV412" s="2" t="s">
        <v>85</v>
      </c>
      <c r="BY412" s="2">
        <v>9649.42</v>
      </c>
      <c r="BZ412" s="2" t="s">
        <v>27</v>
      </c>
      <c r="CA412" s="2" t="s">
        <v>448</v>
      </c>
      <c r="CC412" s="2" t="s">
        <v>137</v>
      </c>
      <c r="CD412" s="2">
        <v>6012</v>
      </c>
      <c r="CE412" s="2" t="s">
        <v>95</v>
      </c>
      <c r="CF412" s="3">
        <v>43075</v>
      </c>
      <c r="CI412" s="2">
        <v>1</v>
      </c>
      <c r="CJ412" s="2">
        <v>1</v>
      </c>
      <c r="CK412" s="2">
        <v>21</v>
      </c>
      <c r="CL412" s="2" t="s">
        <v>89</v>
      </c>
    </row>
    <row r="413" spans="1:90">
      <c r="A413" s="2" t="s">
        <v>71</v>
      </c>
      <c r="B413" s="2" t="s">
        <v>72</v>
      </c>
      <c r="C413" s="2" t="s">
        <v>73</v>
      </c>
      <c r="E413" s="2" t="str">
        <f>"FES1162593106"</f>
        <v>FES1162593106</v>
      </c>
      <c r="F413" s="3">
        <v>43070</v>
      </c>
      <c r="G413" s="2">
        <v>201806</v>
      </c>
      <c r="H413" s="2" t="s">
        <v>74</v>
      </c>
      <c r="I413" s="2" t="s">
        <v>75</v>
      </c>
      <c r="J413" s="2" t="s">
        <v>97</v>
      </c>
      <c r="K413" s="2" t="s">
        <v>77</v>
      </c>
      <c r="L413" s="2" t="s">
        <v>173</v>
      </c>
      <c r="M413" s="2" t="s">
        <v>174</v>
      </c>
      <c r="N413" s="2" t="s">
        <v>498</v>
      </c>
      <c r="O413" s="2" t="s">
        <v>101</v>
      </c>
      <c r="P413" s="2" t="str">
        <f>"2170605455                    "</f>
        <v xml:space="preserve">2170605455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5.65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45.15</v>
      </c>
      <c r="BM413" s="2">
        <v>6.32</v>
      </c>
      <c r="BN413" s="2">
        <v>51.47</v>
      </c>
      <c r="BO413" s="2">
        <v>51.47</v>
      </c>
      <c r="BQ413" s="2" t="s">
        <v>499</v>
      </c>
      <c r="BR413" s="2" t="s">
        <v>103</v>
      </c>
      <c r="BS413" s="3">
        <v>43073</v>
      </c>
      <c r="BT413" s="4">
        <v>0.51388888888888895</v>
      </c>
      <c r="BU413" s="2" t="s">
        <v>500</v>
      </c>
      <c r="BV413" s="2" t="s">
        <v>89</v>
      </c>
      <c r="BW413" s="2" t="s">
        <v>313</v>
      </c>
      <c r="BX413" s="2" t="s">
        <v>246</v>
      </c>
      <c r="BY413" s="2">
        <v>1200</v>
      </c>
      <c r="BZ413" s="2" t="s">
        <v>27</v>
      </c>
      <c r="CA413" s="2" t="s">
        <v>360</v>
      </c>
      <c r="CC413" s="2" t="s">
        <v>174</v>
      </c>
      <c r="CD413" s="2">
        <v>7405</v>
      </c>
      <c r="CE413" s="2" t="s">
        <v>120</v>
      </c>
      <c r="CF413" s="3">
        <v>43074</v>
      </c>
      <c r="CI413" s="2">
        <v>1</v>
      </c>
      <c r="CJ413" s="2">
        <v>1</v>
      </c>
      <c r="CK413" s="2">
        <v>21</v>
      </c>
      <c r="CL413" s="2" t="s">
        <v>89</v>
      </c>
    </row>
    <row r="414" spans="1:90">
      <c r="A414" s="2" t="s">
        <v>71</v>
      </c>
      <c r="B414" s="2" t="s">
        <v>72</v>
      </c>
      <c r="C414" s="2" t="s">
        <v>73</v>
      </c>
      <c r="E414" s="2" t="str">
        <f>"FES1162593453"</f>
        <v>FES1162593453</v>
      </c>
      <c r="F414" s="3">
        <v>43073</v>
      </c>
      <c r="G414" s="2">
        <v>201806</v>
      </c>
      <c r="H414" s="2" t="s">
        <v>74</v>
      </c>
      <c r="I414" s="2" t="s">
        <v>75</v>
      </c>
      <c r="J414" s="2" t="s">
        <v>97</v>
      </c>
      <c r="K414" s="2" t="s">
        <v>77</v>
      </c>
      <c r="L414" s="2" t="s">
        <v>173</v>
      </c>
      <c r="M414" s="2" t="s">
        <v>174</v>
      </c>
      <c r="N414" s="2" t="s">
        <v>815</v>
      </c>
      <c r="O414" s="2" t="s">
        <v>101</v>
      </c>
      <c r="P414" s="2" t="str">
        <f>"2170604426                    "</f>
        <v xml:space="preserve">2170604426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38.11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13.1</v>
      </c>
      <c r="BJ414" s="2">
        <v>3.2</v>
      </c>
      <c r="BK414" s="2">
        <v>13.5</v>
      </c>
      <c r="BL414" s="2">
        <v>304.62</v>
      </c>
      <c r="BM414" s="2">
        <v>42.65</v>
      </c>
      <c r="BN414" s="2">
        <v>347.27</v>
      </c>
      <c r="BO414" s="2">
        <v>347.27</v>
      </c>
      <c r="BQ414" s="2" t="s">
        <v>816</v>
      </c>
      <c r="BR414" s="2" t="s">
        <v>103</v>
      </c>
      <c r="BS414" s="3">
        <v>43074</v>
      </c>
      <c r="BT414" s="4">
        <v>0.41666666666666669</v>
      </c>
      <c r="BU414" s="2" t="s">
        <v>903</v>
      </c>
      <c r="BV414" s="2" t="s">
        <v>85</v>
      </c>
      <c r="BY414" s="2">
        <v>16048.47</v>
      </c>
      <c r="BZ414" s="2" t="s">
        <v>27</v>
      </c>
      <c r="CA414" s="2" t="s">
        <v>421</v>
      </c>
      <c r="CC414" s="2" t="s">
        <v>174</v>
      </c>
      <c r="CD414" s="2">
        <v>7945</v>
      </c>
      <c r="CE414" s="2" t="s">
        <v>95</v>
      </c>
      <c r="CF414" s="3">
        <v>43074</v>
      </c>
      <c r="CI414" s="2">
        <v>1</v>
      </c>
      <c r="CJ414" s="2">
        <v>1</v>
      </c>
      <c r="CK414" s="2">
        <v>21</v>
      </c>
      <c r="CL414" s="2" t="s">
        <v>89</v>
      </c>
    </row>
    <row r="415" spans="1:90">
      <c r="A415" s="2" t="s">
        <v>71</v>
      </c>
      <c r="B415" s="2" t="s">
        <v>72</v>
      </c>
      <c r="C415" s="2" t="s">
        <v>73</v>
      </c>
      <c r="E415" s="2" t="str">
        <f>"FES1162593120"</f>
        <v>FES1162593120</v>
      </c>
      <c r="F415" s="3">
        <v>43070</v>
      </c>
      <c r="G415" s="2">
        <v>201806</v>
      </c>
      <c r="H415" s="2" t="s">
        <v>74</v>
      </c>
      <c r="I415" s="2" t="s">
        <v>75</v>
      </c>
      <c r="J415" s="2" t="s">
        <v>97</v>
      </c>
      <c r="K415" s="2" t="s">
        <v>77</v>
      </c>
      <c r="L415" s="2" t="s">
        <v>212</v>
      </c>
      <c r="M415" s="2" t="s">
        <v>212</v>
      </c>
      <c r="N415" s="2" t="s">
        <v>904</v>
      </c>
      <c r="O415" s="2" t="s">
        <v>101</v>
      </c>
      <c r="P415" s="2" t="str">
        <f>"2170602744                    "</f>
        <v xml:space="preserve">2170602744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5.65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45.15</v>
      </c>
      <c r="BM415" s="2">
        <v>6.32</v>
      </c>
      <c r="BN415" s="2">
        <v>51.47</v>
      </c>
      <c r="BO415" s="2">
        <v>51.47</v>
      </c>
      <c r="BQ415" s="2" t="s">
        <v>187</v>
      </c>
      <c r="BR415" s="2" t="s">
        <v>103</v>
      </c>
      <c r="BS415" s="3">
        <v>43073</v>
      </c>
      <c r="BT415" s="4">
        <v>0.4916666666666667</v>
      </c>
      <c r="BU415" s="2" t="s">
        <v>905</v>
      </c>
      <c r="BV415" s="2" t="s">
        <v>85</v>
      </c>
      <c r="BY415" s="2">
        <v>1200</v>
      </c>
      <c r="BZ415" s="2" t="s">
        <v>27</v>
      </c>
      <c r="CA415" s="2" t="s">
        <v>532</v>
      </c>
      <c r="CC415" s="2" t="s">
        <v>212</v>
      </c>
      <c r="CD415" s="2">
        <v>7646</v>
      </c>
      <c r="CE415" s="2" t="s">
        <v>120</v>
      </c>
      <c r="CF415" s="3">
        <v>43074</v>
      </c>
      <c r="CI415" s="2">
        <v>1</v>
      </c>
      <c r="CJ415" s="2">
        <v>1</v>
      </c>
      <c r="CK415" s="2">
        <v>21</v>
      </c>
      <c r="CL415" s="2" t="s">
        <v>89</v>
      </c>
    </row>
    <row r="416" spans="1:90">
      <c r="A416" s="2" t="s">
        <v>71</v>
      </c>
      <c r="B416" s="2" t="s">
        <v>72</v>
      </c>
      <c r="C416" s="2" t="s">
        <v>73</v>
      </c>
      <c r="E416" s="2" t="str">
        <f>"FES1162593124"</f>
        <v>FES1162593124</v>
      </c>
      <c r="F416" s="3">
        <v>43073</v>
      </c>
      <c r="G416" s="2">
        <v>201806</v>
      </c>
      <c r="H416" s="2" t="s">
        <v>74</v>
      </c>
      <c r="I416" s="2" t="s">
        <v>75</v>
      </c>
      <c r="J416" s="2" t="s">
        <v>97</v>
      </c>
      <c r="K416" s="2" t="s">
        <v>77</v>
      </c>
      <c r="L416" s="2" t="s">
        <v>158</v>
      </c>
      <c r="M416" s="2" t="s">
        <v>159</v>
      </c>
      <c r="N416" s="2" t="s">
        <v>543</v>
      </c>
      <c r="O416" s="2" t="s">
        <v>101</v>
      </c>
      <c r="P416" s="2" t="str">
        <f>"2170602899                    "</f>
        <v xml:space="preserve">2170602899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5.65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1.4</v>
      </c>
      <c r="BJ416" s="2">
        <v>1.6</v>
      </c>
      <c r="BK416" s="2">
        <v>2</v>
      </c>
      <c r="BL416" s="2">
        <v>45.15</v>
      </c>
      <c r="BM416" s="2">
        <v>6.32</v>
      </c>
      <c r="BN416" s="2">
        <v>51.47</v>
      </c>
      <c r="BO416" s="2">
        <v>51.47</v>
      </c>
      <c r="BQ416" s="2" t="s">
        <v>82</v>
      </c>
      <c r="BR416" s="2" t="s">
        <v>103</v>
      </c>
      <c r="BS416" s="3">
        <v>43074</v>
      </c>
      <c r="BT416" s="4">
        <v>0.43055555555555558</v>
      </c>
      <c r="BU416" s="2" t="s">
        <v>544</v>
      </c>
      <c r="BV416" s="2" t="s">
        <v>85</v>
      </c>
      <c r="BY416" s="2">
        <v>8164.8</v>
      </c>
      <c r="BZ416" s="2" t="s">
        <v>27</v>
      </c>
      <c r="CA416" s="2" t="s">
        <v>545</v>
      </c>
      <c r="CC416" s="2" t="s">
        <v>159</v>
      </c>
      <c r="CD416" s="2">
        <v>1</v>
      </c>
      <c r="CE416" s="2" t="s">
        <v>95</v>
      </c>
      <c r="CF416" s="3">
        <v>43076</v>
      </c>
      <c r="CI416" s="2">
        <v>1</v>
      </c>
      <c r="CJ416" s="2">
        <v>1</v>
      </c>
      <c r="CK416" s="2">
        <v>21</v>
      </c>
      <c r="CL416" s="2" t="s">
        <v>89</v>
      </c>
    </row>
    <row r="417" spans="1:90">
      <c r="A417" s="2" t="s">
        <v>71</v>
      </c>
      <c r="B417" s="2" t="s">
        <v>72</v>
      </c>
      <c r="C417" s="2" t="s">
        <v>73</v>
      </c>
      <c r="E417" s="2" t="str">
        <f>"FES1162593548"</f>
        <v>FES1162593548</v>
      </c>
      <c r="F417" s="3">
        <v>43073</v>
      </c>
      <c r="G417" s="2">
        <v>201806</v>
      </c>
      <c r="H417" s="2" t="s">
        <v>74</v>
      </c>
      <c r="I417" s="2" t="s">
        <v>75</v>
      </c>
      <c r="J417" s="2" t="s">
        <v>97</v>
      </c>
      <c r="K417" s="2" t="s">
        <v>77</v>
      </c>
      <c r="L417" s="2" t="s">
        <v>136</v>
      </c>
      <c r="M417" s="2" t="s">
        <v>137</v>
      </c>
      <c r="N417" s="2" t="s">
        <v>580</v>
      </c>
      <c r="O417" s="2" t="s">
        <v>101</v>
      </c>
      <c r="P417" s="2" t="str">
        <f>"2170605652                    "</f>
        <v xml:space="preserve">2170605652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5.65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1.5</v>
      </c>
      <c r="BJ417" s="2">
        <v>0.9</v>
      </c>
      <c r="BK417" s="2">
        <v>1.5</v>
      </c>
      <c r="BL417" s="2">
        <v>45.15</v>
      </c>
      <c r="BM417" s="2">
        <v>6.32</v>
      </c>
      <c r="BN417" s="2">
        <v>51.47</v>
      </c>
      <c r="BO417" s="2">
        <v>51.47</v>
      </c>
      <c r="BQ417" s="2" t="s">
        <v>102</v>
      </c>
      <c r="BR417" s="2" t="s">
        <v>103</v>
      </c>
      <c r="BS417" s="3">
        <v>43074</v>
      </c>
      <c r="BT417" s="4">
        <v>0.30555555555555552</v>
      </c>
      <c r="BU417" s="2" t="s">
        <v>581</v>
      </c>
      <c r="BV417" s="2" t="s">
        <v>85</v>
      </c>
      <c r="BY417" s="2">
        <v>4641.71</v>
      </c>
      <c r="BZ417" s="2" t="s">
        <v>27</v>
      </c>
      <c r="CA417" s="2" t="s">
        <v>180</v>
      </c>
      <c r="CC417" s="2" t="s">
        <v>137</v>
      </c>
      <c r="CD417" s="2">
        <v>6001</v>
      </c>
      <c r="CE417" s="2" t="s">
        <v>87</v>
      </c>
      <c r="CF417" s="3">
        <v>43075</v>
      </c>
      <c r="CI417" s="2">
        <v>1</v>
      </c>
      <c r="CJ417" s="2">
        <v>1</v>
      </c>
      <c r="CK417" s="2">
        <v>21</v>
      </c>
      <c r="CL417" s="2" t="s">
        <v>89</v>
      </c>
    </row>
    <row r="418" spans="1:90">
      <c r="A418" s="2" t="s">
        <v>71</v>
      </c>
      <c r="B418" s="2" t="s">
        <v>72</v>
      </c>
      <c r="C418" s="2" t="s">
        <v>73</v>
      </c>
      <c r="E418" s="2" t="str">
        <f>"009935791680"</f>
        <v>009935791680</v>
      </c>
      <c r="F418" s="3">
        <v>43070</v>
      </c>
      <c r="G418" s="2">
        <v>201806</v>
      </c>
      <c r="H418" s="2" t="s">
        <v>74</v>
      </c>
      <c r="I418" s="2" t="s">
        <v>75</v>
      </c>
      <c r="J418" s="2" t="s">
        <v>97</v>
      </c>
      <c r="K418" s="2" t="s">
        <v>77</v>
      </c>
      <c r="L418" s="2" t="s">
        <v>173</v>
      </c>
      <c r="M418" s="2" t="s">
        <v>174</v>
      </c>
      <c r="N418" s="2" t="s">
        <v>381</v>
      </c>
      <c r="O418" s="2" t="s">
        <v>101</v>
      </c>
      <c r="P418" s="2" t="str">
        <f>"VILLY                         "</f>
        <v xml:space="preserve">VILLY     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52.23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18</v>
      </c>
      <c r="BJ418" s="2">
        <v>18.3</v>
      </c>
      <c r="BK418" s="2">
        <v>18.5</v>
      </c>
      <c r="BL418" s="2">
        <v>417.44</v>
      </c>
      <c r="BM418" s="2">
        <v>58.44</v>
      </c>
      <c r="BN418" s="2">
        <v>475.88</v>
      </c>
      <c r="BO418" s="2">
        <v>475.88</v>
      </c>
      <c r="BP418" s="2" t="s">
        <v>906</v>
      </c>
      <c r="BQ418" s="2" t="s">
        <v>102</v>
      </c>
      <c r="BR418" s="2" t="s">
        <v>103</v>
      </c>
      <c r="BS418" s="3">
        <v>43073</v>
      </c>
      <c r="BT418" s="4">
        <v>0.38055555555555554</v>
      </c>
      <c r="BU418" s="2" t="s">
        <v>907</v>
      </c>
      <c r="BV418" s="2" t="s">
        <v>85</v>
      </c>
      <c r="BY418" s="2">
        <v>91426.4</v>
      </c>
      <c r="BZ418" s="2" t="s">
        <v>27</v>
      </c>
      <c r="CA418" s="2" t="s">
        <v>907</v>
      </c>
      <c r="CC418" s="2" t="s">
        <v>174</v>
      </c>
      <c r="CD418" s="2">
        <v>7405</v>
      </c>
      <c r="CE418" s="2" t="s">
        <v>95</v>
      </c>
      <c r="CF418" s="3">
        <v>43074</v>
      </c>
      <c r="CI418" s="2">
        <v>1</v>
      </c>
      <c r="CJ418" s="2">
        <v>1</v>
      </c>
      <c r="CK418" s="2">
        <v>21</v>
      </c>
      <c r="CL418" s="2" t="s">
        <v>89</v>
      </c>
    </row>
    <row r="419" spans="1:90">
      <c r="A419" s="2" t="s">
        <v>71</v>
      </c>
      <c r="B419" s="2" t="s">
        <v>72</v>
      </c>
      <c r="C419" s="2" t="s">
        <v>73</v>
      </c>
      <c r="E419" s="2" t="str">
        <f>"FES1162593483"</f>
        <v>FES1162593483</v>
      </c>
      <c r="F419" s="3">
        <v>43073</v>
      </c>
      <c r="G419" s="2">
        <v>201806</v>
      </c>
      <c r="H419" s="2" t="s">
        <v>74</v>
      </c>
      <c r="I419" s="2" t="s">
        <v>75</v>
      </c>
      <c r="J419" s="2" t="s">
        <v>97</v>
      </c>
      <c r="K419" s="2" t="s">
        <v>77</v>
      </c>
      <c r="L419" s="2" t="s">
        <v>111</v>
      </c>
      <c r="M419" s="2" t="s">
        <v>112</v>
      </c>
      <c r="N419" s="2" t="s">
        <v>113</v>
      </c>
      <c r="O419" s="2" t="s">
        <v>101</v>
      </c>
      <c r="P419" s="2" t="str">
        <f>"2170605036                    "</f>
        <v xml:space="preserve">2170605036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11.29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4</v>
      </c>
      <c r="BJ419" s="2">
        <v>2</v>
      </c>
      <c r="BK419" s="2">
        <v>4</v>
      </c>
      <c r="BL419" s="2">
        <v>90.27</v>
      </c>
      <c r="BM419" s="2">
        <v>12.64</v>
      </c>
      <c r="BN419" s="2">
        <v>102.91</v>
      </c>
      <c r="BO419" s="2">
        <v>102.91</v>
      </c>
      <c r="BQ419" s="2" t="s">
        <v>82</v>
      </c>
      <c r="BR419" s="2" t="s">
        <v>103</v>
      </c>
      <c r="BS419" s="3">
        <v>43074</v>
      </c>
      <c r="BT419" s="4">
        <v>0.33333333333333331</v>
      </c>
      <c r="BU419" s="2" t="s">
        <v>604</v>
      </c>
      <c r="BV419" s="2" t="s">
        <v>85</v>
      </c>
      <c r="BY419" s="2">
        <v>9918</v>
      </c>
      <c r="BZ419" s="2" t="s">
        <v>27</v>
      </c>
      <c r="CA419" s="2" t="s">
        <v>605</v>
      </c>
      <c r="CC419" s="2" t="s">
        <v>112</v>
      </c>
      <c r="CD419" s="2">
        <v>6220</v>
      </c>
      <c r="CE419" s="2" t="s">
        <v>95</v>
      </c>
      <c r="CF419" s="3">
        <v>43075</v>
      </c>
      <c r="CI419" s="2">
        <v>1</v>
      </c>
      <c r="CJ419" s="2">
        <v>1</v>
      </c>
      <c r="CK419" s="2">
        <v>21</v>
      </c>
      <c r="CL419" s="2" t="s">
        <v>89</v>
      </c>
    </row>
    <row r="420" spans="1:90">
      <c r="A420" s="2" t="s">
        <v>71</v>
      </c>
      <c r="B420" s="2" t="s">
        <v>72</v>
      </c>
      <c r="C420" s="2" t="s">
        <v>73</v>
      </c>
      <c r="E420" s="2" t="str">
        <f>"FES1162593054"</f>
        <v>FES1162593054</v>
      </c>
      <c r="F420" s="3">
        <v>43070</v>
      </c>
      <c r="G420" s="2">
        <v>201806</v>
      </c>
      <c r="H420" s="2" t="s">
        <v>74</v>
      </c>
      <c r="I420" s="2" t="s">
        <v>75</v>
      </c>
      <c r="J420" s="2" t="s">
        <v>97</v>
      </c>
      <c r="K420" s="2" t="s">
        <v>77</v>
      </c>
      <c r="L420" s="2" t="s">
        <v>173</v>
      </c>
      <c r="M420" s="2" t="s">
        <v>174</v>
      </c>
      <c r="N420" s="2" t="s">
        <v>175</v>
      </c>
      <c r="O420" s="2" t="s">
        <v>908</v>
      </c>
      <c r="P420" s="2" t="str">
        <f>"1162593053                    "</f>
        <v xml:space="preserve">1162593053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412.74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64.67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</v>
      </c>
      <c r="BJ420" s="2">
        <v>0.2</v>
      </c>
      <c r="BK420" s="2">
        <v>1</v>
      </c>
      <c r="BL420" s="2">
        <v>516.91</v>
      </c>
      <c r="BM420" s="2">
        <v>72.37</v>
      </c>
      <c r="BN420" s="2">
        <v>589.28</v>
      </c>
      <c r="BO420" s="2">
        <v>589.28</v>
      </c>
      <c r="BP420" s="2" t="s">
        <v>908</v>
      </c>
      <c r="BQ420" s="2" t="s">
        <v>909</v>
      </c>
      <c r="BR420" s="2" t="s">
        <v>103</v>
      </c>
      <c r="BS420" s="3">
        <v>43071</v>
      </c>
      <c r="BT420" s="4">
        <v>0.36805555555555558</v>
      </c>
      <c r="BU420" s="2" t="s">
        <v>910</v>
      </c>
      <c r="BV420" s="2" t="s">
        <v>85</v>
      </c>
      <c r="BY420" s="2">
        <v>1200</v>
      </c>
      <c r="BZ420" s="2" t="s">
        <v>911</v>
      </c>
      <c r="CA420" s="2" t="s">
        <v>293</v>
      </c>
      <c r="CC420" s="2" t="s">
        <v>174</v>
      </c>
      <c r="CD420" s="2">
        <v>7405</v>
      </c>
      <c r="CE420" s="2" t="s">
        <v>120</v>
      </c>
      <c r="CF420" s="3">
        <v>43074</v>
      </c>
      <c r="CI420" s="2">
        <v>0</v>
      </c>
      <c r="CJ420" s="2">
        <v>-2</v>
      </c>
      <c r="CK420" s="2">
        <v>21</v>
      </c>
      <c r="CL420" s="2" t="s">
        <v>89</v>
      </c>
    </row>
    <row r="421" spans="1:90">
      <c r="A421" s="2" t="s">
        <v>71</v>
      </c>
      <c r="B421" s="2" t="s">
        <v>72</v>
      </c>
      <c r="C421" s="2" t="s">
        <v>73</v>
      </c>
      <c r="E421" s="2" t="str">
        <f>"FES1162593439"</f>
        <v>FES1162593439</v>
      </c>
      <c r="F421" s="3">
        <v>43073</v>
      </c>
      <c r="G421" s="2">
        <v>201806</v>
      </c>
      <c r="H421" s="2" t="s">
        <v>74</v>
      </c>
      <c r="I421" s="2" t="s">
        <v>75</v>
      </c>
      <c r="J421" s="2" t="s">
        <v>97</v>
      </c>
      <c r="K421" s="2" t="s">
        <v>77</v>
      </c>
      <c r="L421" s="2" t="s">
        <v>111</v>
      </c>
      <c r="M421" s="2" t="s">
        <v>112</v>
      </c>
      <c r="N421" s="2" t="s">
        <v>113</v>
      </c>
      <c r="O421" s="2" t="s">
        <v>101</v>
      </c>
      <c r="P421" s="2" t="str">
        <f>"2170604105                    "</f>
        <v xml:space="preserve">2170604105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19.760000000000002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6.7</v>
      </c>
      <c r="BJ421" s="2">
        <v>4</v>
      </c>
      <c r="BK421" s="2">
        <v>7</v>
      </c>
      <c r="BL421" s="2">
        <v>157.96</v>
      </c>
      <c r="BM421" s="2">
        <v>22.11</v>
      </c>
      <c r="BN421" s="2">
        <v>180.07</v>
      </c>
      <c r="BO421" s="2">
        <v>180.07</v>
      </c>
      <c r="BQ421" s="2" t="s">
        <v>82</v>
      </c>
      <c r="BR421" s="2" t="s">
        <v>103</v>
      </c>
      <c r="BS421" s="3">
        <v>43074</v>
      </c>
      <c r="BT421" s="4">
        <v>0.33333333333333331</v>
      </c>
      <c r="BU421" s="2" t="s">
        <v>604</v>
      </c>
      <c r="BV421" s="2" t="s">
        <v>85</v>
      </c>
      <c r="BY421" s="2">
        <v>19792.150000000001</v>
      </c>
      <c r="BZ421" s="2" t="s">
        <v>27</v>
      </c>
      <c r="CA421" s="2" t="s">
        <v>605</v>
      </c>
      <c r="CC421" s="2" t="s">
        <v>112</v>
      </c>
      <c r="CD421" s="2">
        <v>6220</v>
      </c>
      <c r="CE421" s="2" t="s">
        <v>95</v>
      </c>
      <c r="CF421" s="3">
        <v>43075</v>
      </c>
      <c r="CI421" s="2">
        <v>1</v>
      </c>
      <c r="CJ421" s="2">
        <v>1</v>
      </c>
      <c r="CK421" s="2">
        <v>21</v>
      </c>
      <c r="CL421" s="2" t="s">
        <v>89</v>
      </c>
    </row>
    <row r="422" spans="1:90">
      <c r="A422" s="2" t="s">
        <v>71</v>
      </c>
      <c r="B422" s="2" t="s">
        <v>72</v>
      </c>
      <c r="C422" s="2" t="s">
        <v>73</v>
      </c>
      <c r="E422" s="2" t="str">
        <f>"FES1162593099"</f>
        <v>FES1162593099</v>
      </c>
      <c r="F422" s="3">
        <v>43070</v>
      </c>
      <c r="G422" s="2">
        <v>201806</v>
      </c>
      <c r="H422" s="2" t="s">
        <v>74</v>
      </c>
      <c r="I422" s="2" t="s">
        <v>75</v>
      </c>
      <c r="J422" s="2" t="s">
        <v>97</v>
      </c>
      <c r="K422" s="2" t="s">
        <v>77</v>
      </c>
      <c r="L422" s="2" t="s">
        <v>912</v>
      </c>
      <c r="M422" s="2" t="s">
        <v>913</v>
      </c>
      <c r="N422" s="2" t="s">
        <v>914</v>
      </c>
      <c r="O422" s="2" t="s">
        <v>101</v>
      </c>
      <c r="P422" s="2" t="str">
        <f>"2170605448                    "</f>
        <v xml:space="preserve">2170605448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15.89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2.8</v>
      </c>
      <c r="BJ422" s="2">
        <v>1.7</v>
      </c>
      <c r="BK422" s="2">
        <v>3</v>
      </c>
      <c r="BL422" s="2">
        <v>126.98</v>
      </c>
      <c r="BM422" s="2">
        <v>17.78</v>
      </c>
      <c r="BN422" s="2">
        <v>144.76</v>
      </c>
      <c r="BO422" s="2">
        <v>144.76</v>
      </c>
      <c r="BQ422" s="2" t="s">
        <v>102</v>
      </c>
      <c r="BR422" s="2" t="s">
        <v>103</v>
      </c>
      <c r="BS422" s="3">
        <v>43074</v>
      </c>
      <c r="BT422" s="4">
        <v>0.5</v>
      </c>
      <c r="BU422" s="2" t="s">
        <v>915</v>
      </c>
      <c r="BV422" s="2" t="s">
        <v>85</v>
      </c>
      <c r="BY422" s="2">
        <v>8588.16</v>
      </c>
      <c r="CC422" s="2" t="s">
        <v>913</v>
      </c>
      <c r="CD422" s="2">
        <v>5099</v>
      </c>
      <c r="CE422" s="2" t="s">
        <v>95</v>
      </c>
      <c r="CF422" s="3">
        <v>43076</v>
      </c>
      <c r="CI422" s="2">
        <v>3</v>
      </c>
      <c r="CJ422" s="2">
        <v>2</v>
      </c>
      <c r="CK422" s="2">
        <v>23</v>
      </c>
      <c r="CL422" s="2" t="s">
        <v>89</v>
      </c>
    </row>
    <row r="423" spans="1:90">
      <c r="A423" s="2" t="s">
        <v>71</v>
      </c>
      <c r="B423" s="2" t="s">
        <v>72</v>
      </c>
      <c r="C423" s="2" t="s">
        <v>73</v>
      </c>
      <c r="E423" s="2" t="str">
        <f>"FES1162593533"</f>
        <v>FES1162593533</v>
      </c>
      <c r="F423" s="3">
        <v>43073</v>
      </c>
      <c r="G423" s="2">
        <v>201806</v>
      </c>
      <c r="H423" s="2" t="s">
        <v>74</v>
      </c>
      <c r="I423" s="2" t="s">
        <v>75</v>
      </c>
      <c r="J423" s="2" t="s">
        <v>97</v>
      </c>
      <c r="K423" s="2" t="s">
        <v>77</v>
      </c>
      <c r="L423" s="2" t="s">
        <v>682</v>
      </c>
      <c r="M423" s="2" t="s">
        <v>683</v>
      </c>
      <c r="N423" s="2" t="s">
        <v>684</v>
      </c>
      <c r="O423" s="2" t="s">
        <v>101</v>
      </c>
      <c r="P423" s="2" t="str">
        <f>"2170605635                    "</f>
        <v xml:space="preserve">2170605635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10.94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1.9</v>
      </c>
      <c r="BJ423" s="2">
        <v>0.9</v>
      </c>
      <c r="BK423" s="2">
        <v>2</v>
      </c>
      <c r="BL423" s="2">
        <v>87.47</v>
      </c>
      <c r="BM423" s="2">
        <v>12.25</v>
      </c>
      <c r="BN423" s="2">
        <v>99.72</v>
      </c>
      <c r="BO423" s="2">
        <v>99.72</v>
      </c>
      <c r="BQ423" s="2" t="s">
        <v>685</v>
      </c>
      <c r="BR423" s="2" t="s">
        <v>103</v>
      </c>
      <c r="BS423" s="3">
        <v>43074</v>
      </c>
      <c r="BT423" s="4">
        <v>0</v>
      </c>
      <c r="BU423" s="2" t="s">
        <v>597</v>
      </c>
      <c r="BV423" s="2" t="s">
        <v>85</v>
      </c>
      <c r="BY423" s="2">
        <v>4563.9799999999996</v>
      </c>
      <c r="BZ423" s="2" t="s">
        <v>27</v>
      </c>
      <c r="CC423" s="2" t="s">
        <v>683</v>
      </c>
      <c r="CD423" s="2">
        <v>6300</v>
      </c>
      <c r="CE423" s="2" t="s">
        <v>87</v>
      </c>
      <c r="CF423" s="3">
        <v>43087</v>
      </c>
      <c r="CI423" s="2">
        <v>3</v>
      </c>
      <c r="CJ423" s="2">
        <v>1</v>
      </c>
      <c r="CK423" s="2">
        <v>23</v>
      </c>
      <c r="CL423" s="2" t="s">
        <v>89</v>
      </c>
    </row>
    <row r="424" spans="1:90">
      <c r="A424" s="2" t="s">
        <v>71</v>
      </c>
      <c r="B424" s="2" t="s">
        <v>72</v>
      </c>
      <c r="C424" s="2" t="s">
        <v>73</v>
      </c>
      <c r="E424" s="2" t="str">
        <f>"FES1162593098"</f>
        <v>FES1162593098</v>
      </c>
      <c r="F424" s="3">
        <v>43070</v>
      </c>
      <c r="G424" s="2">
        <v>201806</v>
      </c>
      <c r="H424" s="2" t="s">
        <v>74</v>
      </c>
      <c r="I424" s="2" t="s">
        <v>75</v>
      </c>
      <c r="J424" s="2" t="s">
        <v>97</v>
      </c>
      <c r="K424" s="2" t="s">
        <v>77</v>
      </c>
      <c r="L424" s="2" t="s">
        <v>912</v>
      </c>
      <c r="M424" s="2" t="s">
        <v>913</v>
      </c>
      <c r="N424" s="2" t="s">
        <v>914</v>
      </c>
      <c r="O424" s="2" t="s">
        <v>101</v>
      </c>
      <c r="P424" s="2" t="str">
        <f>"2170605447                    "</f>
        <v xml:space="preserve">2170605447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10.94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1</v>
      </c>
      <c r="BJ424" s="2">
        <v>0.2</v>
      </c>
      <c r="BK424" s="2">
        <v>1</v>
      </c>
      <c r="BL424" s="2">
        <v>87.47</v>
      </c>
      <c r="BM424" s="2">
        <v>12.25</v>
      </c>
      <c r="BN424" s="2">
        <v>99.72</v>
      </c>
      <c r="BO424" s="2">
        <v>99.72</v>
      </c>
      <c r="BQ424" s="2" t="s">
        <v>102</v>
      </c>
      <c r="BR424" s="2" t="s">
        <v>103</v>
      </c>
      <c r="BS424" s="3">
        <v>43074</v>
      </c>
      <c r="BT424" s="4">
        <v>0.5</v>
      </c>
      <c r="BU424" s="2" t="s">
        <v>915</v>
      </c>
      <c r="BV424" s="2" t="s">
        <v>85</v>
      </c>
      <c r="BY424" s="2">
        <v>1200</v>
      </c>
      <c r="CC424" s="2" t="s">
        <v>913</v>
      </c>
      <c r="CD424" s="2">
        <v>5099</v>
      </c>
      <c r="CE424" s="2" t="s">
        <v>120</v>
      </c>
      <c r="CF424" s="3">
        <v>43076</v>
      </c>
      <c r="CI424" s="2">
        <v>3</v>
      </c>
      <c r="CJ424" s="2">
        <v>2</v>
      </c>
      <c r="CK424" s="2">
        <v>23</v>
      </c>
      <c r="CL424" s="2" t="s">
        <v>89</v>
      </c>
    </row>
    <row r="425" spans="1:90">
      <c r="A425" s="2" t="s">
        <v>71</v>
      </c>
      <c r="B425" s="2" t="s">
        <v>72</v>
      </c>
      <c r="C425" s="2" t="s">
        <v>73</v>
      </c>
      <c r="E425" s="2" t="str">
        <f>"FES1162593411"</f>
        <v>FES1162593411</v>
      </c>
      <c r="F425" s="3">
        <v>43073</v>
      </c>
      <c r="G425" s="2">
        <v>201806</v>
      </c>
      <c r="H425" s="2" t="s">
        <v>74</v>
      </c>
      <c r="I425" s="2" t="s">
        <v>75</v>
      </c>
      <c r="J425" s="2" t="s">
        <v>97</v>
      </c>
      <c r="K425" s="2" t="s">
        <v>77</v>
      </c>
      <c r="L425" s="2" t="s">
        <v>325</v>
      </c>
      <c r="M425" s="2" t="s">
        <v>326</v>
      </c>
      <c r="N425" s="2" t="s">
        <v>916</v>
      </c>
      <c r="O425" s="2" t="s">
        <v>101</v>
      </c>
      <c r="P425" s="2" t="str">
        <f>"2170603295                    "</f>
        <v xml:space="preserve">2170603295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5.65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45.15</v>
      </c>
      <c r="BM425" s="2">
        <v>6.32</v>
      </c>
      <c r="BN425" s="2">
        <v>51.47</v>
      </c>
      <c r="BO425" s="2">
        <v>51.47</v>
      </c>
      <c r="BQ425" s="2" t="s">
        <v>102</v>
      </c>
      <c r="BR425" s="2" t="s">
        <v>103</v>
      </c>
      <c r="BS425" s="3">
        <v>43074</v>
      </c>
      <c r="BT425" s="4">
        <v>0.56111111111111112</v>
      </c>
      <c r="BU425" s="2" t="s">
        <v>917</v>
      </c>
      <c r="BV425" s="2" t="s">
        <v>89</v>
      </c>
      <c r="BY425" s="2">
        <v>1200</v>
      </c>
      <c r="BZ425" s="2" t="s">
        <v>27</v>
      </c>
      <c r="CA425" s="2" t="s">
        <v>329</v>
      </c>
      <c r="CC425" s="2" t="s">
        <v>326</v>
      </c>
      <c r="CD425" s="2">
        <v>1960</v>
      </c>
      <c r="CE425" s="2" t="s">
        <v>120</v>
      </c>
      <c r="CF425" s="3">
        <v>43076</v>
      </c>
      <c r="CI425" s="2">
        <v>1</v>
      </c>
      <c r="CJ425" s="2">
        <v>1</v>
      </c>
      <c r="CK425" s="2">
        <v>21</v>
      </c>
      <c r="CL425" s="2" t="s">
        <v>89</v>
      </c>
    </row>
    <row r="426" spans="1:90">
      <c r="A426" s="2" t="s">
        <v>71</v>
      </c>
      <c r="B426" s="2" t="s">
        <v>72</v>
      </c>
      <c r="C426" s="2" t="s">
        <v>73</v>
      </c>
      <c r="E426" s="2" t="str">
        <f>"FES1162593416"</f>
        <v>FES1162593416</v>
      </c>
      <c r="F426" s="3">
        <v>43073</v>
      </c>
      <c r="G426" s="2">
        <v>201806</v>
      </c>
      <c r="H426" s="2" t="s">
        <v>74</v>
      </c>
      <c r="I426" s="2" t="s">
        <v>75</v>
      </c>
      <c r="J426" s="2" t="s">
        <v>97</v>
      </c>
      <c r="K426" s="2" t="s">
        <v>77</v>
      </c>
      <c r="L426" s="2" t="s">
        <v>262</v>
      </c>
      <c r="M426" s="2" t="s">
        <v>263</v>
      </c>
      <c r="N426" s="2" t="s">
        <v>809</v>
      </c>
      <c r="O426" s="2" t="s">
        <v>101</v>
      </c>
      <c r="P426" s="2" t="str">
        <f>"2170603359                    "</f>
        <v xml:space="preserve">2170603359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9.8800000000000008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3.2</v>
      </c>
      <c r="BJ426" s="2">
        <v>1.8</v>
      </c>
      <c r="BK426" s="2">
        <v>3.5</v>
      </c>
      <c r="BL426" s="2">
        <v>78.989999999999995</v>
      </c>
      <c r="BM426" s="2">
        <v>11.06</v>
      </c>
      <c r="BN426" s="2">
        <v>90.05</v>
      </c>
      <c r="BO426" s="2">
        <v>90.05</v>
      </c>
      <c r="BQ426" s="2" t="s">
        <v>102</v>
      </c>
      <c r="BR426" s="2" t="s">
        <v>103</v>
      </c>
      <c r="BS426" s="3">
        <v>43074</v>
      </c>
      <c r="BT426" s="4">
        <v>0.3298611111111111</v>
      </c>
      <c r="BU426" s="2" t="s">
        <v>810</v>
      </c>
      <c r="BV426" s="2" t="s">
        <v>85</v>
      </c>
      <c r="BY426" s="2">
        <v>9127.2000000000007</v>
      </c>
      <c r="BZ426" s="2" t="s">
        <v>27</v>
      </c>
      <c r="CA426" s="2" t="s">
        <v>611</v>
      </c>
      <c r="CC426" s="2" t="s">
        <v>263</v>
      </c>
      <c r="CD426" s="2">
        <v>6229</v>
      </c>
      <c r="CE426" s="2" t="s">
        <v>87</v>
      </c>
      <c r="CF426" s="3">
        <v>43075</v>
      </c>
      <c r="CI426" s="2">
        <v>1</v>
      </c>
      <c r="CJ426" s="2">
        <v>1</v>
      </c>
      <c r="CK426" s="2">
        <v>21</v>
      </c>
      <c r="CL426" s="2" t="s">
        <v>89</v>
      </c>
    </row>
    <row r="427" spans="1:90">
      <c r="A427" s="2" t="s">
        <v>71</v>
      </c>
      <c r="B427" s="2" t="s">
        <v>72</v>
      </c>
      <c r="C427" s="2" t="s">
        <v>73</v>
      </c>
      <c r="E427" s="2" t="str">
        <f>"FES1162593084"</f>
        <v>FES1162593084</v>
      </c>
      <c r="F427" s="3">
        <v>43070</v>
      </c>
      <c r="G427" s="2">
        <v>201806</v>
      </c>
      <c r="H427" s="2" t="s">
        <v>74</v>
      </c>
      <c r="I427" s="2" t="s">
        <v>75</v>
      </c>
      <c r="J427" s="2" t="s">
        <v>97</v>
      </c>
      <c r="K427" s="2" t="s">
        <v>77</v>
      </c>
      <c r="L427" s="2" t="s">
        <v>145</v>
      </c>
      <c r="M427" s="2" t="s">
        <v>146</v>
      </c>
      <c r="N427" s="2" t="s">
        <v>753</v>
      </c>
      <c r="O427" s="2" t="s">
        <v>101</v>
      </c>
      <c r="P427" s="2" t="str">
        <f>"2170605445                    "</f>
        <v xml:space="preserve">2170605445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53.64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17</v>
      </c>
      <c r="BJ427" s="2">
        <v>19</v>
      </c>
      <c r="BK427" s="2">
        <v>19</v>
      </c>
      <c r="BL427" s="2">
        <v>428.72</v>
      </c>
      <c r="BM427" s="2">
        <v>60.02</v>
      </c>
      <c r="BN427" s="2">
        <v>488.74</v>
      </c>
      <c r="BO427" s="2">
        <v>488.74</v>
      </c>
      <c r="BQ427" s="2" t="s">
        <v>82</v>
      </c>
      <c r="BR427" s="2" t="s">
        <v>103</v>
      </c>
      <c r="BS427" s="3">
        <v>43073</v>
      </c>
      <c r="BT427" s="4">
        <v>0.41388888888888892</v>
      </c>
      <c r="BU427" s="2" t="s">
        <v>524</v>
      </c>
      <c r="BV427" s="2" t="s">
        <v>85</v>
      </c>
      <c r="BY427" s="2">
        <v>95233.32</v>
      </c>
      <c r="BZ427" s="2" t="s">
        <v>27</v>
      </c>
      <c r="CA427" s="2" t="s">
        <v>754</v>
      </c>
      <c r="CC427" s="2" t="s">
        <v>146</v>
      </c>
      <c r="CD427" s="2">
        <v>5201</v>
      </c>
      <c r="CE427" s="2" t="s">
        <v>95</v>
      </c>
      <c r="CF427" s="3">
        <v>43074</v>
      </c>
      <c r="CI427" s="2">
        <v>1</v>
      </c>
      <c r="CJ427" s="2">
        <v>1</v>
      </c>
      <c r="CK427" s="2">
        <v>21</v>
      </c>
      <c r="CL427" s="2" t="s">
        <v>89</v>
      </c>
    </row>
    <row r="428" spans="1:90">
      <c r="A428" s="2" t="s">
        <v>71</v>
      </c>
      <c r="B428" s="2" t="s">
        <v>72</v>
      </c>
      <c r="C428" s="2" t="s">
        <v>73</v>
      </c>
      <c r="E428" s="2" t="str">
        <f>"FES1162593477"</f>
        <v>FES1162593477</v>
      </c>
      <c r="F428" s="3">
        <v>43073</v>
      </c>
      <c r="G428" s="2">
        <v>201806</v>
      </c>
      <c r="H428" s="2" t="s">
        <v>74</v>
      </c>
      <c r="I428" s="2" t="s">
        <v>75</v>
      </c>
      <c r="J428" s="2" t="s">
        <v>97</v>
      </c>
      <c r="K428" s="2" t="s">
        <v>77</v>
      </c>
      <c r="L428" s="2" t="s">
        <v>136</v>
      </c>
      <c r="M428" s="2" t="s">
        <v>137</v>
      </c>
      <c r="N428" s="2" t="s">
        <v>662</v>
      </c>
      <c r="O428" s="2" t="s">
        <v>101</v>
      </c>
      <c r="P428" s="2" t="str">
        <f>"2170604984                    "</f>
        <v xml:space="preserve">2170604984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36.700000000000003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13</v>
      </c>
      <c r="BJ428" s="2">
        <v>6.4</v>
      </c>
      <c r="BK428" s="2">
        <v>13</v>
      </c>
      <c r="BL428" s="2">
        <v>293.33999999999997</v>
      </c>
      <c r="BM428" s="2">
        <v>41.07</v>
      </c>
      <c r="BN428" s="2">
        <v>334.41</v>
      </c>
      <c r="BO428" s="2">
        <v>334.41</v>
      </c>
      <c r="BQ428" s="2" t="s">
        <v>128</v>
      </c>
      <c r="BR428" s="2" t="s">
        <v>103</v>
      </c>
      <c r="BS428" s="3">
        <v>43074</v>
      </c>
      <c r="BT428" s="4">
        <v>0.31458333333333333</v>
      </c>
      <c r="BU428" s="2" t="s">
        <v>663</v>
      </c>
      <c r="BV428" s="2" t="s">
        <v>85</v>
      </c>
      <c r="BY428" s="2">
        <v>31856.41</v>
      </c>
      <c r="BZ428" s="2" t="s">
        <v>27</v>
      </c>
      <c r="CA428" s="2" t="s">
        <v>448</v>
      </c>
      <c r="CC428" s="2" t="s">
        <v>137</v>
      </c>
      <c r="CD428" s="2">
        <v>6012</v>
      </c>
      <c r="CE428" s="2" t="s">
        <v>87</v>
      </c>
      <c r="CF428" s="3">
        <v>43075</v>
      </c>
      <c r="CI428" s="2">
        <v>1</v>
      </c>
      <c r="CJ428" s="2">
        <v>1</v>
      </c>
      <c r="CK428" s="2">
        <v>21</v>
      </c>
      <c r="CL428" s="2" t="s">
        <v>89</v>
      </c>
    </row>
    <row r="429" spans="1:90">
      <c r="A429" s="2" t="s">
        <v>71</v>
      </c>
      <c r="B429" s="2" t="s">
        <v>72</v>
      </c>
      <c r="C429" s="2" t="s">
        <v>73</v>
      </c>
      <c r="E429" s="2" t="str">
        <f>"FES1162592598"</f>
        <v>FES1162592598</v>
      </c>
      <c r="F429" s="3">
        <v>43070</v>
      </c>
      <c r="G429" s="2">
        <v>201806</v>
      </c>
      <c r="H429" s="2" t="s">
        <v>74</v>
      </c>
      <c r="I429" s="2" t="s">
        <v>75</v>
      </c>
      <c r="J429" s="2" t="s">
        <v>97</v>
      </c>
      <c r="K429" s="2" t="s">
        <v>77</v>
      </c>
      <c r="L429" s="2" t="s">
        <v>106</v>
      </c>
      <c r="M429" s="2" t="s">
        <v>107</v>
      </c>
      <c r="N429" s="2" t="s">
        <v>108</v>
      </c>
      <c r="O429" s="2" t="s">
        <v>101</v>
      </c>
      <c r="P429" s="2" t="str">
        <f>"2170601655                    "</f>
        <v xml:space="preserve">2170601655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4.41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4.7</v>
      </c>
      <c r="BJ429" s="2">
        <v>3.4</v>
      </c>
      <c r="BK429" s="2">
        <v>5</v>
      </c>
      <c r="BL429" s="2">
        <v>35.270000000000003</v>
      </c>
      <c r="BM429" s="2">
        <v>4.9400000000000004</v>
      </c>
      <c r="BN429" s="2">
        <v>40.21</v>
      </c>
      <c r="BO429" s="2">
        <v>40.21</v>
      </c>
      <c r="BQ429" s="2" t="s">
        <v>82</v>
      </c>
      <c r="BR429" s="2" t="s">
        <v>103</v>
      </c>
      <c r="BS429" s="3">
        <v>43073</v>
      </c>
      <c r="BT429" s="4">
        <v>0.39166666666666666</v>
      </c>
      <c r="BU429" s="2" t="s">
        <v>643</v>
      </c>
      <c r="BV429" s="2" t="s">
        <v>85</v>
      </c>
      <c r="BY429" s="2">
        <v>17231.939999999999</v>
      </c>
      <c r="CA429" s="2" t="s">
        <v>644</v>
      </c>
      <c r="CC429" s="2" t="s">
        <v>107</v>
      </c>
      <c r="CD429" s="2">
        <v>2094</v>
      </c>
      <c r="CE429" s="2" t="s">
        <v>95</v>
      </c>
      <c r="CF429" s="3">
        <v>43075</v>
      </c>
      <c r="CI429" s="2">
        <v>1</v>
      </c>
      <c r="CJ429" s="2">
        <v>1</v>
      </c>
      <c r="CK429" s="2">
        <v>22</v>
      </c>
      <c r="CL429" s="2" t="s">
        <v>89</v>
      </c>
    </row>
    <row r="430" spans="1:90">
      <c r="A430" s="2" t="s">
        <v>71</v>
      </c>
      <c r="B430" s="2" t="s">
        <v>72</v>
      </c>
      <c r="C430" s="2" t="s">
        <v>73</v>
      </c>
      <c r="E430" s="2" t="str">
        <f>"FES1162593482"</f>
        <v>FES1162593482</v>
      </c>
      <c r="F430" s="3">
        <v>43073</v>
      </c>
      <c r="G430" s="2">
        <v>201806</v>
      </c>
      <c r="H430" s="2" t="s">
        <v>74</v>
      </c>
      <c r="I430" s="2" t="s">
        <v>75</v>
      </c>
      <c r="J430" s="2" t="s">
        <v>97</v>
      </c>
      <c r="K430" s="2" t="s">
        <v>77</v>
      </c>
      <c r="L430" s="2" t="s">
        <v>136</v>
      </c>
      <c r="M430" s="2" t="s">
        <v>137</v>
      </c>
      <c r="N430" s="2" t="s">
        <v>918</v>
      </c>
      <c r="O430" s="2" t="s">
        <v>101</v>
      </c>
      <c r="P430" s="2" t="str">
        <f>"2170605018                    "</f>
        <v xml:space="preserve">2170605018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11.29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2.9</v>
      </c>
      <c r="BJ430" s="2">
        <v>3.7</v>
      </c>
      <c r="BK430" s="2">
        <v>4</v>
      </c>
      <c r="BL430" s="2">
        <v>90.27</v>
      </c>
      <c r="BM430" s="2">
        <v>12.64</v>
      </c>
      <c r="BN430" s="2">
        <v>102.91</v>
      </c>
      <c r="BO430" s="2">
        <v>102.91</v>
      </c>
      <c r="BQ430" s="2" t="s">
        <v>128</v>
      </c>
      <c r="BR430" s="2" t="s">
        <v>103</v>
      </c>
      <c r="BS430" s="3">
        <v>43074</v>
      </c>
      <c r="BT430" s="4">
        <v>0.3215277777777778</v>
      </c>
      <c r="BU430" s="2" t="s">
        <v>919</v>
      </c>
      <c r="BV430" s="2" t="s">
        <v>85</v>
      </c>
      <c r="BY430" s="2">
        <v>18681.75</v>
      </c>
      <c r="BZ430" s="2" t="s">
        <v>27</v>
      </c>
      <c r="CA430" s="2" t="s">
        <v>448</v>
      </c>
      <c r="CC430" s="2" t="s">
        <v>137</v>
      </c>
      <c r="CD430" s="2">
        <v>6012</v>
      </c>
      <c r="CE430" s="2" t="s">
        <v>87</v>
      </c>
      <c r="CF430" s="3">
        <v>43075</v>
      </c>
      <c r="CI430" s="2">
        <v>1</v>
      </c>
      <c r="CJ430" s="2">
        <v>1</v>
      </c>
      <c r="CK430" s="2">
        <v>21</v>
      </c>
      <c r="CL430" s="2" t="s">
        <v>89</v>
      </c>
    </row>
    <row r="431" spans="1:90">
      <c r="A431" s="2" t="s">
        <v>71</v>
      </c>
      <c r="B431" s="2" t="s">
        <v>72</v>
      </c>
      <c r="C431" s="2" t="s">
        <v>73</v>
      </c>
      <c r="E431" s="2" t="str">
        <f>"FES1162592590"</f>
        <v>FES1162592590</v>
      </c>
      <c r="F431" s="3">
        <v>43070</v>
      </c>
      <c r="G431" s="2">
        <v>201806</v>
      </c>
      <c r="H431" s="2" t="s">
        <v>74</v>
      </c>
      <c r="I431" s="2" t="s">
        <v>75</v>
      </c>
      <c r="J431" s="2" t="s">
        <v>97</v>
      </c>
      <c r="K431" s="2" t="s">
        <v>77</v>
      </c>
      <c r="L431" s="2" t="s">
        <v>277</v>
      </c>
      <c r="M431" s="2" t="s">
        <v>278</v>
      </c>
      <c r="N431" s="2" t="s">
        <v>920</v>
      </c>
      <c r="O431" s="2" t="s">
        <v>101</v>
      </c>
      <c r="P431" s="2" t="str">
        <f>"2170601582                    "</f>
        <v xml:space="preserve">2170601582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4.41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7.7</v>
      </c>
      <c r="BJ431" s="2">
        <v>4.4000000000000004</v>
      </c>
      <c r="BK431" s="2">
        <v>8</v>
      </c>
      <c r="BL431" s="2">
        <v>35.270000000000003</v>
      </c>
      <c r="BM431" s="2">
        <v>4.9400000000000004</v>
      </c>
      <c r="BN431" s="2">
        <v>40.21</v>
      </c>
      <c r="BO431" s="2">
        <v>40.21</v>
      </c>
      <c r="BQ431" s="2" t="s">
        <v>128</v>
      </c>
      <c r="BR431" s="2" t="s">
        <v>103</v>
      </c>
      <c r="BS431" s="3">
        <v>43073</v>
      </c>
      <c r="BT431" s="4">
        <v>0.4375</v>
      </c>
      <c r="BU431" s="2" t="s">
        <v>921</v>
      </c>
      <c r="BV431" s="2" t="s">
        <v>85</v>
      </c>
      <c r="BY431" s="2">
        <v>22171.29</v>
      </c>
      <c r="CA431" s="2" t="s">
        <v>320</v>
      </c>
      <c r="CC431" s="2" t="s">
        <v>278</v>
      </c>
      <c r="CD431" s="2">
        <v>2162</v>
      </c>
      <c r="CE431" s="2" t="s">
        <v>95</v>
      </c>
      <c r="CF431" s="3">
        <v>43075</v>
      </c>
      <c r="CI431" s="2">
        <v>1</v>
      </c>
      <c r="CJ431" s="2">
        <v>1</v>
      </c>
      <c r="CK431" s="2">
        <v>22</v>
      </c>
      <c r="CL431" s="2" t="s">
        <v>89</v>
      </c>
    </row>
    <row r="432" spans="1:90">
      <c r="A432" s="2" t="s">
        <v>71</v>
      </c>
      <c r="B432" s="2" t="s">
        <v>72</v>
      </c>
      <c r="C432" s="2" t="s">
        <v>73</v>
      </c>
      <c r="E432" s="2" t="str">
        <f>"FES1162593475"</f>
        <v>FES1162593475</v>
      </c>
      <c r="F432" s="3">
        <v>43073</v>
      </c>
      <c r="G432" s="2">
        <v>201806</v>
      </c>
      <c r="H432" s="2" t="s">
        <v>74</v>
      </c>
      <c r="I432" s="2" t="s">
        <v>75</v>
      </c>
      <c r="J432" s="2" t="s">
        <v>97</v>
      </c>
      <c r="K432" s="2" t="s">
        <v>77</v>
      </c>
      <c r="L432" s="2" t="s">
        <v>136</v>
      </c>
      <c r="M432" s="2" t="s">
        <v>137</v>
      </c>
      <c r="N432" s="2" t="s">
        <v>138</v>
      </c>
      <c r="O432" s="2" t="s">
        <v>101</v>
      </c>
      <c r="P432" s="2" t="str">
        <f>"2170604962                    "</f>
        <v xml:space="preserve">2170604962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14.12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4.7</v>
      </c>
      <c r="BJ432" s="2">
        <v>1.7</v>
      </c>
      <c r="BK432" s="2">
        <v>5</v>
      </c>
      <c r="BL432" s="2">
        <v>112.84</v>
      </c>
      <c r="BM432" s="2">
        <v>15.8</v>
      </c>
      <c r="BN432" s="2">
        <v>128.63999999999999</v>
      </c>
      <c r="BO432" s="2">
        <v>128.63999999999999</v>
      </c>
      <c r="BQ432" s="2" t="s">
        <v>82</v>
      </c>
      <c r="BR432" s="2" t="s">
        <v>103</v>
      </c>
      <c r="BS432" s="3">
        <v>43074</v>
      </c>
      <c r="BT432" s="4">
        <v>0.35416666666666669</v>
      </c>
      <c r="BU432" s="2" t="s">
        <v>690</v>
      </c>
      <c r="BV432" s="2" t="s">
        <v>85</v>
      </c>
      <c r="BY432" s="2">
        <v>8670.27</v>
      </c>
      <c r="BZ432" s="2" t="s">
        <v>27</v>
      </c>
      <c r="CA432" s="2" t="s">
        <v>448</v>
      </c>
      <c r="CC432" s="2" t="s">
        <v>137</v>
      </c>
      <c r="CD432" s="2">
        <v>6001</v>
      </c>
      <c r="CE432" s="2" t="s">
        <v>95</v>
      </c>
      <c r="CF432" s="3">
        <v>43075</v>
      </c>
      <c r="CI432" s="2">
        <v>1</v>
      </c>
      <c r="CJ432" s="2">
        <v>1</v>
      </c>
      <c r="CK432" s="2">
        <v>21</v>
      </c>
      <c r="CL432" s="2" t="s">
        <v>89</v>
      </c>
    </row>
    <row r="433" spans="1:90">
      <c r="A433" s="2" t="s">
        <v>71</v>
      </c>
      <c r="B433" s="2" t="s">
        <v>72</v>
      </c>
      <c r="C433" s="2" t="s">
        <v>73</v>
      </c>
      <c r="E433" s="2" t="str">
        <f>"FES1162593051"</f>
        <v>FES1162593051</v>
      </c>
      <c r="F433" s="3">
        <v>43070</v>
      </c>
      <c r="G433" s="2">
        <v>201806</v>
      </c>
      <c r="H433" s="2" t="s">
        <v>74</v>
      </c>
      <c r="I433" s="2" t="s">
        <v>75</v>
      </c>
      <c r="J433" s="2" t="s">
        <v>97</v>
      </c>
      <c r="K433" s="2" t="s">
        <v>77</v>
      </c>
      <c r="L433" s="2" t="s">
        <v>173</v>
      </c>
      <c r="M433" s="2" t="s">
        <v>174</v>
      </c>
      <c r="N433" s="2" t="s">
        <v>175</v>
      </c>
      <c r="O433" s="2" t="s">
        <v>101</v>
      </c>
      <c r="P433" s="2" t="str">
        <f>"2170605432                    "</f>
        <v xml:space="preserve">2170605432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8.4700000000000006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3</v>
      </c>
      <c r="BJ433" s="2">
        <v>1.9</v>
      </c>
      <c r="BK433" s="2">
        <v>3</v>
      </c>
      <c r="BL433" s="2">
        <v>67.709999999999994</v>
      </c>
      <c r="BM433" s="2">
        <v>9.48</v>
      </c>
      <c r="BN433" s="2">
        <v>77.19</v>
      </c>
      <c r="BO433" s="2">
        <v>77.19</v>
      </c>
      <c r="BQ433" s="2" t="s">
        <v>102</v>
      </c>
      <c r="BR433" s="2" t="s">
        <v>103</v>
      </c>
      <c r="BS433" s="3">
        <v>43073</v>
      </c>
      <c r="BT433" s="4">
        <v>0.42083333333333334</v>
      </c>
      <c r="BU433" s="2" t="s">
        <v>176</v>
      </c>
      <c r="BV433" s="2" t="s">
        <v>85</v>
      </c>
      <c r="BY433" s="2">
        <v>9621.73</v>
      </c>
      <c r="BZ433" s="2" t="s">
        <v>27</v>
      </c>
      <c r="CA433" s="2" t="s">
        <v>177</v>
      </c>
      <c r="CC433" s="2" t="s">
        <v>174</v>
      </c>
      <c r="CD433" s="2">
        <v>7405</v>
      </c>
      <c r="CE433" s="2" t="s">
        <v>356</v>
      </c>
      <c r="CF433" s="3">
        <v>43074</v>
      </c>
      <c r="CI433" s="2">
        <v>1</v>
      </c>
      <c r="CJ433" s="2">
        <v>1</v>
      </c>
      <c r="CK433" s="2">
        <v>21</v>
      </c>
      <c r="CL433" s="2" t="s">
        <v>89</v>
      </c>
    </row>
    <row r="434" spans="1:90">
      <c r="A434" s="2" t="s">
        <v>71</v>
      </c>
      <c r="B434" s="2" t="s">
        <v>72</v>
      </c>
      <c r="C434" s="2" t="s">
        <v>73</v>
      </c>
      <c r="E434" s="2" t="str">
        <f>"FES1162593412"</f>
        <v>FES1162593412</v>
      </c>
      <c r="F434" s="3">
        <v>43073</v>
      </c>
      <c r="G434" s="2">
        <v>201806</v>
      </c>
      <c r="H434" s="2" t="s">
        <v>74</v>
      </c>
      <c r="I434" s="2" t="s">
        <v>75</v>
      </c>
      <c r="J434" s="2" t="s">
        <v>97</v>
      </c>
      <c r="K434" s="2" t="s">
        <v>77</v>
      </c>
      <c r="L434" s="2" t="s">
        <v>136</v>
      </c>
      <c r="M434" s="2" t="s">
        <v>137</v>
      </c>
      <c r="N434" s="2" t="s">
        <v>918</v>
      </c>
      <c r="O434" s="2" t="s">
        <v>101</v>
      </c>
      <c r="P434" s="2" t="str">
        <f>"2170603304                    "</f>
        <v xml:space="preserve">2170603304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9.8800000000000008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3.5</v>
      </c>
      <c r="BJ434" s="2">
        <v>1.6</v>
      </c>
      <c r="BK434" s="2">
        <v>3.5</v>
      </c>
      <c r="BL434" s="2">
        <v>78.989999999999995</v>
      </c>
      <c r="BM434" s="2">
        <v>11.06</v>
      </c>
      <c r="BN434" s="2">
        <v>90.05</v>
      </c>
      <c r="BO434" s="2">
        <v>90.05</v>
      </c>
      <c r="BQ434" s="2" t="s">
        <v>128</v>
      </c>
      <c r="BR434" s="2" t="s">
        <v>103</v>
      </c>
      <c r="BS434" s="3">
        <v>43074</v>
      </c>
      <c r="BT434" s="4">
        <v>0.3215277777777778</v>
      </c>
      <c r="BU434" s="2" t="s">
        <v>919</v>
      </c>
      <c r="BV434" s="2" t="s">
        <v>85</v>
      </c>
      <c r="BY434" s="2">
        <v>8216.2099999999991</v>
      </c>
      <c r="BZ434" s="2" t="s">
        <v>27</v>
      </c>
      <c r="CA434" s="2" t="s">
        <v>448</v>
      </c>
      <c r="CC434" s="2" t="s">
        <v>137</v>
      </c>
      <c r="CD434" s="2">
        <v>6012</v>
      </c>
      <c r="CE434" s="2" t="s">
        <v>95</v>
      </c>
      <c r="CF434" s="3">
        <v>43075</v>
      </c>
      <c r="CI434" s="2">
        <v>1</v>
      </c>
      <c r="CJ434" s="2">
        <v>1</v>
      </c>
      <c r="CK434" s="2">
        <v>21</v>
      </c>
      <c r="CL434" s="2" t="s">
        <v>89</v>
      </c>
    </row>
    <row r="435" spans="1:90">
      <c r="A435" s="2" t="s">
        <v>71</v>
      </c>
      <c r="B435" s="2" t="s">
        <v>72</v>
      </c>
      <c r="C435" s="2" t="s">
        <v>73</v>
      </c>
      <c r="E435" s="2" t="str">
        <f>"FES1162593465"</f>
        <v>FES1162593465</v>
      </c>
      <c r="F435" s="3">
        <v>43073</v>
      </c>
      <c r="G435" s="2">
        <v>201806</v>
      </c>
      <c r="H435" s="2" t="s">
        <v>74</v>
      </c>
      <c r="I435" s="2" t="s">
        <v>75</v>
      </c>
      <c r="J435" s="2" t="s">
        <v>97</v>
      </c>
      <c r="K435" s="2" t="s">
        <v>77</v>
      </c>
      <c r="L435" s="2" t="s">
        <v>145</v>
      </c>
      <c r="M435" s="2" t="s">
        <v>146</v>
      </c>
      <c r="N435" s="2" t="s">
        <v>922</v>
      </c>
      <c r="O435" s="2" t="s">
        <v>101</v>
      </c>
      <c r="P435" s="2" t="str">
        <f>"2170604794                    "</f>
        <v xml:space="preserve">2170604794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8.4700000000000006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1.4</v>
      </c>
      <c r="BJ435" s="2">
        <v>2.8</v>
      </c>
      <c r="BK435" s="2">
        <v>3</v>
      </c>
      <c r="BL435" s="2">
        <v>67.709999999999994</v>
      </c>
      <c r="BM435" s="2">
        <v>9.48</v>
      </c>
      <c r="BN435" s="2">
        <v>77.19</v>
      </c>
      <c r="BO435" s="2">
        <v>77.19</v>
      </c>
      <c r="BQ435" s="2" t="s">
        <v>102</v>
      </c>
      <c r="BR435" s="2" t="s">
        <v>103</v>
      </c>
      <c r="BS435" s="3">
        <v>43074</v>
      </c>
      <c r="BT435" s="4">
        <v>0.3743055555555555</v>
      </c>
      <c r="BU435" s="2" t="s">
        <v>923</v>
      </c>
      <c r="BV435" s="2" t="s">
        <v>85</v>
      </c>
      <c r="BY435" s="2">
        <v>13837.32</v>
      </c>
      <c r="BZ435" s="2" t="s">
        <v>27</v>
      </c>
      <c r="CA435" s="2" t="s">
        <v>629</v>
      </c>
      <c r="CC435" s="2" t="s">
        <v>146</v>
      </c>
      <c r="CD435" s="2">
        <v>5201</v>
      </c>
      <c r="CE435" s="2" t="s">
        <v>87</v>
      </c>
      <c r="CF435" s="3">
        <v>43076</v>
      </c>
      <c r="CI435" s="2">
        <v>1</v>
      </c>
      <c r="CJ435" s="2">
        <v>1</v>
      </c>
      <c r="CK435" s="2">
        <v>21</v>
      </c>
      <c r="CL435" s="2" t="s">
        <v>89</v>
      </c>
    </row>
    <row r="436" spans="1:90">
      <c r="A436" s="2" t="s">
        <v>71</v>
      </c>
      <c r="B436" s="2" t="s">
        <v>72</v>
      </c>
      <c r="C436" s="2" t="s">
        <v>73</v>
      </c>
      <c r="E436" s="2" t="str">
        <f>"FES1162593050"</f>
        <v>FES1162593050</v>
      </c>
      <c r="F436" s="3">
        <v>43070</v>
      </c>
      <c r="G436" s="2">
        <v>201806</v>
      </c>
      <c r="H436" s="2" t="s">
        <v>74</v>
      </c>
      <c r="I436" s="2" t="s">
        <v>75</v>
      </c>
      <c r="J436" s="2" t="s">
        <v>97</v>
      </c>
      <c r="K436" s="2" t="s">
        <v>77</v>
      </c>
      <c r="L436" s="2" t="s">
        <v>173</v>
      </c>
      <c r="M436" s="2" t="s">
        <v>174</v>
      </c>
      <c r="N436" s="2" t="s">
        <v>175</v>
      </c>
      <c r="O436" s="2" t="s">
        <v>101</v>
      </c>
      <c r="P436" s="2" t="str">
        <f>"2170605431                    "</f>
        <v xml:space="preserve">2170605431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18.350000000000001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6.3</v>
      </c>
      <c r="BJ436" s="2">
        <v>3.4</v>
      </c>
      <c r="BK436" s="2">
        <v>6.5</v>
      </c>
      <c r="BL436" s="2">
        <v>146.68</v>
      </c>
      <c r="BM436" s="2">
        <v>20.54</v>
      </c>
      <c r="BN436" s="2">
        <v>167.22</v>
      </c>
      <c r="BO436" s="2">
        <v>167.22</v>
      </c>
      <c r="BQ436" s="2" t="s">
        <v>102</v>
      </c>
      <c r="BR436" s="2" t="s">
        <v>103</v>
      </c>
      <c r="BS436" s="3">
        <v>43073</v>
      </c>
      <c r="BT436" s="4">
        <v>0.42152777777777778</v>
      </c>
      <c r="BU436" s="2" t="s">
        <v>176</v>
      </c>
      <c r="BV436" s="2" t="s">
        <v>85</v>
      </c>
      <c r="BY436" s="2">
        <v>16935.11</v>
      </c>
      <c r="BZ436" s="2" t="s">
        <v>27</v>
      </c>
      <c r="CA436" s="2" t="s">
        <v>177</v>
      </c>
      <c r="CC436" s="2" t="s">
        <v>174</v>
      </c>
      <c r="CD436" s="2">
        <v>7405</v>
      </c>
      <c r="CE436" s="2" t="s">
        <v>95</v>
      </c>
      <c r="CF436" s="3">
        <v>43074</v>
      </c>
      <c r="CI436" s="2">
        <v>1</v>
      </c>
      <c r="CJ436" s="2">
        <v>1</v>
      </c>
      <c r="CK436" s="2">
        <v>21</v>
      </c>
      <c r="CL436" s="2" t="s">
        <v>89</v>
      </c>
    </row>
    <row r="437" spans="1:90">
      <c r="A437" s="2" t="s">
        <v>71</v>
      </c>
      <c r="B437" s="2" t="s">
        <v>72</v>
      </c>
      <c r="C437" s="2" t="s">
        <v>73</v>
      </c>
      <c r="E437" s="2" t="str">
        <f>"FES1162593502"</f>
        <v>FES1162593502</v>
      </c>
      <c r="F437" s="3">
        <v>43073</v>
      </c>
      <c r="G437" s="2">
        <v>201806</v>
      </c>
      <c r="H437" s="2" t="s">
        <v>74</v>
      </c>
      <c r="I437" s="2" t="s">
        <v>75</v>
      </c>
      <c r="J437" s="2" t="s">
        <v>97</v>
      </c>
      <c r="K437" s="2" t="s">
        <v>77</v>
      </c>
      <c r="L437" s="2" t="s">
        <v>136</v>
      </c>
      <c r="M437" s="2" t="s">
        <v>137</v>
      </c>
      <c r="N437" s="2" t="s">
        <v>823</v>
      </c>
      <c r="O437" s="2" t="s">
        <v>101</v>
      </c>
      <c r="P437" s="2" t="str">
        <f>"2170605398                    "</f>
        <v xml:space="preserve">2170605398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12.71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2</v>
      </c>
      <c r="BJ437" s="2">
        <v>4.0999999999999996</v>
      </c>
      <c r="BK437" s="2">
        <v>4.5</v>
      </c>
      <c r="BL437" s="2">
        <v>101.56</v>
      </c>
      <c r="BM437" s="2">
        <v>14.22</v>
      </c>
      <c r="BN437" s="2">
        <v>115.78</v>
      </c>
      <c r="BO437" s="2">
        <v>115.78</v>
      </c>
      <c r="BQ437" s="2" t="s">
        <v>924</v>
      </c>
      <c r="BR437" s="2" t="s">
        <v>103</v>
      </c>
      <c r="BS437" s="3">
        <v>43074</v>
      </c>
      <c r="BT437" s="4">
        <v>0.34722222222222227</v>
      </c>
      <c r="BU437" s="2" t="s">
        <v>824</v>
      </c>
      <c r="BV437" s="2" t="s">
        <v>85</v>
      </c>
      <c r="BY437" s="2">
        <v>20358</v>
      </c>
      <c r="BZ437" s="2" t="s">
        <v>27</v>
      </c>
      <c r="CA437" s="2" t="s">
        <v>180</v>
      </c>
      <c r="CC437" s="2" t="s">
        <v>137</v>
      </c>
      <c r="CD437" s="2">
        <v>6001</v>
      </c>
      <c r="CE437" s="2" t="s">
        <v>95</v>
      </c>
      <c r="CF437" s="3">
        <v>43075</v>
      </c>
      <c r="CI437" s="2">
        <v>1</v>
      </c>
      <c r="CJ437" s="2">
        <v>1</v>
      </c>
      <c r="CK437" s="2">
        <v>21</v>
      </c>
      <c r="CL437" s="2" t="s">
        <v>89</v>
      </c>
    </row>
    <row r="438" spans="1:90">
      <c r="A438" s="2" t="s">
        <v>71</v>
      </c>
      <c r="B438" s="2" t="s">
        <v>72</v>
      </c>
      <c r="C438" s="2" t="s">
        <v>73</v>
      </c>
      <c r="E438" s="2" t="str">
        <f>"FES1162592968"</f>
        <v>FES1162592968</v>
      </c>
      <c r="F438" s="3">
        <v>43070</v>
      </c>
      <c r="G438" s="2">
        <v>201806</v>
      </c>
      <c r="H438" s="2" t="s">
        <v>74</v>
      </c>
      <c r="I438" s="2" t="s">
        <v>75</v>
      </c>
      <c r="J438" s="2" t="s">
        <v>97</v>
      </c>
      <c r="K438" s="2" t="s">
        <v>77</v>
      </c>
      <c r="L438" s="2" t="s">
        <v>74</v>
      </c>
      <c r="M438" s="2" t="s">
        <v>75</v>
      </c>
      <c r="N438" s="2" t="s">
        <v>925</v>
      </c>
      <c r="O438" s="2" t="s">
        <v>101</v>
      </c>
      <c r="P438" s="2" t="str">
        <f>"2170604738                    "</f>
        <v xml:space="preserve">2170604738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4.41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0.9</v>
      </c>
      <c r="BK438" s="2">
        <v>1</v>
      </c>
      <c r="BL438" s="2">
        <v>35.270000000000003</v>
      </c>
      <c r="BM438" s="2">
        <v>4.9400000000000004</v>
      </c>
      <c r="BN438" s="2">
        <v>40.21</v>
      </c>
      <c r="BO438" s="2">
        <v>40.21</v>
      </c>
      <c r="BQ438" s="2" t="s">
        <v>926</v>
      </c>
      <c r="BR438" s="2" t="s">
        <v>103</v>
      </c>
      <c r="BS438" s="3">
        <v>43073</v>
      </c>
      <c r="BT438" s="4">
        <v>0.37222222222222223</v>
      </c>
      <c r="BU438" s="2" t="s">
        <v>927</v>
      </c>
      <c r="BV438" s="2" t="s">
        <v>85</v>
      </c>
      <c r="BY438" s="2">
        <v>4500</v>
      </c>
      <c r="BZ438" s="2" t="s">
        <v>27</v>
      </c>
      <c r="CA438" s="2" t="s">
        <v>355</v>
      </c>
      <c r="CC438" s="2" t="s">
        <v>75</v>
      </c>
      <c r="CD438" s="2">
        <v>1600</v>
      </c>
      <c r="CE438" s="2" t="s">
        <v>356</v>
      </c>
      <c r="CF438" s="3">
        <v>43074</v>
      </c>
      <c r="CI438" s="2">
        <v>1</v>
      </c>
      <c r="CJ438" s="2">
        <v>1</v>
      </c>
      <c r="CK438" s="2">
        <v>22</v>
      </c>
      <c r="CL438" s="2" t="s">
        <v>89</v>
      </c>
    </row>
    <row r="439" spans="1:90">
      <c r="A439" s="2" t="s">
        <v>71</v>
      </c>
      <c r="B439" s="2" t="s">
        <v>72</v>
      </c>
      <c r="C439" s="2" t="s">
        <v>73</v>
      </c>
      <c r="E439" s="2" t="str">
        <f>"FES1162593445"</f>
        <v>FES1162593445</v>
      </c>
      <c r="F439" s="3">
        <v>43073</v>
      </c>
      <c r="G439" s="2">
        <v>201806</v>
      </c>
      <c r="H439" s="2" t="s">
        <v>74</v>
      </c>
      <c r="I439" s="2" t="s">
        <v>75</v>
      </c>
      <c r="J439" s="2" t="s">
        <v>97</v>
      </c>
      <c r="K439" s="2" t="s">
        <v>77</v>
      </c>
      <c r="L439" s="2" t="s">
        <v>462</v>
      </c>
      <c r="M439" s="2" t="s">
        <v>463</v>
      </c>
      <c r="N439" s="2" t="s">
        <v>464</v>
      </c>
      <c r="O439" s="2" t="s">
        <v>101</v>
      </c>
      <c r="P439" s="2" t="str">
        <f>"2170604247                    "</f>
        <v xml:space="preserve">2170604247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5.65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1.9</v>
      </c>
      <c r="BJ439" s="2">
        <v>0.9</v>
      </c>
      <c r="BK439" s="2">
        <v>2</v>
      </c>
      <c r="BL439" s="2">
        <v>45.15</v>
      </c>
      <c r="BM439" s="2">
        <v>6.32</v>
      </c>
      <c r="BN439" s="2">
        <v>51.47</v>
      </c>
      <c r="BO439" s="2">
        <v>51.47</v>
      </c>
      <c r="BQ439" s="2" t="s">
        <v>465</v>
      </c>
      <c r="BR439" s="2" t="s">
        <v>103</v>
      </c>
      <c r="BS439" s="3">
        <v>43074</v>
      </c>
      <c r="BT439" s="4">
        <v>0.76180555555555562</v>
      </c>
      <c r="BU439" s="2" t="s">
        <v>466</v>
      </c>
      <c r="BV439" s="2" t="s">
        <v>89</v>
      </c>
      <c r="BW439" s="2" t="s">
        <v>471</v>
      </c>
      <c r="BX439" s="2" t="s">
        <v>246</v>
      </c>
      <c r="BY439" s="2">
        <v>4678.5200000000004</v>
      </c>
      <c r="BZ439" s="2" t="s">
        <v>27</v>
      </c>
      <c r="CA439" s="2" t="s">
        <v>542</v>
      </c>
      <c r="CC439" s="2" t="s">
        <v>463</v>
      </c>
      <c r="CD439" s="2">
        <v>7130</v>
      </c>
      <c r="CE439" s="2" t="s">
        <v>87</v>
      </c>
      <c r="CF439" s="3">
        <v>43075</v>
      </c>
      <c r="CI439" s="2">
        <v>1</v>
      </c>
      <c r="CJ439" s="2">
        <v>1</v>
      </c>
      <c r="CK439" s="2">
        <v>21</v>
      </c>
      <c r="CL439" s="2" t="s">
        <v>89</v>
      </c>
    </row>
    <row r="440" spans="1:90">
      <c r="A440" s="2" t="s">
        <v>71</v>
      </c>
      <c r="B440" s="2" t="s">
        <v>72</v>
      </c>
      <c r="C440" s="2" t="s">
        <v>73</v>
      </c>
      <c r="E440" s="2" t="str">
        <f>"FES1162592907"</f>
        <v>FES1162592907</v>
      </c>
      <c r="F440" s="3">
        <v>43070</v>
      </c>
      <c r="G440" s="2">
        <v>201806</v>
      </c>
      <c r="H440" s="2" t="s">
        <v>74</v>
      </c>
      <c r="I440" s="2" t="s">
        <v>75</v>
      </c>
      <c r="J440" s="2" t="s">
        <v>97</v>
      </c>
      <c r="K440" s="2" t="s">
        <v>77</v>
      </c>
      <c r="L440" s="2" t="s">
        <v>277</v>
      </c>
      <c r="M440" s="2" t="s">
        <v>278</v>
      </c>
      <c r="N440" s="2" t="s">
        <v>808</v>
      </c>
      <c r="O440" s="2" t="s">
        <v>101</v>
      </c>
      <c r="P440" s="2" t="str">
        <f>"2170604934                    "</f>
        <v xml:space="preserve">2170604934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4.41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5.5</v>
      </c>
      <c r="BJ440" s="2">
        <v>3.5</v>
      </c>
      <c r="BK440" s="2">
        <v>6</v>
      </c>
      <c r="BL440" s="2">
        <v>35.270000000000003</v>
      </c>
      <c r="BM440" s="2">
        <v>4.9400000000000004</v>
      </c>
      <c r="BN440" s="2">
        <v>40.21</v>
      </c>
      <c r="BO440" s="2">
        <v>40.21</v>
      </c>
      <c r="BQ440" s="2" t="s">
        <v>102</v>
      </c>
      <c r="BR440" s="2" t="s">
        <v>103</v>
      </c>
      <c r="BS440" s="3">
        <v>43073</v>
      </c>
      <c r="BT440" s="4">
        <v>0.4375</v>
      </c>
      <c r="BU440" s="2" t="s">
        <v>106</v>
      </c>
      <c r="BV440" s="2" t="s">
        <v>85</v>
      </c>
      <c r="BY440" s="2">
        <v>17515.87</v>
      </c>
      <c r="CA440" s="2" t="s">
        <v>320</v>
      </c>
      <c r="CC440" s="2" t="s">
        <v>278</v>
      </c>
      <c r="CD440" s="2">
        <v>2170</v>
      </c>
      <c r="CE440" s="2" t="s">
        <v>95</v>
      </c>
      <c r="CF440" s="3">
        <v>43075</v>
      </c>
      <c r="CI440" s="2">
        <v>1</v>
      </c>
      <c r="CJ440" s="2">
        <v>1</v>
      </c>
      <c r="CK440" s="2">
        <v>22</v>
      </c>
      <c r="CL440" s="2" t="s">
        <v>89</v>
      </c>
    </row>
    <row r="441" spans="1:90">
      <c r="A441" s="2" t="s">
        <v>71</v>
      </c>
      <c r="B441" s="2" t="s">
        <v>72</v>
      </c>
      <c r="C441" s="2" t="s">
        <v>73</v>
      </c>
      <c r="E441" s="2" t="str">
        <f>"FES1162593348"</f>
        <v>FES1162593348</v>
      </c>
      <c r="F441" s="3">
        <v>43073</v>
      </c>
      <c r="G441" s="2">
        <v>201806</v>
      </c>
      <c r="H441" s="2" t="s">
        <v>74</v>
      </c>
      <c r="I441" s="2" t="s">
        <v>75</v>
      </c>
      <c r="J441" s="2" t="s">
        <v>97</v>
      </c>
      <c r="K441" s="2" t="s">
        <v>77</v>
      </c>
      <c r="L441" s="2" t="s">
        <v>526</v>
      </c>
      <c r="M441" s="2" t="s">
        <v>527</v>
      </c>
      <c r="N441" s="2" t="s">
        <v>797</v>
      </c>
      <c r="O441" s="2" t="s">
        <v>101</v>
      </c>
      <c r="P441" s="2" t="str">
        <f>"2170601757                    "</f>
        <v xml:space="preserve">2170601757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8.4700000000000006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2.6</v>
      </c>
      <c r="BJ441" s="2">
        <v>1.4</v>
      </c>
      <c r="BK441" s="2">
        <v>3</v>
      </c>
      <c r="BL441" s="2">
        <v>67.709999999999994</v>
      </c>
      <c r="BM441" s="2">
        <v>9.48</v>
      </c>
      <c r="BN441" s="2">
        <v>77.19</v>
      </c>
      <c r="BO441" s="2">
        <v>77.19</v>
      </c>
      <c r="BQ441" s="2" t="s">
        <v>798</v>
      </c>
      <c r="BR441" s="2" t="s">
        <v>103</v>
      </c>
      <c r="BS441" s="3">
        <v>43074</v>
      </c>
      <c r="BT441" s="4">
        <v>0.41666666666666669</v>
      </c>
      <c r="BU441" s="2" t="s">
        <v>849</v>
      </c>
      <c r="BV441" s="2" t="s">
        <v>85</v>
      </c>
      <c r="BY441" s="2">
        <v>6985.44</v>
      </c>
      <c r="BZ441" s="2" t="s">
        <v>27</v>
      </c>
      <c r="CA441" s="2" t="s">
        <v>530</v>
      </c>
      <c r="CC441" s="2" t="s">
        <v>527</v>
      </c>
      <c r="CD441" s="2">
        <v>6850</v>
      </c>
      <c r="CE441" s="2" t="s">
        <v>95</v>
      </c>
      <c r="CF441" s="3">
        <v>43074</v>
      </c>
      <c r="CI441" s="2">
        <v>3</v>
      </c>
      <c r="CJ441" s="2">
        <v>1</v>
      </c>
      <c r="CK441" s="2">
        <v>21</v>
      </c>
      <c r="CL441" s="2" t="s">
        <v>89</v>
      </c>
    </row>
    <row r="442" spans="1:90">
      <c r="A442" s="2" t="s">
        <v>71</v>
      </c>
      <c r="B442" s="2" t="s">
        <v>72</v>
      </c>
      <c r="C442" s="2" t="s">
        <v>73</v>
      </c>
      <c r="E442" s="2" t="str">
        <f>"FES1162592957"</f>
        <v>FES1162592957</v>
      </c>
      <c r="F442" s="3">
        <v>43070</v>
      </c>
      <c r="G442" s="2">
        <v>201806</v>
      </c>
      <c r="H442" s="2" t="s">
        <v>74</v>
      </c>
      <c r="I442" s="2" t="s">
        <v>75</v>
      </c>
      <c r="J442" s="2" t="s">
        <v>97</v>
      </c>
      <c r="K442" s="2" t="s">
        <v>77</v>
      </c>
      <c r="L442" s="2" t="s">
        <v>106</v>
      </c>
      <c r="M442" s="2" t="s">
        <v>107</v>
      </c>
      <c r="N442" s="2" t="s">
        <v>108</v>
      </c>
      <c r="O442" s="2" t="s">
        <v>101</v>
      </c>
      <c r="P442" s="2" t="str">
        <f>"2170605324                    "</f>
        <v xml:space="preserve">2170605324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4.41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2.5</v>
      </c>
      <c r="BJ442" s="2">
        <v>0.9</v>
      </c>
      <c r="BK442" s="2">
        <v>3</v>
      </c>
      <c r="BL442" s="2">
        <v>35.270000000000003</v>
      </c>
      <c r="BM442" s="2">
        <v>4.9400000000000004</v>
      </c>
      <c r="BN442" s="2">
        <v>40.21</v>
      </c>
      <c r="BO442" s="2">
        <v>40.21</v>
      </c>
      <c r="BQ442" s="2" t="s">
        <v>82</v>
      </c>
      <c r="BR442" s="2" t="s">
        <v>103</v>
      </c>
      <c r="BS442" s="3">
        <v>43073</v>
      </c>
      <c r="BT442" s="4">
        <v>0.39027777777777778</v>
      </c>
      <c r="BU442" s="2" t="s">
        <v>643</v>
      </c>
      <c r="BV442" s="2" t="s">
        <v>85</v>
      </c>
      <c r="BY442" s="2">
        <v>4654.6499999999996</v>
      </c>
      <c r="CA442" s="2" t="s">
        <v>644</v>
      </c>
      <c r="CC442" s="2" t="s">
        <v>107</v>
      </c>
      <c r="CD442" s="2">
        <v>2094</v>
      </c>
      <c r="CE442" s="2" t="s">
        <v>356</v>
      </c>
      <c r="CF442" s="3">
        <v>43075</v>
      </c>
      <c r="CI442" s="2">
        <v>1</v>
      </c>
      <c r="CJ442" s="2">
        <v>1</v>
      </c>
      <c r="CK442" s="2">
        <v>22</v>
      </c>
      <c r="CL442" s="2" t="s">
        <v>89</v>
      </c>
    </row>
    <row r="443" spans="1:90">
      <c r="A443" s="2" t="s">
        <v>71</v>
      </c>
      <c r="B443" s="2" t="s">
        <v>72</v>
      </c>
      <c r="C443" s="2" t="s">
        <v>73</v>
      </c>
      <c r="E443" s="2" t="str">
        <f>"FES1162593345"</f>
        <v>FES1162593345</v>
      </c>
      <c r="F443" s="3">
        <v>43073</v>
      </c>
      <c r="G443" s="2">
        <v>201806</v>
      </c>
      <c r="H443" s="2" t="s">
        <v>74</v>
      </c>
      <c r="I443" s="2" t="s">
        <v>75</v>
      </c>
      <c r="J443" s="2" t="s">
        <v>97</v>
      </c>
      <c r="K443" s="2" t="s">
        <v>77</v>
      </c>
      <c r="L443" s="2" t="s">
        <v>173</v>
      </c>
      <c r="M443" s="2" t="s">
        <v>174</v>
      </c>
      <c r="N443" s="2" t="s">
        <v>376</v>
      </c>
      <c r="O443" s="2" t="s">
        <v>101</v>
      </c>
      <c r="P443" s="2" t="str">
        <f>"2170601590                    "</f>
        <v xml:space="preserve">2170601590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18.350000000000001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6.1</v>
      </c>
      <c r="BJ443" s="2">
        <v>1.4</v>
      </c>
      <c r="BK443" s="2">
        <v>6.5</v>
      </c>
      <c r="BL443" s="2">
        <v>146.68</v>
      </c>
      <c r="BM443" s="2">
        <v>20.54</v>
      </c>
      <c r="BN443" s="2">
        <v>167.22</v>
      </c>
      <c r="BO443" s="2">
        <v>167.22</v>
      </c>
      <c r="BQ443" s="2" t="s">
        <v>102</v>
      </c>
      <c r="BR443" s="2" t="s">
        <v>103</v>
      </c>
      <c r="BS443" s="3">
        <v>43074</v>
      </c>
      <c r="BT443" s="4">
        <v>0.49652777777777773</v>
      </c>
      <c r="BU443" s="2" t="s">
        <v>536</v>
      </c>
      <c r="BV443" s="2" t="s">
        <v>89</v>
      </c>
      <c r="BW443" s="2" t="s">
        <v>149</v>
      </c>
      <c r="BX443" s="2" t="s">
        <v>246</v>
      </c>
      <c r="BY443" s="2">
        <v>7142.96</v>
      </c>
      <c r="BZ443" s="2" t="s">
        <v>27</v>
      </c>
      <c r="CC443" s="2" t="s">
        <v>174</v>
      </c>
      <c r="CD443" s="2">
        <v>7490</v>
      </c>
      <c r="CE443" s="2" t="s">
        <v>95</v>
      </c>
      <c r="CF443" s="3">
        <v>43075</v>
      </c>
      <c r="CI443" s="2">
        <v>1</v>
      </c>
      <c r="CJ443" s="2">
        <v>1</v>
      </c>
      <c r="CK443" s="2">
        <v>21</v>
      </c>
      <c r="CL443" s="2" t="s">
        <v>89</v>
      </c>
    </row>
    <row r="444" spans="1:90">
      <c r="A444" s="2" t="s">
        <v>71</v>
      </c>
      <c r="B444" s="2" t="s">
        <v>72</v>
      </c>
      <c r="C444" s="2" t="s">
        <v>73</v>
      </c>
      <c r="E444" s="2" t="str">
        <f>"FES1162593064"</f>
        <v>FES1162593064</v>
      </c>
      <c r="F444" s="3">
        <v>43070</v>
      </c>
      <c r="G444" s="2">
        <v>201806</v>
      </c>
      <c r="H444" s="2" t="s">
        <v>74</v>
      </c>
      <c r="I444" s="2" t="s">
        <v>75</v>
      </c>
      <c r="J444" s="2" t="s">
        <v>97</v>
      </c>
      <c r="K444" s="2" t="s">
        <v>77</v>
      </c>
      <c r="L444" s="2" t="s">
        <v>262</v>
      </c>
      <c r="M444" s="2" t="s">
        <v>263</v>
      </c>
      <c r="N444" s="2" t="s">
        <v>809</v>
      </c>
      <c r="O444" s="2" t="s">
        <v>101</v>
      </c>
      <c r="P444" s="2" t="str">
        <f>"2170604113                    "</f>
        <v xml:space="preserve">2170604113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5.65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2</v>
      </c>
      <c r="BJ444" s="2">
        <v>1</v>
      </c>
      <c r="BK444" s="2">
        <v>2</v>
      </c>
      <c r="BL444" s="2">
        <v>45.15</v>
      </c>
      <c r="BM444" s="2">
        <v>6.32</v>
      </c>
      <c r="BN444" s="2">
        <v>51.47</v>
      </c>
      <c r="BO444" s="2">
        <v>51.47</v>
      </c>
      <c r="BQ444" s="2" t="s">
        <v>102</v>
      </c>
      <c r="BR444" s="2" t="s">
        <v>103</v>
      </c>
      <c r="BS444" s="3">
        <v>43073</v>
      </c>
      <c r="BT444" s="4">
        <v>0.31666666666666665</v>
      </c>
      <c r="BU444" s="2" t="s">
        <v>928</v>
      </c>
      <c r="BV444" s="2" t="s">
        <v>85</v>
      </c>
      <c r="BY444" s="2">
        <v>4847.04</v>
      </c>
      <c r="BZ444" s="2" t="s">
        <v>27</v>
      </c>
      <c r="CA444" s="2" t="s">
        <v>611</v>
      </c>
      <c r="CC444" s="2" t="s">
        <v>263</v>
      </c>
      <c r="CD444" s="2">
        <v>6229</v>
      </c>
      <c r="CE444" s="2" t="s">
        <v>356</v>
      </c>
      <c r="CF444" s="3">
        <v>43074</v>
      </c>
      <c r="CI444" s="2">
        <v>1</v>
      </c>
      <c r="CJ444" s="2">
        <v>1</v>
      </c>
      <c r="CK444" s="2">
        <v>21</v>
      </c>
      <c r="CL444" s="2" t="s">
        <v>89</v>
      </c>
    </row>
    <row r="445" spans="1:90">
      <c r="A445" s="2" t="s">
        <v>71</v>
      </c>
      <c r="B445" s="2" t="s">
        <v>72</v>
      </c>
      <c r="C445" s="2" t="s">
        <v>73</v>
      </c>
      <c r="E445" s="2" t="str">
        <f>"FES1162593410"</f>
        <v>FES1162593410</v>
      </c>
      <c r="F445" s="3">
        <v>43073</v>
      </c>
      <c r="G445" s="2">
        <v>201806</v>
      </c>
      <c r="H445" s="2" t="s">
        <v>74</v>
      </c>
      <c r="I445" s="2" t="s">
        <v>75</v>
      </c>
      <c r="J445" s="2" t="s">
        <v>97</v>
      </c>
      <c r="K445" s="2" t="s">
        <v>77</v>
      </c>
      <c r="L445" s="2" t="s">
        <v>173</v>
      </c>
      <c r="M445" s="2" t="s">
        <v>174</v>
      </c>
      <c r="N445" s="2" t="s">
        <v>175</v>
      </c>
      <c r="O445" s="2" t="s">
        <v>101</v>
      </c>
      <c r="P445" s="2" t="str">
        <f>"2170603290                    "</f>
        <v xml:space="preserve">2170603290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5.65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1.9</v>
      </c>
      <c r="BJ445" s="2">
        <v>1.7</v>
      </c>
      <c r="BK445" s="2">
        <v>2</v>
      </c>
      <c r="BL445" s="2">
        <v>45.15</v>
      </c>
      <c r="BM445" s="2">
        <v>6.32</v>
      </c>
      <c r="BN445" s="2">
        <v>51.47</v>
      </c>
      <c r="BO445" s="2">
        <v>51.47</v>
      </c>
      <c r="BQ445" s="2" t="s">
        <v>102</v>
      </c>
      <c r="BR445" s="2" t="s">
        <v>103</v>
      </c>
      <c r="BS445" s="3">
        <v>43074</v>
      </c>
      <c r="BT445" s="4">
        <v>0.44375000000000003</v>
      </c>
      <c r="BU445" s="2" t="s">
        <v>176</v>
      </c>
      <c r="BV445" s="2" t="s">
        <v>85</v>
      </c>
      <c r="BY445" s="2">
        <v>8484.7800000000007</v>
      </c>
      <c r="BZ445" s="2" t="s">
        <v>27</v>
      </c>
      <c r="CA445" s="2" t="s">
        <v>177</v>
      </c>
      <c r="CC445" s="2" t="s">
        <v>174</v>
      </c>
      <c r="CD445" s="2">
        <v>7405</v>
      </c>
      <c r="CE445" s="2" t="s">
        <v>95</v>
      </c>
      <c r="CF445" s="3">
        <v>43075</v>
      </c>
      <c r="CI445" s="2">
        <v>1</v>
      </c>
      <c r="CJ445" s="2">
        <v>1</v>
      </c>
      <c r="CK445" s="2">
        <v>21</v>
      </c>
      <c r="CL445" s="2" t="s">
        <v>89</v>
      </c>
    </row>
    <row r="446" spans="1:90">
      <c r="A446" s="2" t="s">
        <v>71</v>
      </c>
      <c r="B446" s="2" t="s">
        <v>72</v>
      </c>
      <c r="C446" s="2" t="s">
        <v>73</v>
      </c>
      <c r="E446" s="2" t="str">
        <f>"FES1162593056"</f>
        <v>FES1162593056</v>
      </c>
      <c r="F446" s="3">
        <v>43070</v>
      </c>
      <c r="G446" s="2">
        <v>201806</v>
      </c>
      <c r="H446" s="2" t="s">
        <v>74</v>
      </c>
      <c r="I446" s="2" t="s">
        <v>75</v>
      </c>
      <c r="J446" s="2" t="s">
        <v>97</v>
      </c>
      <c r="K446" s="2" t="s">
        <v>77</v>
      </c>
      <c r="L446" s="2" t="s">
        <v>145</v>
      </c>
      <c r="M446" s="2" t="s">
        <v>146</v>
      </c>
      <c r="N446" s="2" t="s">
        <v>709</v>
      </c>
      <c r="O446" s="2" t="s">
        <v>101</v>
      </c>
      <c r="P446" s="2" t="str">
        <f>"2170601508                    "</f>
        <v xml:space="preserve">2170601508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8.4700000000000006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3</v>
      </c>
      <c r="BJ446" s="2">
        <v>1.7</v>
      </c>
      <c r="BK446" s="2">
        <v>3</v>
      </c>
      <c r="BL446" s="2">
        <v>67.709999999999994</v>
      </c>
      <c r="BM446" s="2">
        <v>9.48</v>
      </c>
      <c r="BN446" s="2">
        <v>77.19</v>
      </c>
      <c r="BO446" s="2">
        <v>77.19</v>
      </c>
      <c r="BQ446" s="2" t="s">
        <v>102</v>
      </c>
      <c r="BR446" s="2" t="s">
        <v>103</v>
      </c>
      <c r="BS446" s="3">
        <v>43073</v>
      </c>
      <c r="BT446" s="4">
        <v>0.39583333333333331</v>
      </c>
      <c r="BU446" s="2" t="s">
        <v>929</v>
      </c>
      <c r="BV446" s="2" t="s">
        <v>85</v>
      </c>
      <c r="BY446" s="2">
        <v>8576.2800000000007</v>
      </c>
      <c r="BZ446" s="2" t="s">
        <v>27</v>
      </c>
      <c r="CC446" s="2" t="s">
        <v>146</v>
      </c>
      <c r="CD446" s="2">
        <v>5201</v>
      </c>
      <c r="CE446" s="2" t="s">
        <v>95</v>
      </c>
      <c r="CF446" s="3">
        <v>43075</v>
      </c>
      <c r="CI446" s="2">
        <v>1</v>
      </c>
      <c r="CJ446" s="2">
        <v>1</v>
      </c>
      <c r="CK446" s="2">
        <v>21</v>
      </c>
      <c r="CL446" s="2" t="s">
        <v>89</v>
      </c>
    </row>
    <row r="447" spans="1:90">
      <c r="A447" s="2" t="s">
        <v>71</v>
      </c>
      <c r="B447" s="2" t="s">
        <v>72</v>
      </c>
      <c r="C447" s="2" t="s">
        <v>73</v>
      </c>
      <c r="E447" s="2" t="str">
        <f>"FES1162593350"</f>
        <v>FES1162593350</v>
      </c>
      <c r="F447" s="3">
        <v>43073</v>
      </c>
      <c r="G447" s="2">
        <v>201806</v>
      </c>
      <c r="H447" s="2" t="s">
        <v>74</v>
      </c>
      <c r="I447" s="2" t="s">
        <v>75</v>
      </c>
      <c r="J447" s="2" t="s">
        <v>97</v>
      </c>
      <c r="K447" s="2" t="s">
        <v>77</v>
      </c>
      <c r="L447" s="2" t="s">
        <v>173</v>
      </c>
      <c r="M447" s="2" t="s">
        <v>174</v>
      </c>
      <c r="N447" s="2" t="s">
        <v>747</v>
      </c>
      <c r="O447" s="2" t="s">
        <v>101</v>
      </c>
      <c r="P447" s="2" t="str">
        <f>"2170601760                    "</f>
        <v xml:space="preserve">2170601760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28.23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9.9</v>
      </c>
      <c r="BJ447" s="2">
        <v>3.5</v>
      </c>
      <c r="BK447" s="2">
        <v>10</v>
      </c>
      <c r="BL447" s="2">
        <v>225.65</v>
      </c>
      <c r="BM447" s="2">
        <v>31.59</v>
      </c>
      <c r="BN447" s="2">
        <v>257.24</v>
      </c>
      <c r="BO447" s="2">
        <v>257.24</v>
      </c>
      <c r="BQ447" s="2" t="s">
        <v>142</v>
      </c>
      <c r="BR447" s="2" t="s">
        <v>103</v>
      </c>
      <c r="BS447" s="3">
        <v>43074</v>
      </c>
      <c r="BT447" s="4">
        <v>0.41666666666666669</v>
      </c>
      <c r="BU447" s="2" t="s">
        <v>869</v>
      </c>
      <c r="BV447" s="2" t="s">
        <v>85</v>
      </c>
      <c r="BY447" s="2">
        <v>17678.509999999998</v>
      </c>
      <c r="BZ447" s="2" t="s">
        <v>27</v>
      </c>
      <c r="CA447" s="2" t="s">
        <v>489</v>
      </c>
      <c r="CC447" s="2" t="s">
        <v>174</v>
      </c>
      <c r="CD447" s="2">
        <v>7580</v>
      </c>
      <c r="CE447" s="2" t="s">
        <v>95</v>
      </c>
      <c r="CF447" s="3">
        <v>43075</v>
      </c>
      <c r="CI447" s="2">
        <v>1</v>
      </c>
      <c r="CJ447" s="2">
        <v>1</v>
      </c>
      <c r="CK447" s="2">
        <v>21</v>
      </c>
      <c r="CL447" s="2" t="s">
        <v>89</v>
      </c>
    </row>
    <row r="448" spans="1:90">
      <c r="A448" s="2" t="s">
        <v>71</v>
      </c>
      <c r="B448" s="2" t="s">
        <v>72</v>
      </c>
      <c r="C448" s="2" t="s">
        <v>73</v>
      </c>
      <c r="E448" s="2" t="str">
        <f>"FES1162593025"</f>
        <v>FES1162593025</v>
      </c>
      <c r="F448" s="3">
        <v>43070</v>
      </c>
      <c r="G448" s="2">
        <v>201806</v>
      </c>
      <c r="H448" s="2" t="s">
        <v>74</v>
      </c>
      <c r="I448" s="2" t="s">
        <v>75</v>
      </c>
      <c r="J448" s="2" t="s">
        <v>97</v>
      </c>
      <c r="K448" s="2" t="s">
        <v>77</v>
      </c>
      <c r="L448" s="2" t="s">
        <v>168</v>
      </c>
      <c r="M448" s="2" t="s">
        <v>169</v>
      </c>
      <c r="N448" s="2" t="s">
        <v>764</v>
      </c>
      <c r="O448" s="2" t="s">
        <v>101</v>
      </c>
      <c r="P448" s="2" t="str">
        <f>"2170605401                    "</f>
        <v xml:space="preserve">2170605401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11.29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4</v>
      </c>
      <c r="BJ448" s="2">
        <v>3.7</v>
      </c>
      <c r="BK448" s="2">
        <v>4</v>
      </c>
      <c r="BL448" s="2">
        <v>90.27</v>
      </c>
      <c r="BM448" s="2">
        <v>12.64</v>
      </c>
      <c r="BN448" s="2">
        <v>102.91</v>
      </c>
      <c r="BO448" s="2">
        <v>102.91</v>
      </c>
      <c r="BQ448" s="2" t="s">
        <v>102</v>
      </c>
      <c r="BR448" s="2" t="s">
        <v>103</v>
      </c>
      <c r="BS448" s="3">
        <v>43073</v>
      </c>
      <c r="BT448" s="4">
        <v>0.32916666666666666</v>
      </c>
      <c r="BU448" s="2" t="s">
        <v>766</v>
      </c>
      <c r="BV448" s="2" t="s">
        <v>85</v>
      </c>
      <c r="BY448" s="2">
        <v>18475.78</v>
      </c>
      <c r="BZ448" s="2" t="s">
        <v>27</v>
      </c>
      <c r="CA448" s="2" t="s">
        <v>220</v>
      </c>
      <c r="CC448" s="2" t="s">
        <v>169</v>
      </c>
      <c r="CD448" s="2">
        <v>3610</v>
      </c>
      <c r="CE448" s="2" t="s">
        <v>95</v>
      </c>
      <c r="CF448" s="3">
        <v>43074</v>
      </c>
      <c r="CI448" s="2">
        <v>1</v>
      </c>
      <c r="CJ448" s="2">
        <v>1</v>
      </c>
      <c r="CK448" s="2">
        <v>21</v>
      </c>
      <c r="CL448" s="2" t="s">
        <v>89</v>
      </c>
    </row>
    <row r="449" spans="1:90">
      <c r="A449" s="2" t="s">
        <v>71</v>
      </c>
      <c r="B449" s="2" t="s">
        <v>72</v>
      </c>
      <c r="C449" s="2" t="s">
        <v>73</v>
      </c>
      <c r="E449" s="2" t="str">
        <f>"FES1162593351"</f>
        <v>FES1162593351</v>
      </c>
      <c r="F449" s="3">
        <v>43073</v>
      </c>
      <c r="G449" s="2">
        <v>201806</v>
      </c>
      <c r="H449" s="2" t="s">
        <v>74</v>
      </c>
      <c r="I449" s="2" t="s">
        <v>75</v>
      </c>
      <c r="J449" s="2" t="s">
        <v>97</v>
      </c>
      <c r="K449" s="2" t="s">
        <v>77</v>
      </c>
      <c r="L449" s="2" t="s">
        <v>173</v>
      </c>
      <c r="M449" s="2" t="s">
        <v>174</v>
      </c>
      <c r="N449" s="2" t="s">
        <v>747</v>
      </c>
      <c r="O449" s="2" t="s">
        <v>101</v>
      </c>
      <c r="P449" s="2" t="str">
        <f>"2170601761                    "</f>
        <v xml:space="preserve">2170601761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28.23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9.9</v>
      </c>
      <c r="BJ449" s="2">
        <v>3.5</v>
      </c>
      <c r="BK449" s="2">
        <v>10</v>
      </c>
      <c r="BL449" s="2">
        <v>225.65</v>
      </c>
      <c r="BM449" s="2">
        <v>31.59</v>
      </c>
      <c r="BN449" s="2">
        <v>257.24</v>
      </c>
      <c r="BO449" s="2">
        <v>257.24</v>
      </c>
      <c r="BQ449" s="2" t="s">
        <v>142</v>
      </c>
      <c r="BR449" s="2" t="s">
        <v>103</v>
      </c>
      <c r="BS449" s="3">
        <v>43074</v>
      </c>
      <c r="BT449" s="4">
        <v>0.41666666666666669</v>
      </c>
      <c r="BU449" s="2" t="s">
        <v>869</v>
      </c>
      <c r="BV449" s="2" t="s">
        <v>85</v>
      </c>
      <c r="BY449" s="2">
        <v>17267.169999999998</v>
      </c>
      <c r="BZ449" s="2" t="s">
        <v>27</v>
      </c>
      <c r="CA449" s="2" t="s">
        <v>489</v>
      </c>
      <c r="CC449" s="2" t="s">
        <v>174</v>
      </c>
      <c r="CD449" s="2">
        <v>7580</v>
      </c>
      <c r="CE449" s="2" t="s">
        <v>95</v>
      </c>
      <c r="CF449" s="3">
        <v>43075</v>
      </c>
      <c r="CI449" s="2">
        <v>1</v>
      </c>
      <c r="CJ449" s="2">
        <v>1</v>
      </c>
      <c r="CK449" s="2">
        <v>21</v>
      </c>
      <c r="CL449" s="2" t="s">
        <v>89</v>
      </c>
    </row>
    <row r="450" spans="1:90">
      <c r="A450" s="2" t="s">
        <v>71</v>
      </c>
      <c r="B450" s="2" t="s">
        <v>72</v>
      </c>
      <c r="C450" s="2" t="s">
        <v>73</v>
      </c>
      <c r="E450" s="2" t="str">
        <f>"FES1162593033"</f>
        <v>FES1162593033</v>
      </c>
      <c r="F450" s="3">
        <v>43070</v>
      </c>
      <c r="G450" s="2">
        <v>201806</v>
      </c>
      <c r="H450" s="2" t="s">
        <v>74</v>
      </c>
      <c r="I450" s="2" t="s">
        <v>75</v>
      </c>
      <c r="J450" s="2" t="s">
        <v>97</v>
      </c>
      <c r="K450" s="2" t="s">
        <v>77</v>
      </c>
      <c r="L450" s="2" t="s">
        <v>125</v>
      </c>
      <c r="M450" s="2" t="s">
        <v>126</v>
      </c>
      <c r="N450" s="2" t="s">
        <v>930</v>
      </c>
      <c r="O450" s="2" t="s">
        <v>101</v>
      </c>
      <c r="P450" s="2" t="str">
        <f>"2170605408                    "</f>
        <v xml:space="preserve">2170605408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8.4700000000000006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3</v>
      </c>
      <c r="BJ450" s="2">
        <v>1.9</v>
      </c>
      <c r="BK450" s="2">
        <v>3</v>
      </c>
      <c r="BL450" s="2">
        <v>67.709999999999994</v>
      </c>
      <c r="BM450" s="2">
        <v>9.48</v>
      </c>
      <c r="BN450" s="2">
        <v>77.19</v>
      </c>
      <c r="BO450" s="2">
        <v>77.19</v>
      </c>
      <c r="BQ450" s="2" t="s">
        <v>102</v>
      </c>
      <c r="BR450" s="2" t="s">
        <v>103</v>
      </c>
      <c r="BS450" s="3">
        <v>43073</v>
      </c>
      <c r="BT450" s="4">
        <v>0.37152777777777773</v>
      </c>
      <c r="BU450" s="2" t="s">
        <v>931</v>
      </c>
      <c r="BV450" s="2" t="s">
        <v>85</v>
      </c>
      <c r="BY450" s="2">
        <v>9635.4</v>
      </c>
      <c r="BZ450" s="2" t="s">
        <v>27</v>
      </c>
      <c r="CA450" s="2" t="s">
        <v>778</v>
      </c>
      <c r="CC450" s="2" t="s">
        <v>126</v>
      </c>
      <c r="CD450" s="2">
        <v>4072</v>
      </c>
      <c r="CE450" s="2" t="s">
        <v>95</v>
      </c>
      <c r="CF450" s="3">
        <v>43074</v>
      </c>
      <c r="CI450" s="2">
        <v>1</v>
      </c>
      <c r="CJ450" s="2">
        <v>1</v>
      </c>
      <c r="CK450" s="2">
        <v>21</v>
      </c>
      <c r="CL450" s="2" t="s">
        <v>89</v>
      </c>
    </row>
    <row r="451" spans="1:90">
      <c r="A451" s="2" t="s">
        <v>71</v>
      </c>
      <c r="B451" s="2" t="s">
        <v>72</v>
      </c>
      <c r="C451" s="2" t="s">
        <v>73</v>
      </c>
      <c r="E451" s="2" t="str">
        <f>"FES1162593355"</f>
        <v>FES1162593355</v>
      </c>
      <c r="F451" s="3">
        <v>43073</v>
      </c>
      <c r="G451" s="2">
        <v>201806</v>
      </c>
      <c r="H451" s="2" t="s">
        <v>74</v>
      </c>
      <c r="I451" s="2" t="s">
        <v>75</v>
      </c>
      <c r="J451" s="2" t="s">
        <v>97</v>
      </c>
      <c r="K451" s="2" t="s">
        <v>77</v>
      </c>
      <c r="L451" s="2" t="s">
        <v>526</v>
      </c>
      <c r="M451" s="2" t="s">
        <v>527</v>
      </c>
      <c r="N451" s="2" t="s">
        <v>797</v>
      </c>
      <c r="O451" s="2" t="s">
        <v>101</v>
      </c>
      <c r="P451" s="2" t="str">
        <f>"2170602016                    "</f>
        <v xml:space="preserve">2170602016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8.4700000000000006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2.9</v>
      </c>
      <c r="BJ451" s="2">
        <v>1.4</v>
      </c>
      <c r="BK451" s="2">
        <v>3</v>
      </c>
      <c r="BL451" s="2">
        <v>67.709999999999994</v>
      </c>
      <c r="BM451" s="2">
        <v>9.48</v>
      </c>
      <c r="BN451" s="2">
        <v>77.19</v>
      </c>
      <c r="BO451" s="2">
        <v>77.19</v>
      </c>
      <c r="BQ451" s="2" t="s">
        <v>798</v>
      </c>
      <c r="BR451" s="2" t="s">
        <v>103</v>
      </c>
      <c r="BS451" s="3">
        <v>43074</v>
      </c>
      <c r="BT451" s="4">
        <v>0.41666666666666669</v>
      </c>
      <c r="BU451" s="2" t="s">
        <v>849</v>
      </c>
      <c r="BV451" s="2" t="s">
        <v>85</v>
      </c>
      <c r="BY451" s="2">
        <v>7082.88</v>
      </c>
      <c r="BZ451" s="2" t="s">
        <v>27</v>
      </c>
      <c r="CA451" s="2" t="s">
        <v>530</v>
      </c>
      <c r="CC451" s="2" t="s">
        <v>527</v>
      </c>
      <c r="CD451" s="2">
        <v>6850</v>
      </c>
      <c r="CE451" s="2" t="s">
        <v>95</v>
      </c>
      <c r="CF451" s="3">
        <v>43074</v>
      </c>
      <c r="CI451" s="2">
        <v>3</v>
      </c>
      <c r="CJ451" s="2">
        <v>1</v>
      </c>
      <c r="CK451" s="2">
        <v>21</v>
      </c>
      <c r="CL451" s="2" t="s">
        <v>89</v>
      </c>
    </row>
    <row r="452" spans="1:90">
      <c r="A452" s="2" t="s">
        <v>71</v>
      </c>
      <c r="B452" s="2" t="s">
        <v>72</v>
      </c>
      <c r="C452" s="2" t="s">
        <v>73</v>
      </c>
      <c r="E452" s="2" t="str">
        <f>"FES1162592986"</f>
        <v>FES1162592986</v>
      </c>
      <c r="F452" s="3">
        <v>43070</v>
      </c>
      <c r="G452" s="2">
        <v>201806</v>
      </c>
      <c r="H452" s="2" t="s">
        <v>74</v>
      </c>
      <c r="I452" s="2" t="s">
        <v>75</v>
      </c>
      <c r="J452" s="2" t="s">
        <v>97</v>
      </c>
      <c r="K452" s="2" t="s">
        <v>77</v>
      </c>
      <c r="L452" s="2" t="s">
        <v>168</v>
      </c>
      <c r="M452" s="2" t="s">
        <v>169</v>
      </c>
      <c r="N452" s="2" t="s">
        <v>932</v>
      </c>
      <c r="O452" s="2" t="s">
        <v>101</v>
      </c>
      <c r="P452" s="2" t="str">
        <f>"2170605355                    "</f>
        <v xml:space="preserve">2170605355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26.82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7.6</v>
      </c>
      <c r="BJ452" s="2">
        <v>9.1999999999999993</v>
      </c>
      <c r="BK452" s="2">
        <v>9.5</v>
      </c>
      <c r="BL452" s="2">
        <v>214.37</v>
      </c>
      <c r="BM452" s="2">
        <v>30.01</v>
      </c>
      <c r="BN452" s="2">
        <v>244.38</v>
      </c>
      <c r="BO452" s="2">
        <v>244.38</v>
      </c>
      <c r="BQ452" s="2" t="s">
        <v>102</v>
      </c>
      <c r="BR452" s="2" t="s">
        <v>103</v>
      </c>
      <c r="BS452" s="3">
        <v>43073</v>
      </c>
      <c r="BT452" s="4">
        <v>0.4604166666666667</v>
      </c>
      <c r="BU452" s="2" t="s">
        <v>933</v>
      </c>
      <c r="BV452" s="2" t="s">
        <v>85</v>
      </c>
      <c r="BY452" s="2">
        <v>45991.9</v>
      </c>
      <c r="BZ452" s="2" t="s">
        <v>27</v>
      </c>
      <c r="CA452" s="2" t="s">
        <v>712</v>
      </c>
      <c r="CC452" s="2" t="s">
        <v>169</v>
      </c>
      <c r="CD452" s="2">
        <v>3610</v>
      </c>
      <c r="CE452" s="2" t="s">
        <v>95</v>
      </c>
      <c r="CF452" s="3">
        <v>43074</v>
      </c>
      <c r="CI452" s="2">
        <v>1</v>
      </c>
      <c r="CJ452" s="2">
        <v>1</v>
      </c>
      <c r="CK452" s="2">
        <v>21</v>
      </c>
      <c r="CL452" s="2" t="s">
        <v>89</v>
      </c>
    </row>
    <row r="453" spans="1:90">
      <c r="A453" s="2" t="s">
        <v>71</v>
      </c>
      <c r="B453" s="2" t="s">
        <v>72</v>
      </c>
      <c r="C453" s="2" t="s">
        <v>73</v>
      </c>
      <c r="E453" s="2" t="str">
        <f>"FES1162593346"</f>
        <v>FES1162593346</v>
      </c>
      <c r="F453" s="3">
        <v>43073</v>
      </c>
      <c r="G453" s="2">
        <v>201806</v>
      </c>
      <c r="H453" s="2" t="s">
        <v>74</v>
      </c>
      <c r="I453" s="2" t="s">
        <v>75</v>
      </c>
      <c r="J453" s="2" t="s">
        <v>97</v>
      </c>
      <c r="K453" s="2" t="s">
        <v>77</v>
      </c>
      <c r="L453" s="2" t="s">
        <v>173</v>
      </c>
      <c r="M453" s="2" t="s">
        <v>174</v>
      </c>
      <c r="N453" s="2" t="s">
        <v>376</v>
      </c>
      <c r="O453" s="2" t="s">
        <v>101</v>
      </c>
      <c r="P453" s="2" t="str">
        <f>"2170601721                    "</f>
        <v xml:space="preserve">2170601721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15.53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5.0999999999999996</v>
      </c>
      <c r="BJ453" s="2">
        <v>1.4</v>
      </c>
      <c r="BK453" s="2">
        <v>5.5</v>
      </c>
      <c r="BL453" s="2">
        <v>124.12</v>
      </c>
      <c r="BM453" s="2">
        <v>17.38</v>
      </c>
      <c r="BN453" s="2">
        <v>141.5</v>
      </c>
      <c r="BO453" s="2">
        <v>141.5</v>
      </c>
      <c r="BQ453" s="2" t="s">
        <v>102</v>
      </c>
      <c r="BR453" s="2" t="s">
        <v>103</v>
      </c>
      <c r="BS453" s="3">
        <v>43074</v>
      </c>
      <c r="BT453" s="4">
        <v>0.49652777777777773</v>
      </c>
      <c r="BU453" s="2" t="s">
        <v>536</v>
      </c>
      <c r="BV453" s="2" t="s">
        <v>89</v>
      </c>
      <c r="BW453" s="2" t="s">
        <v>149</v>
      </c>
      <c r="BX453" s="2" t="s">
        <v>246</v>
      </c>
      <c r="BY453" s="2">
        <v>7025.54</v>
      </c>
      <c r="BZ453" s="2" t="s">
        <v>27</v>
      </c>
      <c r="CA453" s="2" t="s">
        <v>537</v>
      </c>
      <c r="CC453" s="2" t="s">
        <v>174</v>
      </c>
      <c r="CD453" s="2">
        <v>7490</v>
      </c>
      <c r="CE453" s="2" t="s">
        <v>95</v>
      </c>
      <c r="CF453" s="3">
        <v>43075</v>
      </c>
      <c r="CI453" s="2">
        <v>1</v>
      </c>
      <c r="CJ453" s="2">
        <v>1</v>
      </c>
      <c r="CK453" s="2">
        <v>21</v>
      </c>
      <c r="CL453" s="2" t="s">
        <v>89</v>
      </c>
    </row>
    <row r="454" spans="1:90">
      <c r="A454" s="2" t="s">
        <v>71</v>
      </c>
      <c r="B454" s="2" t="s">
        <v>72</v>
      </c>
      <c r="C454" s="2" t="s">
        <v>73</v>
      </c>
      <c r="E454" s="2" t="str">
        <f>"FES1162591234"</f>
        <v>FES1162591234</v>
      </c>
      <c r="F454" s="3">
        <v>43070</v>
      </c>
      <c r="G454" s="2">
        <v>201806</v>
      </c>
      <c r="H454" s="2" t="s">
        <v>74</v>
      </c>
      <c r="I454" s="2" t="s">
        <v>75</v>
      </c>
      <c r="J454" s="2" t="s">
        <v>97</v>
      </c>
      <c r="K454" s="2" t="s">
        <v>77</v>
      </c>
      <c r="L454" s="2" t="s">
        <v>212</v>
      </c>
      <c r="M454" s="2" t="s">
        <v>212</v>
      </c>
      <c r="N454" s="2" t="s">
        <v>213</v>
      </c>
      <c r="O454" s="2" t="s">
        <v>101</v>
      </c>
      <c r="P454" s="2" t="str">
        <f>"2170603950                    "</f>
        <v xml:space="preserve">2170603950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5.65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45.15</v>
      </c>
      <c r="BM454" s="2">
        <v>6.32</v>
      </c>
      <c r="BN454" s="2">
        <v>51.47</v>
      </c>
      <c r="BO454" s="2">
        <v>51.47</v>
      </c>
      <c r="BQ454" s="2" t="s">
        <v>102</v>
      </c>
      <c r="BR454" s="2" t="s">
        <v>103</v>
      </c>
      <c r="BS454" s="3">
        <v>43073</v>
      </c>
      <c r="BT454" s="4">
        <v>0.55208333333333337</v>
      </c>
      <c r="BU454" s="2" t="s">
        <v>554</v>
      </c>
      <c r="BV454" s="2" t="s">
        <v>85</v>
      </c>
      <c r="BY454" s="2">
        <v>1200</v>
      </c>
      <c r="BZ454" s="2" t="s">
        <v>27</v>
      </c>
      <c r="CA454" s="2" t="s">
        <v>532</v>
      </c>
      <c r="CC454" s="2" t="s">
        <v>212</v>
      </c>
      <c r="CD454" s="2">
        <v>7646</v>
      </c>
      <c r="CE454" s="2" t="s">
        <v>120</v>
      </c>
      <c r="CF454" s="3">
        <v>43074</v>
      </c>
      <c r="CI454" s="2">
        <v>1</v>
      </c>
      <c r="CJ454" s="2">
        <v>1</v>
      </c>
      <c r="CK454" s="2">
        <v>21</v>
      </c>
      <c r="CL454" s="2" t="s">
        <v>89</v>
      </c>
    </row>
    <row r="455" spans="1:90">
      <c r="A455" s="2" t="s">
        <v>71</v>
      </c>
      <c r="B455" s="2" t="s">
        <v>72</v>
      </c>
      <c r="C455" s="2" t="s">
        <v>73</v>
      </c>
      <c r="E455" s="2" t="str">
        <f>"FES1162593399"</f>
        <v>FES1162593399</v>
      </c>
      <c r="F455" s="3">
        <v>43073</v>
      </c>
      <c r="G455" s="2">
        <v>201806</v>
      </c>
      <c r="H455" s="2" t="s">
        <v>74</v>
      </c>
      <c r="I455" s="2" t="s">
        <v>75</v>
      </c>
      <c r="J455" s="2" t="s">
        <v>97</v>
      </c>
      <c r="K455" s="2" t="s">
        <v>77</v>
      </c>
      <c r="L455" s="2" t="s">
        <v>173</v>
      </c>
      <c r="M455" s="2" t="s">
        <v>174</v>
      </c>
      <c r="N455" s="2" t="s">
        <v>376</v>
      </c>
      <c r="O455" s="2" t="s">
        <v>101</v>
      </c>
      <c r="P455" s="2" t="str">
        <f>"2170603158                    "</f>
        <v xml:space="preserve">2170603158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5.65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1.4</v>
      </c>
      <c r="BJ455" s="2">
        <v>1.4</v>
      </c>
      <c r="BK455" s="2">
        <v>1.5</v>
      </c>
      <c r="BL455" s="2">
        <v>45.15</v>
      </c>
      <c r="BM455" s="2">
        <v>6.32</v>
      </c>
      <c r="BN455" s="2">
        <v>51.47</v>
      </c>
      <c r="BO455" s="2">
        <v>51.47</v>
      </c>
      <c r="BQ455" s="2" t="s">
        <v>102</v>
      </c>
      <c r="BR455" s="2" t="s">
        <v>103</v>
      </c>
      <c r="BS455" s="3">
        <v>43074</v>
      </c>
      <c r="BT455" s="4">
        <v>0.49652777777777773</v>
      </c>
      <c r="BU455" s="2" t="s">
        <v>536</v>
      </c>
      <c r="BV455" s="2" t="s">
        <v>89</v>
      </c>
      <c r="BW455" s="2" t="s">
        <v>149</v>
      </c>
      <c r="BX455" s="2" t="s">
        <v>246</v>
      </c>
      <c r="BY455" s="2">
        <v>6850.01</v>
      </c>
      <c r="BZ455" s="2" t="s">
        <v>27</v>
      </c>
      <c r="CA455" s="2" t="s">
        <v>537</v>
      </c>
      <c r="CC455" s="2" t="s">
        <v>174</v>
      </c>
      <c r="CD455" s="2">
        <v>7490</v>
      </c>
      <c r="CE455" s="2" t="s">
        <v>95</v>
      </c>
      <c r="CF455" s="3">
        <v>43075</v>
      </c>
      <c r="CI455" s="2">
        <v>1</v>
      </c>
      <c r="CJ455" s="2">
        <v>1</v>
      </c>
      <c r="CK455" s="2">
        <v>21</v>
      </c>
      <c r="CL455" s="2" t="s">
        <v>89</v>
      </c>
    </row>
    <row r="456" spans="1:90">
      <c r="A456" s="2" t="s">
        <v>71</v>
      </c>
      <c r="B456" s="2" t="s">
        <v>72</v>
      </c>
      <c r="C456" s="2" t="s">
        <v>73</v>
      </c>
      <c r="E456" s="2" t="str">
        <f>"FES1162593049"</f>
        <v>FES1162593049</v>
      </c>
      <c r="F456" s="3">
        <v>43070</v>
      </c>
      <c r="G456" s="2">
        <v>201806</v>
      </c>
      <c r="H456" s="2" t="s">
        <v>74</v>
      </c>
      <c r="I456" s="2" t="s">
        <v>75</v>
      </c>
      <c r="J456" s="2" t="s">
        <v>97</v>
      </c>
      <c r="K456" s="2" t="s">
        <v>77</v>
      </c>
      <c r="L456" s="2" t="s">
        <v>883</v>
      </c>
      <c r="M456" s="2" t="s">
        <v>884</v>
      </c>
      <c r="N456" s="2" t="s">
        <v>934</v>
      </c>
      <c r="O456" s="2" t="s">
        <v>101</v>
      </c>
      <c r="P456" s="2" t="str">
        <f>"2170605394                    "</f>
        <v xml:space="preserve">2170605394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5.65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45.15</v>
      </c>
      <c r="BM456" s="2">
        <v>6.32</v>
      </c>
      <c r="BN456" s="2">
        <v>51.47</v>
      </c>
      <c r="BO456" s="2">
        <v>51.47</v>
      </c>
      <c r="BQ456" s="2" t="s">
        <v>82</v>
      </c>
      <c r="BR456" s="2" t="s">
        <v>103</v>
      </c>
      <c r="BS456" s="3">
        <v>43073</v>
      </c>
      <c r="BT456" s="4">
        <v>0.3666666666666667</v>
      </c>
      <c r="BU456" s="2" t="s">
        <v>935</v>
      </c>
      <c r="BV456" s="2" t="s">
        <v>85</v>
      </c>
      <c r="BY456" s="2">
        <v>1200</v>
      </c>
      <c r="BZ456" s="2" t="s">
        <v>27</v>
      </c>
      <c r="CA456" s="2" t="s">
        <v>936</v>
      </c>
      <c r="CC456" s="2" t="s">
        <v>884</v>
      </c>
      <c r="CD456" s="2">
        <v>7600</v>
      </c>
      <c r="CE456" s="2" t="s">
        <v>120</v>
      </c>
      <c r="CF456" s="3">
        <v>43074</v>
      </c>
      <c r="CI456" s="2">
        <v>1</v>
      </c>
      <c r="CJ456" s="2">
        <v>1</v>
      </c>
      <c r="CK456" s="2">
        <v>21</v>
      </c>
      <c r="CL456" s="2" t="s">
        <v>89</v>
      </c>
    </row>
    <row r="457" spans="1:90">
      <c r="A457" s="2" t="s">
        <v>71</v>
      </c>
      <c r="B457" s="2" t="s">
        <v>72</v>
      </c>
      <c r="C457" s="2" t="s">
        <v>73</v>
      </c>
      <c r="E457" s="2" t="str">
        <f>"FES1162593402"</f>
        <v>FES1162593402</v>
      </c>
      <c r="F457" s="3">
        <v>43073</v>
      </c>
      <c r="G457" s="2">
        <v>201806</v>
      </c>
      <c r="H457" s="2" t="s">
        <v>74</v>
      </c>
      <c r="I457" s="2" t="s">
        <v>75</v>
      </c>
      <c r="J457" s="2" t="s">
        <v>97</v>
      </c>
      <c r="K457" s="2" t="s">
        <v>77</v>
      </c>
      <c r="L457" s="2" t="s">
        <v>173</v>
      </c>
      <c r="M457" s="2" t="s">
        <v>174</v>
      </c>
      <c r="N457" s="2" t="s">
        <v>376</v>
      </c>
      <c r="O457" s="2" t="s">
        <v>101</v>
      </c>
      <c r="P457" s="2" t="str">
        <f>"2170603185                    "</f>
        <v xml:space="preserve">2170603185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5.65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0.2</v>
      </c>
      <c r="BK457" s="2">
        <v>1</v>
      </c>
      <c r="BL457" s="2">
        <v>45.15</v>
      </c>
      <c r="BM457" s="2">
        <v>6.32</v>
      </c>
      <c r="BN457" s="2">
        <v>51.47</v>
      </c>
      <c r="BO457" s="2">
        <v>51.47</v>
      </c>
      <c r="BQ457" s="2" t="s">
        <v>102</v>
      </c>
      <c r="BR457" s="2" t="s">
        <v>103</v>
      </c>
      <c r="BS457" s="3">
        <v>43074</v>
      </c>
      <c r="BT457" s="4">
        <v>0.49652777777777773</v>
      </c>
      <c r="BU457" s="2" t="s">
        <v>536</v>
      </c>
      <c r="BV457" s="2" t="s">
        <v>89</v>
      </c>
      <c r="BW457" s="2" t="s">
        <v>149</v>
      </c>
      <c r="BX457" s="2" t="s">
        <v>246</v>
      </c>
      <c r="BY457" s="2">
        <v>1200</v>
      </c>
      <c r="BZ457" s="2" t="s">
        <v>27</v>
      </c>
      <c r="CA457" s="2" t="s">
        <v>537</v>
      </c>
      <c r="CC457" s="2" t="s">
        <v>174</v>
      </c>
      <c r="CD457" s="2">
        <v>7490</v>
      </c>
      <c r="CE457" s="2" t="s">
        <v>120</v>
      </c>
      <c r="CF457" s="3">
        <v>43075</v>
      </c>
      <c r="CI457" s="2">
        <v>1</v>
      </c>
      <c r="CJ457" s="2">
        <v>1</v>
      </c>
      <c r="CK457" s="2">
        <v>21</v>
      </c>
      <c r="CL457" s="2" t="s">
        <v>89</v>
      </c>
    </row>
    <row r="458" spans="1:90">
      <c r="A458" s="2" t="s">
        <v>71</v>
      </c>
      <c r="B458" s="2" t="s">
        <v>72</v>
      </c>
      <c r="C458" s="2" t="s">
        <v>73</v>
      </c>
      <c r="E458" s="2" t="str">
        <f>"FES1162593057"</f>
        <v>FES1162593057</v>
      </c>
      <c r="F458" s="3">
        <v>43070</v>
      </c>
      <c r="G458" s="2">
        <v>201806</v>
      </c>
      <c r="H458" s="2" t="s">
        <v>74</v>
      </c>
      <c r="I458" s="2" t="s">
        <v>75</v>
      </c>
      <c r="J458" s="2" t="s">
        <v>97</v>
      </c>
      <c r="K458" s="2" t="s">
        <v>77</v>
      </c>
      <c r="L458" s="2" t="s">
        <v>212</v>
      </c>
      <c r="M458" s="2" t="s">
        <v>212</v>
      </c>
      <c r="N458" s="2" t="s">
        <v>866</v>
      </c>
      <c r="O458" s="2" t="s">
        <v>101</v>
      </c>
      <c r="P458" s="2" t="str">
        <f>"2170602967                    "</f>
        <v xml:space="preserve">2170602967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5.65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</v>
      </c>
      <c r="BJ458" s="2">
        <v>0.2</v>
      </c>
      <c r="BK458" s="2">
        <v>1</v>
      </c>
      <c r="BL458" s="2">
        <v>45.15</v>
      </c>
      <c r="BM458" s="2">
        <v>6.32</v>
      </c>
      <c r="BN458" s="2">
        <v>51.47</v>
      </c>
      <c r="BO458" s="2">
        <v>51.47</v>
      </c>
      <c r="BQ458" s="2" t="s">
        <v>102</v>
      </c>
      <c r="BR458" s="2" t="s">
        <v>103</v>
      </c>
      <c r="BS458" s="3">
        <v>43073</v>
      </c>
      <c r="BT458" s="4">
        <v>0.4375</v>
      </c>
      <c r="BU458" s="2" t="s">
        <v>937</v>
      </c>
      <c r="BV458" s="2" t="s">
        <v>85</v>
      </c>
      <c r="BY458" s="2">
        <v>1200</v>
      </c>
      <c r="BZ458" s="2" t="s">
        <v>27</v>
      </c>
      <c r="CA458" s="2" t="s">
        <v>532</v>
      </c>
      <c r="CC458" s="2" t="s">
        <v>212</v>
      </c>
      <c r="CD458" s="2">
        <v>7646</v>
      </c>
      <c r="CE458" s="2" t="s">
        <v>120</v>
      </c>
      <c r="CF458" s="3">
        <v>43074</v>
      </c>
      <c r="CI458" s="2">
        <v>1</v>
      </c>
      <c r="CJ458" s="2">
        <v>1</v>
      </c>
      <c r="CK458" s="2">
        <v>21</v>
      </c>
      <c r="CL458" s="2" t="s">
        <v>89</v>
      </c>
    </row>
    <row r="459" spans="1:90">
      <c r="A459" s="2" t="s">
        <v>71</v>
      </c>
      <c r="B459" s="2" t="s">
        <v>72</v>
      </c>
      <c r="C459" s="2" t="s">
        <v>73</v>
      </c>
      <c r="E459" s="2" t="str">
        <f>"FES1162593374"</f>
        <v>FES1162593374</v>
      </c>
      <c r="F459" s="3">
        <v>43073</v>
      </c>
      <c r="G459" s="2">
        <v>201806</v>
      </c>
      <c r="H459" s="2" t="s">
        <v>74</v>
      </c>
      <c r="I459" s="2" t="s">
        <v>75</v>
      </c>
      <c r="J459" s="2" t="s">
        <v>97</v>
      </c>
      <c r="K459" s="2" t="s">
        <v>77</v>
      </c>
      <c r="L459" s="2" t="s">
        <v>212</v>
      </c>
      <c r="M459" s="2" t="s">
        <v>212</v>
      </c>
      <c r="N459" s="2" t="s">
        <v>370</v>
      </c>
      <c r="O459" s="2" t="s">
        <v>101</v>
      </c>
      <c r="P459" s="2" t="str">
        <f>"2170602827                    "</f>
        <v xml:space="preserve">2170602827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5.65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1</v>
      </c>
      <c r="BJ459" s="2">
        <v>0.2</v>
      </c>
      <c r="BK459" s="2">
        <v>1</v>
      </c>
      <c r="BL459" s="2">
        <v>45.15</v>
      </c>
      <c r="BM459" s="2">
        <v>6.32</v>
      </c>
      <c r="BN459" s="2">
        <v>51.47</v>
      </c>
      <c r="BO459" s="2">
        <v>51.47</v>
      </c>
      <c r="BQ459" s="2" t="s">
        <v>102</v>
      </c>
      <c r="BR459" s="2" t="s">
        <v>103</v>
      </c>
      <c r="BS459" s="3">
        <v>43074</v>
      </c>
      <c r="BT459" s="4">
        <v>0.58333333333333337</v>
      </c>
      <c r="BU459" s="2" t="s">
        <v>538</v>
      </c>
      <c r="BV459" s="2" t="s">
        <v>89</v>
      </c>
      <c r="BW459" s="2" t="s">
        <v>149</v>
      </c>
      <c r="BX459" s="2" t="s">
        <v>368</v>
      </c>
      <c r="BY459" s="2">
        <v>1200</v>
      </c>
      <c r="BZ459" s="2" t="s">
        <v>27</v>
      </c>
      <c r="CA459" s="2" t="s">
        <v>532</v>
      </c>
      <c r="CC459" s="2" t="s">
        <v>212</v>
      </c>
      <c r="CD459" s="2">
        <v>7646</v>
      </c>
      <c r="CE459" s="2" t="s">
        <v>120</v>
      </c>
      <c r="CF459" s="3">
        <v>43074</v>
      </c>
      <c r="CI459" s="2">
        <v>1</v>
      </c>
      <c r="CJ459" s="2">
        <v>1</v>
      </c>
      <c r="CK459" s="2">
        <v>21</v>
      </c>
      <c r="CL459" s="2" t="s">
        <v>89</v>
      </c>
    </row>
    <row r="460" spans="1:90">
      <c r="A460" s="2" t="s">
        <v>71</v>
      </c>
      <c r="B460" s="2" t="s">
        <v>72</v>
      </c>
      <c r="C460" s="2" t="s">
        <v>73</v>
      </c>
      <c r="E460" s="2" t="str">
        <f>"FES1162592586"</f>
        <v>FES1162592586</v>
      </c>
      <c r="F460" s="3">
        <v>43070</v>
      </c>
      <c r="G460" s="2">
        <v>201806</v>
      </c>
      <c r="H460" s="2" t="s">
        <v>74</v>
      </c>
      <c r="I460" s="2" t="s">
        <v>75</v>
      </c>
      <c r="J460" s="2" t="s">
        <v>97</v>
      </c>
      <c r="K460" s="2" t="s">
        <v>77</v>
      </c>
      <c r="L460" s="2" t="s">
        <v>277</v>
      </c>
      <c r="M460" s="2" t="s">
        <v>278</v>
      </c>
      <c r="N460" s="2" t="s">
        <v>920</v>
      </c>
      <c r="O460" s="2" t="s">
        <v>101</v>
      </c>
      <c r="P460" s="2" t="str">
        <f>"2170601506                    "</f>
        <v xml:space="preserve">2170601506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4.41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0.2</v>
      </c>
      <c r="BK460" s="2">
        <v>1</v>
      </c>
      <c r="BL460" s="2">
        <v>35.270000000000003</v>
      </c>
      <c r="BM460" s="2">
        <v>4.9400000000000004</v>
      </c>
      <c r="BN460" s="2">
        <v>40.21</v>
      </c>
      <c r="BO460" s="2">
        <v>40.21</v>
      </c>
      <c r="BQ460" s="2" t="s">
        <v>128</v>
      </c>
      <c r="BR460" s="2" t="s">
        <v>103</v>
      </c>
      <c r="BS460" s="3">
        <v>43073</v>
      </c>
      <c r="BT460" s="4">
        <v>0.39444444444444443</v>
      </c>
      <c r="BU460" s="2" t="s">
        <v>921</v>
      </c>
      <c r="BV460" s="2" t="s">
        <v>85</v>
      </c>
      <c r="BY460" s="2">
        <v>1200</v>
      </c>
      <c r="CA460" s="2" t="s">
        <v>320</v>
      </c>
      <c r="CC460" s="2" t="s">
        <v>278</v>
      </c>
      <c r="CD460" s="2">
        <v>2162</v>
      </c>
      <c r="CE460" s="2" t="s">
        <v>120</v>
      </c>
      <c r="CF460" s="3">
        <v>43075</v>
      </c>
      <c r="CI460" s="2">
        <v>1</v>
      </c>
      <c r="CJ460" s="2">
        <v>1</v>
      </c>
      <c r="CK460" s="2">
        <v>22</v>
      </c>
      <c r="CL460" s="2" t="s">
        <v>89</v>
      </c>
    </row>
    <row r="461" spans="1:90">
      <c r="A461" s="2" t="s">
        <v>71</v>
      </c>
      <c r="B461" s="2" t="s">
        <v>72</v>
      </c>
      <c r="C461" s="2" t="s">
        <v>73</v>
      </c>
      <c r="E461" s="2" t="str">
        <f>"FES1162593368"</f>
        <v>FES1162593368</v>
      </c>
      <c r="F461" s="3">
        <v>43073</v>
      </c>
      <c r="G461" s="2">
        <v>201806</v>
      </c>
      <c r="H461" s="2" t="s">
        <v>74</v>
      </c>
      <c r="I461" s="2" t="s">
        <v>75</v>
      </c>
      <c r="J461" s="2" t="s">
        <v>97</v>
      </c>
      <c r="K461" s="2" t="s">
        <v>77</v>
      </c>
      <c r="L461" s="2" t="s">
        <v>212</v>
      </c>
      <c r="M461" s="2" t="s">
        <v>212</v>
      </c>
      <c r="N461" s="2" t="s">
        <v>213</v>
      </c>
      <c r="O461" s="2" t="s">
        <v>101</v>
      </c>
      <c r="P461" s="2" t="str">
        <f>"2170602668                    "</f>
        <v xml:space="preserve">2170602668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5.65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1</v>
      </c>
      <c r="BJ461" s="2">
        <v>0.2</v>
      </c>
      <c r="BK461" s="2">
        <v>1</v>
      </c>
      <c r="BL461" s="2">
        <v>45.15</v>
      </c>
      <c r="BM461" s="2">
        <v>6.32</v>
      </c>
      <c r="BN461" s="2">
        <v>51.47</v>
      </c>
      <c r="BO461" s="2">
        <v>51.47</v>
      </c>
      <c r="BQ461" s="2" t="s">
        <v>102</v>
      </c>
      <c r="BR461" s="2" t="s">
        <v>103</v>
      </c>
      <c r="BS461" s="3">
        <v>43074</v>
      </c>
      <c r="BT461" s="4">
        <v>0.57291666666666663</v>
      </c>
      <c r="BU461" s="2" t="s">
        <v>531</v>
      </c>
      <c r="BV461" s="2" t="s">
        <v>85</v>
      </c>
      <c r="BY461" s="2">
        <v>1200</v>
      </c>
      <c r="BZ461" s="2" t="s">
        <v>27</v>
      </c>
      <c r="CA461" s="2" t="s">
        <v>532</v>
      </c>
      <c r="CC461" s="2" t="s">
        <v>212</v>
      </c>
      <c r="CD461" s="2">
        <v>7646</v>
      </c>
      <c r="CE461" s="2" t="s">
        <v>120</v>
      </c>
      <c r="CF461" s="3">
        <v>43074</v>
      </c>
      <c r="CI461" s="2">
        <v>1</v>
      </c>
      <c r="CJ461" s="2">
        <v>1</v>
      </c>
      <c r="CK461" s="2">
        <v>21</v>
      </c>
      <c r="CL461" s="2" t="s">
        <v>89</v>
      </c>
    </row>
    <row r="462" spans="1:90">
      <c r="A462" s="2" t="s">
        <v>71</v>
      </c>
      <c r="B462" s="2" t="s">
        <v>72</v>
      </c>
      <c r="C462" s="2" t="s">
        <v>73</v>
      </c>
      <c r="E462" s="2" t="str">
        <f>"FES1162592547"</f>
        <v>FES1162592547</v>
      </c>
      <c r="F462" s="3">
        <v>43070</v>
      </c>
      <c r="G462" s="2">
        <v>201806</v>
      </c>
      <c r="H462" s="2" t="s">
        <v>74</v>
      </c>
      <c r="I462" s="2" t="s">
        <v>75</v>
      </c>
      <c r="J462" s="2" t="s">
        <v>97</v>
      </c>
      <c r="K462" s="2" t="s">
        <v>77</v>
      </c>
      <c r="L462" s="2" t="s">
        <v>106</v>
      </c>
      <c r="M462" s="2" t="s">
        <v>107</v>
      </c>
      <c r="N462" s="2" t="s">
        <v>787</v>
      </c>
      <c r="O462" s="2" t="s">
        <v>101</v>
      </c>
      <c r="P462" s="2" t="str">
        <f>"2170600668                    "</f>
        <v xml:space="preserve">2170600668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4.41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35.270000000000003</v>
      </c>
      <c r="BM462" s="2">
        <v>4.9400000000000004</v>
      </c>
      <c r="BN462" s="2">
        <v>40.21</v>
      </c>
      <c r="BO462" s="2">
        <v>40.21</v>
      </c>
      <c r="BQ462" s="2" t="s">
        <v>102</v>
      </c>
      <c r="BR462" s="2" t="s">
        <v>103</v>
      </c>
      <c r="BS462" s="3">
        <v>43073</v>
      </c>
      <c r="BT462" s="4">
        <v>0.41666666666666669</v>
      </c>
      <c r="BU462" s="2" t="s">
        <v>788</v>
      </c>
      <c r="BV462" s="2" t="s">
        <v>85</v>
      </c>
      <c r="BY462" s="2">
        <v>1200</v>
      </c>
      <c r="BZ462" s="2" t="s">
        <v>27</v>
      </c>
      <c r="CC462" s="2" t="s">
        <v>107</v>
      </c>
      <c r="CD462" s="2">
        <v>2013</v>
      </c>
      <c r="CE462" s="2" t="s">
        <v>120</v>
      </c>
      <c r="CF462" s="3">
        <v>43074</v>
      </c>
      <c r="CI462" s="2">
        <v>1</v>
      </c>
      <c r="CJ462" s="2">
        <v>1</v>
      </c>
      <c r="CK462" s="2">
        <v>22</v>
      </c>
      <c r="CL462" s="2" t="s">
        <v>89</v>
      </c>
    </row>
    <row r="463" spans="1:90">
      <c r="A463" s="2" t="s">
        <v>71</v>
      </c>
      <c r="B463" s="2" t="s">
        <v>72</v>
      </c>
      <c r="C463" s="2" t="s">
        <v>73</v>
      </c>
      <c r="E463" s="2" t="str">
        <f>"FES1162593401"</f>
        <v>FES1162593401</v>
      </c>
      <c r="F463" s="3">
        <v>43073</v>
      </c>
      <c r="G463" s="2">
        <v>201806</v>
      </c>
      <c r="H463" s="2" t="s">
        <v>74</v>
      </c>
      <c r="I463" s="2" t="s">
        <v>75</v>
      </c>
      <c r="J463" s="2" t="s">
        <v>97</v>
      </c>
      <c r="K463" s="2" t="s">
        <v>77</v>
      </c>
      <c r="L463" s="2" t="s">
        <v>173</v>
      </c>
      <c r="M463" s="2" t="s">
        <v>174</v>
      </c>
      <c r="N463" s="2" t="s">
        <v>376</v>
      </c>
      <c r="O463" s="2" t="s">
        <v>101</v>
      </c>
      <c r="P463" s="2" t="str">
        <f>"21706030177                   "</f>
        <v xml:space="preserve">21706030177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5.65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45.15</v>
      </c>
      <c r="BM463" s="2">
        <v>6.32</v>
      </c>
      <c r="BN463" s="2">
        <v>51.47</v>
      </c>
      <c r="BO463" s="2">
        <v>51.47</v>
      </c>
      <c r="BQ463" s="2" t="s">
        <v>102</v>
      </c>
      <c r="BR463" s="2" t="s">
        <v>103</v>
      </c>
      <c r="BS463" s="3">
        <v>43074</v>
      </c>
      <c r="BT463" s="4">
        <v>0.49652777777777773</v>
      </c>
      <c r="BU463" s="2" t="s">
        <v>536</v>
      </c>
      <c r="BV463" s="2" t="s">
        <v>89</v>
      </c>
      <c r="BW463" s="2" t="s">
        <v>149</v>
      </c>
      <c r="BX463" s="2" t="s">
        <v>246</v>
      </c>
      <c r="BY463" s="2">
        <v>1200</v>
      </c>
      <c r="BZ463" s="2" t="s">
        <v>27</v>
      </c>
      <c r="CA463" s="2" t="s">
        <v>537</v>
      </c>
      <c r="CC463" s="2" t="s">
        <v>174</v>
      </c>
      <c r="CD463" s="2">
        <v>7490</v>
      </c>
      <c r="CE463" s="2" t="s">
        <v>120</v>
      </c>
      <c r="CF463" s="3">
        <v>43075</v>
      </c>
      <c r="CI463" s="2">
        <v>1</v>
      </c>
      <c r="CJ463" s="2">
        <v>1</v>
      </c>
      <c r="CK463" s="2">
        <v>21</v>
      </c>
      <c r="CL463" s="2" t="s">
        <v>89</v>
      </c>
    </row>
    <row r="464" spans="1:90">
      <c r="A464" s="2" t="s">
        <v>71</v>
      </c>
      <c r="B464" s="2" t="s">
        <v>72</v>
      </c>
      <c r="C464" s="2" t="s">
        <v>73</v>
      </c>
      <c r="E464" s="2" t="str">
        <f>"FES1162593037"</f>
        <v>FES1162593037</v>
      </c>
      <c r="F464" s="3">
        <v>43070</v>
      </c>
      <c r="G464" s="2">
        <v>201806</v>
      </c>
      <c r="H464" s="2" t="s">
        <v>74</v>
      </c>
      <c r="I464" s="2" t="s">
        <v>75</v>
      </c>
      <c r="J464" s="2" t="s">
        <v>97</v>
      </c>
      <c r="K464" s="2" t="s">
        <v>77</v>
      </c>
      <c r="L464" s="2" t="s">
        <v>272</v>
      </c>
      <c r="M464" s="2" t="s">
        <v>272</v>
      </c>
      <c r="N464" s="2" t="s">
        <v>938</v>
      </c>
      <c r="O464" s="2" t="s">
        <v>101</v>
      </c>
      <c r="P464" s="2" t="str">
        <f>"2170605337                    "</f>
        <v xml:space="preserve">2170605337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7.94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</v>
      </c>
      <c r="BJ464" s="2">
        <v>0.2</v>
      </c>
      <c r="BK464" s="2">
        <v>1</v>
      </c>
      <c r="BL464" s="2">
        <v>63.49</v>
      </c>
      <c r="BM464" s="2">
        <v>8.89</v>
      </c>
      <c r="BN464" s="2">
        <v>72.38</v>
      </c>
      <c r="BO464" s="2">
        <v>72.38</v>
      </c>
      <c r="BQ464" s="2" t="s">
        <v>229</v>
      </c>
      <c r="BR464" s="2" t="s">
        <v>103</v>
      </c>
      <c r="BS464" s="3">
        <v>43073</v>
      </c>
      <c r="BT464" s="4">
        <v>0.41666666666666669</v>
      </c>
      <c r="BU464" s="2" t="s">
        <v>939</v>
      </c>
      <c r="BV464" s="2" t="s">
        <v>85</v>
      </c>
      <c r="BY464" s="2">
        <v>1200</v>
      </c>
      <c r="CA464" s="2" t="s">
        <v>389</v>
      </c>
      <c r="CC464" s="2" t="s">
        <v>272</v>
      </c>
      <c r="CD464" s="2">
        <v>1490</v>
      </c>
      <c r="CE464" s="2" t="s">
        <v>120</v>
      </c>
      <c r="CF464" s="3">
        <v>43075</v>
      </c>
      <c r="CI464" s="2">
        <v>1</v>
      </c>
      <c r="CJ464" s="2">
        <v>1</v>
      </c>
      <c r="CK464" s="2">
        <v>24</v>
      </c>
      <c r="CL464" s="2" t="s">
        <v>89</v>
      </c>
    </row>
    <row r="465" spans="1:90">
      <c r="A465" s="2" t="s">
        <v>71</v>
      </c>
      <c r="B465" s="2" t="s">
        <v>72</v>
      </c>
      <c r="C465" s="2" t="s">
        <v>73</v>
      </c>
      <c r="E465" s="2" t="str">
        <f>"FES1162593397"</f>
        <v>FES1162593397</v>
      </c>
      <c r="F465" s="3">
        <v>43073</v>
      </c>
      <c r="G465" s="2">
        <v>201806</v>
      </c>
      <c r="H465" s="2" t="s">
        <v>74</v>
      </c>
      <c r="I465" s="2" t="s">
        <v>75</v>
      </c>
      <c r="J465" s="2" t="s">
        <v>97</v>
      </c>
      <c r="K465" s="2" t="s">
        <v>77</v>
      </c>
      <c r="L465" s="2" t="s">
        <v>173</v>
      </c>
      <c r="M465" s="2" t="s">
        <v>174</v>
      </c>
      <c r="N465" s="2" t="s">
        <v>376</v>
      </c>
      <c r="O465" s="2" t="s">
        <v>101</v>
      </c>
      <c r="P465" s="2" t="str">
        <f>"2170603164                    "</f>
        <v xml:space="preserve">2170603164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5.65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1</v>
      </c>
      <c r="BJ465" s="2">
        <v>0.2</v>
      </c>
      <c r="BK465" s="2">
        <v>1</v>
      </c>
      <c r="BL465" s="2">
        <v>45.15</v>
      </c>
      <c r="BM465" s="2">
        <v>6.32</v>
      </c>
      <c r="BN465" s="2">
        <v>51.47</v>
      </c>
      <c r="BO465" s="2">
        <v>51.47</v>
      </c>
      <c r="BQ465" s="2" t="s">
        <v>102</v>
      </c>
      <c r="BR465" s="2" t="s">
        <v>103</v>
      </c>
      <c r="BS465" s="3">
        <v>43074</v>
      </c>
      <c r="BT465" s="4">
        <v>0.49652777777777773</v>
      </c>
      <c r="BU465" s="2" t="s">
        <v>536</v>
      </c>
      <c r="BV465" s="2" t="s">
        <v>89</v>
      </c>
      <c r="BW465" s="2" t="s">
        <v>149</v>
      </c>
      <c r="BX465" s="2" t="s">
        <v>246</v>
      </c>
      <c r="BY465" s="2">
        <v>1200</v>
      </c>
      <c r="BZ465" s="2" t="s">
        <v>27</v>
      </c>
      <c r="CA465" s="2" t="s">
        <v>537</v>
      </c>
      <c r="CC465" s="2" t="s">
        <v>174</v>
      </c>
      <c r="CD465" s="2">
        <v>7490</v>
      </c>
      <c r="CE465" s="2" t="s">
        <v>120</v>
      </c>
      <c r="CF465" s="3">
        <v>43075</v>
      </c>
      <c r="CI465" s="2">
        <v>1</v>
      </c>
      <c r="CJ465" s="2">
        <v>1</v>
      </c>
      <c r="CK465" s="2">
        <v>21</v>
      </c>
      <c r="CL465" s="2" t="s">
        <v>89</v>
      </c>
    </row>
    <row r="466" spans="1:90">
      <c r="A466" s="2" t="s">
        <v>71</v>
      </c>
      <c r="B466" s="2" t="s">
        <v>72</v>
      </c>
      <c r="C466" s="2" t="s">
        <v>73</v>
      </c>
      <c r="E466" s="2" t="str">
        <f>"FES1162592922"</f>
        <v>FES1162592922</v>
      </c>
      <c r="F466" s="3">
        <v>43070</v>
      </c>
      <c r="G466" s="2">
        <v>201806</v>
      </c>
      <c r="H466" s="2" t="s">
        <v>74</v>
      </c>
      <c r="I466" s="2" t="s">
        <v>75</v>
      </c>
      <c r="J466" s="2" t="s">
        <v>97</v>
      </c>
      <c r="K466" s="2" t="s">
        <v>77</v>
      </c>
      <c r="L466" s="2" t="s">
        <v>106</v>
      </c>
      <c r="M466" s="2" t="s">
        <v>107</v>
      </c>
      <c r="N466" s="2" t="s">
        <v>108</v>
      </c>
      <c r="O466" s="2" t="s">
        <v>101</v>
      </c>
      <c r="P466" s="2" t="str">
        <f>"2170603744                    "</f>
        <v xml:space="preserve">2170603744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4.41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1</v>
      </c>
      <c r="BJ466" s="2">
        <v>0.2</v>
      </c>
      <c r="BK466" s="2">
        <v>1</v>
      </c>
      <c r="BL466" s="2">
        <v>35.270000000000003</v>
      </c>
      <c r="BM466" s="2">
        <v>4.9400000000000004</v>
      </c>
      <c r="BN466" s="2">
        <v>40.21</v>
      </c>
      <c r="BO466" s="2">
        <v>40.21</v>
      </c>
      <c r="BQ466" s="2" t="s">
        <v>82</v>
      </c>
      <c r="BR466" s="2" t="s">
        <v>103</v>
      </c>
      <c r="BS466" s="3">
        <v>43073</v>
      </c>
      <c r="BT466" s="4">
        <v>0.3923611111111111</v>
      </c>
      <c r="BU466" s="2" t="s">
        <v>643</v>
      </c>
      <c r="BV466" s="2" t="s">
        <v>85</v>
      </c>
      <c r="BY466" s="2">
        <v>1200</v>
      </c>
      <c r="CA466" s="2" t="s">
        <v>644</v>
      </c>
      <c r="CC466" s="2" t="s">
        <v>107</v>
      </c>
      <c r="CD466" s="2">
        <v>2094</v>
      </c>
      <c r="CE466" s="2" t="s">
        <v>120</v>
      </c>
      <c r="CF466" s="3">
        <v>43075</v>
      </c>
      <c r="CI466" s="2">
        <v>1</v>
      </c>
      <c r="CJ466" s="2">
        <v>1</v>
      </c>
      <c r="CK466" s="2">
        <v>22</v>
      </c>
      <c r="CL466" s="2" t="s">
        <v>89</v>
      </c>
    </row>
    <row r="467" spans="1:90">
      <c r="A467" s="2" t="s">
        <v>71</v>
      </c>
      <c r="B467" s="2" t="s">
        <v>72</v>
      </c>
      <c r="C467" s="2" t="s">
        <v>73</v>
      </c>
      <c r="E467" s="2" t="str">
        <f>"FES1162593417"</f>
        <v>FES1162593417</v>
      </c>
      <c r="F467" s="3">
        <v>43073</v>
      </c>
      <c r="G467" s="2">
        <v>201806</v>
      </c>
      <c r="H467" s="2" t="s">
        <v>74</v>
      </c>
      <c r="I467" s="2" t="s">
        <v>75</v>
      </c>
      <c r="J467" s="2" t="s">
        <v>97</v>
      </c>
      <c r="K467" s="2" t="s">
        <v>77</v>
      </c>
      <c r="L467" s="2" t="s">
        <v>173</v>
      </c>
      <c r="M467" s="2" t="s">
        <v>174</v>
      </c>
      <c r="N467" s="2" t="s">
        <v>376</v>
      </c>
      <c r="O467" s="2" t="s">
        <v>101</v>
      </c>
      <c r="P467" s="2" t="str">
        <f>"2170603390                    "</f>
        <v xml:space="preserve">2170603390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5.65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1</v>
      </c>
      <c r="BJ467" s="2">
        <v>0.2</v>
      </c>
      <c r="BK467" s="2">
        <v>1</v>
      </c>
      <c r="BL467" s="2">
        <v>45.15</v>
      </c>
      <c r="BM467" s="2">
        <v>6.32</v>
      </c>
      <c r="BN467" s="2">
        <v>51.47</v>
      </c>
      <c r="BO467" s="2">
        <v>51.47</v>
      </c>
      <c r="BQ467" s="2" t="s">
        <v>102</v>
      </c>
      <c r="BR467" s="2" t="s">
        <v>103</v>
      </c>
      <c r="BS467" s="3">
        <v>43074</v>
      </c>
      <c r="BT467" s="4">
        <v>0.49652777777777773</v>
      </c>
      <c r="BU467" s="2" t="s">
        <v>536</v>
      </c>
      <c r="BV467" s="2" t="s">
        <v>89</v>
      </c>
      <c r="BW467" s="2" t="s">
        <v>149</v>
      </c>
      <c r="BX467" s="2" t="s">
        <v>246</v>
      </c>
      <c r="BY467" s="2">
        <v>1200</v>
      </c>
      <c r="BZ467" s="2" t="s">
        <v>27</v>
      </c>
      <c r="CA467" s="2" t="s">
        <v>537</v>
      </c>
      <c r="CC467" s="2" t="s">
        <v>174</v>
      </c>
      <c r="CD467" s="2">
        <v>7490</v>
      </c>
      <c r="CE467" s="2" t="s">
        <v>120</v>
      </c>
      <c r="CF467" s="3">
        <v>43075</v>
      </c>
      <c r="CI467" s="2">
        <v>1</v>
      </c>
      <c r="CJ467" s="2">
        <v>1</v>
      </c>
      <c r="CK467" s="2">
        <v>21</v>
      </c>
      <c r="CL467" s="2" t="s">
        <v>89</v>
      </c>
    </row>
    <row r="468" spans="1:90">
      <c r="A468" s="2" t="s">
        <v>71</v>
      </c>
      <c r="B468" s="2" t="s">
        <v>72</v>
      </c>
      <c r="C468" s="2" t="s">
        <v>73</v>
      </c>
      <c r="E468" s="2" t="str">
        <f>"FES1162592829"</f>
        <v>FES1162592829</v>
      </c>
      <c r="F468" s="3">
        <v>43070</v>
      </c>
      <c r="G468" s="2">
        <v>201806</v>
      </c>
      <c r="H468" s="2" t="s">
        <v>74</v>
      </c>
      <c r="I468" s="2" t="s">
        <v>75</v>
      </c>
      <c r="J468" s="2" t="s">
        <v>97</v>
      </c>
      <c r="K468" s="2" t="s">
        <v>77</v>
      </c>
      <c r="L468" s="2" t="s">
        <v>277</v>
      </c>
      <c r="M468" s="2" t="s">
        <v>278</v>
      </c>
      <c r="N468" s="2" t="s">
        <v>920</v>
      </c>
      <c r="O468" s="2" t="s">
        <v>101</v>
      </c>
      <c r="P468" s="2" t="str">
        <f>"2170601582                    "</f>
        <v xml:space="preserve">2170601582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4.41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1</v>
      </c>
      <c r="BJ468" s="2">
        <v>0.2</v>
      </c>
      <c r="BK468" s="2">
        <v>1</v>
      </c>
      <c r="BL468" s="2">
        <v>35.270000000000003</v>
      </c>
      <c r="BM468" s="2">
        <v>4.9400000000000004</v>
      </c>
      <c r="BN468" s="2">
        <v>40.21</v>
      </c>
      <c r="BO468" s="2">
        <v>40.21</v>
      </c>
      <c r="BQ468" s="2" t="s">
        <v>128</v>
      </c>
      <c r="BR468" s="2" t="s">
        <v>103</v>
      </c>
      <c r="BS468" s="3">
        <v>43073</v>
      </c>
      <c r="BT468" s="4">
        <v>0.4375</v>
      </c>
      <c r="BU468" s="2" t="s">
        <v>921</v>
      </c>
      <c r="BV468" s="2" t="s">
        <v>85</v>
      </c>
      <c r="BY468" s="2">
        <v>1200</v>
      </c>
      <c r="CA468" s="2" t="s">
        <v>320</v>
      </c>
      <c r="CC468" s="2" t="s">
        <v>278</v>
      </c>
      <c r="CD468" s="2">
        <v>2162</v>
      </c>
      <c r="CE468" s="2" t="s">
        <v>120</v>
      </c>
      <c r="CF468" s="3">
        <v>43075</v>
      </c>
      <c r="CI468" s="2">
        <v>1</v>
      </c>
      <c r="CJ468" s="2">
        <v>1</v>
      </c>
      <c r="CK468" s="2">
        <v>22</v>
      </c>
      <c r="CL468" s="2" t="s">
        <v>89</v>
      </c>
    </row>
    <row r="469" spans="1:90">
      <c r="A469" s="2" t="s">
        <v>71</v>
      </c>
      <c r="B469" s="2" t="s">
        <v>72</v>
      </c>
      <c r="C469" s="2" t="s">
        <v>73</v>
      </c>
      <c r="E469" s="2" t="str">
        <f>"FES1162593315"</f>
        <v>FES1162593315</v>
      </c>
      <c r="F469" s="3">
        <v>43073</v>
      </c>
      <c r="G469" s="2">
        <v>201806</v>
      </c>
      <c r="H469" s="2" t="s">
        <v>74</v>
      </c>
      <c r="I469" s="2" t="s">
        <v>75</v>
      </c>
      <c r="J469" s="2" t="s">
        <v>97</v>
      </c>
      <c r="K469" s="2" t="s">
        <v>77</v>
      </c>
      <c r="L469" s="2" t="s">
        <v>189</v>
      </c>
      <c r="M469" s="2" t="s">
        <v>190</v>
      </c>
      <c r="N469" s="2" t="s">
        <v>940</v>
      </c>
      <c r="O469" s="2" t="s">
        <v>101</v>
      </c>
      <c r="P469" s="2" t="str">
        <f>"2170597823                    "</f>
        <v xml:space="preserve">2170597823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8.4700000000000006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3</v>
      </c>
      <c r="BJ469" s="2">
        <v>2</v>
      </c>
      <c r="BK469" s="2">
        <v>3</v>
      </c>
      <c r="BL469" s="2">
        <v>67.709999999999994</v>
      </c>
      <c r="BM469" s="2">
        <v>9.48</v>
      </c>
      <c r="BN469" s="2">
        <v>77.19</v>
      </c>
      <c r="BO469" s="2">
        <v>77.19</v>
      </c>
      <c r="BR469" s="2" t="s">
        <v>103</v>
      </c>
      <c r="BS469" s="3">
        <v>43074</v>
      </c>
      <c r="BT469" s="4">
        <v>0.47222222222222227</v>
      </c>
      <c r="BU469" s="2" t="s">
        <v>941</v>
      </c>
      <c r="BV469" s="2" t="s">
        <v>89</v>
      </c>
      <c r="BW469" s="2" t="s">
        <v>156</v>
      </c>
      <c r="BX469" s="2" t="s">
        <v>565</v>
      </c>
      <c r="BY469" s="2">
        <v>9918</v>
      </c>
      <c r="BZ469" s="2" t="s">
        <v>27</v>
      </c>
      <c r="CA469" s="2" t="s">
        <v>942</v>
      </c>
      <c r="CC469" s="2" t="s">
        <v>190</v>
      </c>
      <c r="CD469" s="2">
        <v>46</v>
      </c>
      <c r="CE469" s="2" t="s">
        <v>95</v>
      </c>
      <c r="CF469" s="3">
        <v>43075</v>
      </c>
      <c r="CI469" s="2">
        <v>1</v>
      </c>
      <c r="CJ469" s="2">
        <v>1</v>
      </c>
      <c r="CK469" s="2">
        <v>21</v>
      </c>
      <c r="CL469" s="2" t="s">
        <v>89</v>
      </c>
    </row>
    <row r="470" spans="1:90">
      <c r="A470" s="2" t="s">
        <v>71</v>
      </c>
      <c r="B470" s="2" t="s">
        <v>72</v>
      </c>
      <c r="C470" s="2" t="s">
        <v>73</v>
      </c>
      <c r="E470" s="2" t="str">
        <f>"FES1162592769"</f>
        <v>FES1162592769</v>
      </c>
      <c r="F470" s="3">
        <v>43070</v>
      </c>
      <c r="G470" s="2">
        <v>201806</v>
      </c>
      <c r="H470" s="2" t="s">
        <v>74</v>
      </c>
      <c r="I470" s="2" t="s">
        <v>75</v>
      </c>
      <c r="J470" s="2" t="s">
        <v>97</v>
      </c>
      <c r="K470" s="2" t="s">
        <v>77</v>
      </c>
      <c r="L470" s="2" t="s">
        <v>189</v>
      </c>
      <c r="M470" s="2" t="s">
        <v>190</v>
      </c>
      <c r="N470" s="2" t="s">
        <v>574</v>
      </c>
      <c r="O470" s="2" t="s">
        <v>101</v>
      </c>
      <c r="P470" s="2" t="str">
        <f>"2170602139                    "</f>
        <v xml:space="preserve">2170602139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5.65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1</v>
      </c>
      <c r="BJ470" s="2">
        <v>0.2</v>
      </c>
      <c r="BK470" s="2">
        <v>1</v>
      </c>
      <c r="BL470" s="2">
        <v>45.15</v>
      </c>
      <c r="BM470" s="2">
        <v>6.32</v>
      </c>
      <c r="BN470" s="2">
        <v>51.47</v>
      </c>
      <c r="BO470" s="2">
        <v>51.47</v>
      </c>
      <c r="BQ470" s="2" t="s">
        <v>102</v>
      </c>
      <c r="BR470" s="2" t="s">
        <v>103</v>
      </c>
      <c r="BS470" s="3">
        <v>43074</v>
      </c>
      <c r="BT470" s="4">
        <v>0.42708333333333331</v>
      </c>
      <c r="BU470" s="2" t="s">
        <v>575</v>
      </c>
      <c r="BV470" s="2" t="s">
        <v>89</v>
      </c>
      <c r="BY470" s="2">
        <v>1200</v>
      </c>
      <c r="CC470" s="2" t="s">
        <v>190</v>
      </c>
      <c r="CD470" s="2">
        <v>157</v>
      </c>
      <c r="CE470" s="2" t="s">
        <v>120</v>
      </c>
      <c r="CF470" s="3">
        <v>43076</v>
      </c>
      <c r="CI470" s="2">
        <v>1</v>
      </c>
      <c r="CJ470" s="2">
        <v>2</v>
      </c>
      <c r="CK470" s="2">
        <v>21</v>
      </c>
      <c r="CL470" s="2" t="s">
        <v>89</v>
      </c>
    </row>
    <row r="471" spans="1:90">
      <c r="A471" s="2" t="s">
        <v>71</v>
      </c>
      <c r="B471" s="2" t="s">
        <v>72</v>
      </c>
      <c r="C471" s="2" t="s">
        <v>73</v>
      </c>
      <c r="E471" s="2" t="str">
        <f>"FES1162593446"</f>
        <v>FES1162593446</v>
      </c>
      <c r="F471" s="3">
        <v>43073</v>
      </c>
      <c r="G471" s="2">
        <v>201806</v>
      </c>
      <c r="H471" s="2" t="s">
        <v>74</v>
      </c>
      <c r="I471" s="2" t="s">
        <v>75</v>
      </c>
      <c r="J471" s="2" t="s">
        <v>97</v>
      </c>
      <c r="K471" s="2" t="s">
        <v>77</v>
      </c>
      <c r="L471" s="2" t="s">
        <v>943</v>
      </c>
      <c r="M471" s="2" t="s">
        <v>944</v>
      </c>
      <c r="N471" s="2" t="s">
        <v>945</v>
      </c>
      <c r="O471" s="2" t="s">
        <v>101</v>
      </c>
      <c r="P471" s="2" t="str">
        <f>"2170604293                    "</f>
        <v xml:space="preserve">2170604293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10.94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1</v>
      </c>
      <c r="BJ471" s="2">
        <v>0.2</v>
      </c>
      <c r="BK471" s="2">
        <v>1</v>
      </c>
      <c r="BL471" s="2">
        <v>87.47</v>
      </c>
      <c r="BM471" s="2">
        <v>12.25</v>
      </c>
      <c r="BN471" s="2">
        <v>99.72</v>
      </c>
      <c r="BO471" s="2">
        <v>99.72</v>
      </c>
      <c r="BQ471" s="2" t="s">
        <v>946</v>
      </c>
      <c r="BR471" s="2" t="s">
        <v>103</v>
      </c>
      <c r="BS471" s="3">
        <v>43074</v>
      </c>
      <c r="BT471" s="4">
        <v>0.5131944444444444</v>
      </c>
      <c r="BU471" s="2" t="s">
        <v>947</v>
      </c>
      <c r="BV471" s="2" t="s">
        <v>85</v>
      </c>
      <c r="BY471" s="2">
        <v>1200</v>
      </c>
      <c r="BZ471" s="2" t="s">
        <v>27</v>
      </c>
      <c r="CA471" s="2" t="s">
        <v>948</v>
      </c>
      <c r="CC471" s="2" t="s">
        <v>944</v>
      </c>
      <c r="CD471" s="2">
        <v>3236</v>
      </c>
      <c r="CE471" s="2" t="s">
        <v>120</v>
      </c>
      <c r="CF471" s="3">
        <v>43076</v>
      </c>
      <c r="CI471" s="2">
        <v>1</v>
      </c>
      <c r="CJ471" s="2">
        <v>1</v>
      </c>
      <c r="CK471" s="2">
        <v>23</v>
      </c>
      <c r="CL471" s="2" t="s">
        <v>89</v>
      </c>
    </row>
    <row r="472" spans="1:90">
      <c r="A472" s="2" t="s">
        <v>71</v>
      </c>
      <c r="B472" s="2" t="s">
        <v>72</v>
      </c>
      <c r="C472" s="2" t="s">
        <v>73</v>
      </c>
      <c r="E472" s="2" t="str">
        <f>"FES1162593032"</f>
        <v>FES1162593032</v>
      </c>
      <c r="F472" s="3">
        <v>43070</v>
      </c>
      <c r="G472" s="2">
        <v>201806</v>
      </c>
      <c r="H472" s="2" t="s">
        <v>74</v>
      </c>
      <c r="I472" s="2" t="s">
        <v>75</v>
      </c>
      <c r="J472" s="2" t="s">
        <v>97</v>
      </c>
      <c r="K472" s="2" t="s">
        <v>77</v>
      </c>
      <c r="L472" s="2" t="s">
        <v>651</v>
      </c>
      <c r="M472" s="2" t="s">
        <v>652</v>
      </c>
      <c r="N472" s="2" t="s">
        <v>949</v>
      </c>
      <c r="O472" s="2" t="s">
        <v>101</v>
      </c>
      <c r="P472" s="2" t="str">
        <f>"2170605387                    "</f>
        <v xml:space="preserve">2170605387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7.94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</v>
      </c>
      <c r="BJ472" s="2">
        <v>0.2</v>
      </c>
      <c r="BK472" s="2">
        <v>1</v>
      </c>
      <c r="BL472" s="2">
        <v>63.49</v>
      </c>
      <c r="BM472" s="2">
        <v>8.89</v>
      </c>
      <c r="BN472" s="2">
        <v>72.38</v>
      </c>
      <c r="BO472" s="2">
        <v>72.38</v>
      </c>
      <c r="BQ472" s="2" t="s">
        <v>82</v>
      </c>
      <c r="BR472" s="2" t="s">
        <v>103</v>
      </c>
      <c r="BS472" s="3">
        <v>43073</v>
      </c>
      <c r="BT472" s="4">
        <v>0.71597222222222223</v>
      </c>
      <c r="BU472" s="2" t="s">
        <v>950</v>
      </c>
      <c r="BV472" s="2" t="s">
        <v>89</v>
      </c>
      <c r="BY472" s="2">
        <v>1200</v>
      </c>
      <c r="BZ472" s="2" t="s">
        <v>27</v>
      </c>
      <c r="CA472" s="2" t="s">
        <v>656</v>
      </c>
      <c r="CC472" s="2" t="s">
        <v>652</v>
      </c>
      <c r="CD472" s="2">
        <v>250</v>
      </c>
      <c r="CE472" s="2" t="s">
        <v>120</v>
      </c>
      <c r="CF472" s="3">
        <v>43075</v>
      </c>
      <c r="CI472" s="2">
        <v>1</v>
      </c>
      <c r="CJ472" s="2">
        <v>1</v>
      </c>
      <c r="CK472" s="2">
        <v>24</v>
      </c>
      <c r="CL472" s="2" t="s">
        <v>89</v>
      </c>
    </row>
    <row r="473" spans="1:90">
      <c r="A473" s="2" t="s">
        <v>71</v>
      </c>
      <c r="B473" s="2" t="s">
        <v>72</v>
      </c>
      <c r="C473" s="2" t="s">
        <v>73</v>
      </c>
      <c r="E473" s="2" t="str">
        <f>"FES1162593467"</f>
        <v>FES1162593467</v>
      </c>
      <c r="F473" s="3">
        <v>43073</v>
      </c>
      <c r="G473" s="2">
        <v>201806</v>
      </c>
      <c r="H473" s="2" t="s">
        <v>74</v>
      </c>
      <c r="I473" s="2" t="s">
        <v>75</v>
      </c>
      <c r="J473" s="2" t="s">
        <v>97</v>
      </c>
      <c r="K473" s="2" t="s">
        <v>77</v>
      </c>
      <c r="L473" s="2" t="s">
        <v>551</v>
      </c>
      <c r="M473" s="2" t="s">
        <v>552</v>
      </c>
      <c r="N473" s="2" t="s">
        <v>951</v>
      </c>
      <c r="O473" s="2" t="s">
        <v>101</v>
      </c>
      <c r="P473" s="2" t="str">
        <f>"2170604815                    "</f>
        <v xml:space="preserve">2170604815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5.65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45.15</v>
      </c>
      <c r="BM473" s="2">
        <v>6.32</v>
      </c>
      <c r="BN473" s="2">
        <v>51.47</v>
      </c>
      <c r="BO473" s="2">
        <v>51.47</v>
      </c>
      <c r="BR473" s="2" t="s">
        <v>103</v>
      </c>
      <c r="BS473" s="3">
        <v>43074</v>
      </c>
      <c r="BT473" s="4">
        <v>0.54027777777777775</v>
      </c>
      <c r="BU473" s="2" t="s">
        <v>952</v>
      </c>
      <c r="BV473" s="2" t="s">
        <v>85</v>
      </c>
      <c r="BY473" s="2">
        <v>1200</v>
      </c>
      <c r="BZ473" s="2" t="s">
        <v>27</v>
      </c>
      <c r="CA473" s="2" t="s">
        <v>555</v>
      </c>
      <c r="CC473" s="2" t="s">
        <v>552</v>
      </c>
      <c r="CD473" s="2">
        <v>3310</v>
      </c>
      <c r="CE473" s="2" t="s">
        <v>120</v>
      </c>
      <c r="CF473" s="3">
        <v>43076</v>
      </c>
      <c r="CI473" s="2">
        <v>1</v>
      </c>
      <c r="CJ473" s="2">
        <v>1</v>
      </c>
      <c r="CK473" s="2">
        <v>21</v>
      </c>
      <c r="CL473" s="2" t="s">
        <v>89</v>
      </c>
    </row>
    <row r="474" spans="1:90">
      <c r="A474" s="2" t="s">
        <v>71</v>
      </c>
      <c r="B474" s="2" t="s">
        <v>72</v>
      </c>
      <c r="C474" s="2" t="s">
        <v>73</v>
      </c>
      <c r="E474" s="2" t="str">
        <f>"FES1162592393"</f>
        <v>FES1162592393</v>
      </c>
      <c r="F474" s="3">
        <v>43070</v>
      </c>
      <c r="G474" s="2">
        <v>201806</v>
      </c>
      <c r="H474" s="2" t="s">
        <v>74</v>
      </c>
      <c r="I474" s="2" t="s">
        <v>75</v>
      </c>
      <c r="J474" s="2" t="s">
        <v>97</v>
      </c>
      <c r="K474" s="2" t="s">
        <v>77</v>
      </c>
      <c r="L474" s="2" t="s">
        <v>651</v>
      </c>
      <c r="M474" s="2" t="s">
        <v>652</v>
      </c>
      <c r="N474" s="2" t="s">
        <v>953</v>
      </c>
      <c r="O474" s="2" t="s">
        <v>101</v>
      </c>
      <c r="P474" s="2" t="str">
        <f>"2170603605                    "</f>
        <v xml:space="preserve">2170603605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7.94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63.49</v>
      </c>
      <c r="BM474" s="2">
        <v>8.89</v>
      </c>
      <c r="BN474" s="2">
        <v>72.38</v>
      </c>
      <c r="BO474" s="2">
        <v>72.38</v>
      </c>
      <c r="BQ474" s="2" t="s">
        <v>82</v>
      </c>
      <c r="BR474" s="2" t="s">
        <v>103</v>
      </c>
      <c r="BS474" s="3">
        <v>43073</v>
      </c>
      <c r="BT474" s="4">
        <v>0.71666666666666667</v>
      </c>
      <c r="BU474" s="2" t="s">
        <v>954</v>
      </c>
      <c r="BV474" s="2" t="s">
        <v>89</v>
      </c>
      <c r="BY474" s="2">
        <v>1200</v>
      </c>
      <c r="BZ474" s="2" t="s">
        <v>27</v>
      </c>
      <c r="CA474" s="2" t="s">
        <v>656</v>
      </c>
      <c r="CC474" s="2" t="s">
        <v>652</v>
      </c>
      <c r="CD474" s="2">
        <v>250</v>
      </c>
      <c r="CE474" s="2" t="s">
        <v>120</v>
      </c>
      <c r="CF474" s="3">
        <v>43075</v>
      </c>
      <c r="CI474" s="2">
        <v>1</v>
      </c>
      <c r="CJ474" s="2">
        <v>1</v>
      </c>
      <c r="CK474" s="2">
        <v>24</v>
      </c>
      <c r="CL474" s="2" t="s">
        <v>89</v>
      </c>
    </row>
    <row r="475" spans="1:90">
      <c r="A475" s="2" t="s">
        <v>71</v>
      </c>
      <c r="B475" s="2" t="s">
        <v>72</v>
      </c>
      <c r="C475" s="2" t="s">
        <v>73</v>
      </c>
      <c r="E475" s="2" t="str">
        <f>"FES1162592585"</f>
        <v>FES1162592585</v>
      </c>
      <c r="F475" s="3">
        <v>43070</v>
      </c>
      <c r="G475" s="2">
        <v>201806</v>
      </c>
      <c r="H475" s="2" t="s">
        <v>74</v>
      </c>
      <c r="I475" s="2" t="s">
        <v>75</v>
      </c>
      <c r="J475" s="2" t="s">
        <v>97</v>
      </c>
      <c r="K475" s="2" t="s">
        <v>77</v>
      </c>
      <c r="L475" s="2" t="s">
        <v>106</v>
      </c>
      <c r="M475" s="2" t="s">
        <v>107</v>
      </c>
      <c r="N475" s="2" t="s">
        <v>108</v>
      </c>
      <c r="O475" s="2" t="s">
        <v>101</v>
      </c>
      <c r="P475" s="2" t="str">
        <f>"2170601498                    "</f>
        <v xml:space="preserve">2170601498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4.41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1</v>
      </c>
      <c r="BJ475" s="2">
        <v>0.2</v>
      </c>
      <c r="BK475" s="2">
        <v>1</v>
      </c>
      <c r="BL475" s="2">
        <v>35.270000000000003</v>
      </c>
      <c r="BM475" s="2">
        <v>4.9400000000000004</v>
      </c>
      <c r="BN475" s="2">
        <v>40.21</v>
      </c>
      <c r="BO475" s="2">
        <v>40.21</v>
      </c>
      <c r="BQ475" s="2" t="s">
        <v>82</v>
      </c>
      <c r="BR475" s="2" t="s">
        <v>103</v>
      </c>
      <c r="BS475" s="3">
        <v>43073</v>
      </c>
      <c r="BT475" s="4">
        <v>0.3923611111111111</v>
      </c>
      <c r="BU475" s="2" t="s">
        <v>643</v>
      </c>
      <c r="BV475" s="2" t="s">
        <v>85</v>
      </c>
      <c r="BY475" s="2">
        <v>1200</v>
      </c>
      <c r="CA475" s="2" t="s">
        <v>644</v>
      </c>
      <c r="CC475" s="2" t="s">
        <v>107</v>
      </c>
      <c r="CD475" s="2">
        <v>2094</v>
      </c>
      <c r="CE475" s="2" t="s">
        <v>120</v>
      </c>
      <c r="CF475" s="3">
        <v>43075</v>
      </c>
      <c r="CI475" s="2">
        <v>1</v>
      </c>
      <c r="CJ475" s="2">
        <v>1</v>
      </c>
      <c r="CK475" s="2">
        <v>22</v>
      </c>
      <c r="CL475" s="2" t="s">
        <v>89</v>
      </c>
    </row>
    <row r="476" spans="1:90">
      <c r="A476" s="2" t="s">
        <v>71</v>
      </c>
      <c r="B476" s="2" t="s">
        <v>72</v>
      </c>
      <c r="C476" s="2" t="s">
        <v>73</v>
      </c>
      <c r="E476" s="2" t="str">
        <f>"FES1162593421"</f>
        <v>FES1162593421</v>
      </c>
      <c r="F476" s="3">
        <v>43073</v>
      </c>
      <c r="G476" s="2">
        <v>201806</v>
      </c>
      <c r="H476" s="2" t="s">
        <v>74</v>
      </c>
      <c r="I476" s="2" t="s">
        <v>75</v>
      </c>
      <c r="J476" s="2" t="s">
        <v>97</v>
      </c>
      <c r="K476" s="2" t="s">
        <v>77</v>
      </c>
      <c r="L476" s="2" t="s">
        <v>158</v>
      </c>
      <c r="M476" s="2" t="s">
        <v>159</v>
      </c>
      <c r="N476" s="2" t="s">
        <v>588</v>
      </c>
      <c r="O476" s="2" t="s">
        <v>101</v>
      </c>
      <c r="P476" s="2" t="str">
        <f>"2170603627                    "</f>
        <v xml:space="preserve">2170603627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5.65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45.15</v>
      </c>
      <c r="BM476" s="2">
        <v>6.32</v>
      </c>
      <c r="BN476" s="2">
        <v>51.47</v>
      </c>
      <c r="BO476" s="2">
        <v>51.47</v>
      </c>
      <c r="BQ476" s="2" t="s">
        <v>102</v>
      </c>
      <c r="BR476" s="2" t="s">
        <v>103</v>
      </c>
      <c r="BS476" s="3">
        <v>43074</v>
      </c>
      <c r="BT476" s="4">
        <v>0.57291666666666663</v>
      </c>
      <c r="BU476" s="2" t="s">
        <v>589</v>
      </c>
      <c r="BV476" s="2" t="s">
        <v>85</v>
      </c>
      <c r="BY476" s="2">
        <v>1200</v>
      </c>
      <c r="BZ476" s="2" t="s">
        <v>27</v>
      </c>
      <c r="CA476" s="2" t="s">
        <v>590</v>
      </c>
      <c r="CC476" s="2" t="s">
        <v>159</v>
      </c>
      <c r="CD476" s="2">
        <v>40</v>
      </c>
      <c r="CE476" s="2" t="s">
        <v>120</v>
      </c>
      <c r="CF476" s="3">
        <v>43075</v>
      </c>
      <c r="CI476" s="2">
        <v>1</v>
      </c>
      <c r="CJ476" s="2">
        <v>1</v>
      </c>
      <c r="CK476" s="2">
        <v>21</v>
      </c>
      <c r="CL476" s="2" t="s">
        <v>89</v>
      </c>
    </row>
    <row r="477" spans="1:90">
      <c r="A477" s="2" t="s">
        <v>71</v>
      </c>
      <c r="B477" s="2" t="s">
        <v>72</v>
      </c>
      <c r="C477" s="2" t="s">
        <v>73</v>
      </c>
      <c r="E477" s="2" t="str">
        <f>"FES1162592866"</f>
        <v>FES1162592866</v>
      </c>
      <c r="F477" s="3">
        <v>43070</v>
      </c>
      <c r="G477" s="2">
        <v>201806</v>
      </c>
      <c r="H477" s="2" t="s">
        <v>74</v>
      </c>
      <c r="I477" s="2" t="s">
        <v>75</v>
      </c>
      <c r="J477" s="2" t="s">
        <v>97</v>
      </c>
      <c r="K477" s="2" t="s">
        <v>77</v>
      </c>
      <c r="L477" s="2" t="s">
        <v>74</v>
      </c>
      <c r="M477" s="2" t="s">
        <v>75</v>
      </c>
      <c r="N477" s="2" t="s">
        <v>396</v>
      </c>
      <c r="O477" s="2" t="s">
        <v>101</v>
      </c>
      <c r="P477" s="2" t="str">
        <f>"2170604986                    "</f>
        <v xml:space="preserve">2170604986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4.41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0.2</v>
      </c>
      <c r="BK477" s="2">
        <v>1</v>
      </c>
      <c r="BL477" s="2">
        <v>35.270000000000003</v>
      </c>
      <c r="BM477" s="2">
        <v>4.9400000000000004</v>
      </c>
      <c r="BN477" s="2">
        <v>40.21</v>
      </c>
      <c r="BO477" s="2">
        <v>40.21</v>
      </c>
      <c r="BQ477" s="2" t="s">
        <v>102</v>
      </c>
      <c r="BR477" s="2" t="s">
        <v>103</v>
      </c>
      <c r="BS477" s="3">
        <v>43073</v>
      </c>
      <c r="BT477" s="4">
        <v>0.35347222222222219</v>
      </c>
      <c r="BU477" s="2" t="s">
        <v>397</v>
      </c>
      <c r="BV477" s="2" t="s">
        <v>85</v>
      </c>
      <c r="BY477" s="2">
        <v>1200</v>
      </c>
      <c r="BZ477" s="2" t="s">
        <v>27</v>
      </c>
      <c r="CA477" s="2" t="s">
        <v>355</v>
      </c>
      <c r="CC477" s="2" t="s">
        <v>75</v>
      </c>
      <c r="CD477" s="2">
        <v>1600</v>
      </c>
      <c r="CE477" s="2" t="s">
        <v>120</v>
      </c>
      <c r="CF477" s="3">
        <v>43074</v>
      </c>
      <c r="CI477" s="2">
        <v>1</v>
      </c>
      <c r="CJ477" s="2">
        <v>1</v>
      </c>
      <c r="CK477" s="2">
        <v>22</v>
      </c>
      <c r="CL477" s="2" t="s">
        <v>89</v>
      </c>
    </row>
    <row r="478" spans="1:90">
      <c r="A478" s="2" t="s">
        <v>71</v>
      </c>
      <c r="B478" s="2" t="s">
        <v>72</v>
      </c>
      <c r="C478" s="2" t="s">
        <v>73</v>
      </c>
      <c r="E478" s="2" t="str">
        <f>"FES1162593454"</f>
        <v>FES1162593454</v>
      </c>
      <c r="F478" s="3">
        <v>43073</v>
      </c>
      <c r="G478" s="2">
        <v>201806</v>
      </c>
      <c r="H478" s="2" t="s">
        <v>74</v>
      </c>
      <c r="I478" s="2" t="s">
        <v>75</v>
      </c>
      <c r="J478" s="2" t="s">
        <v>97</v>
      </c>
      <c r="K478" s="2" t="s">
        <v>77</v>
      </c>
      <c r="L478" s="2" t="s">
        <v>125</v>
      </c>
      <c r="M478" s="2" t="s">
        <v>126</v>
      </c>
      <c r="N478" s="2" t="s">
        <v>955</v>
      </c>
      <c r="O478" s="2" t="s">
        <v>101</v>
      </c>
      <c r="P478" s="2" t="str">
        <f>"2170604435                    "</f>
        <v xml:space="preserve">2170604435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5.65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45.15</v>
      </c>
      <c r="BM478" s="2">
        <v>6.32</v>
      </c>
      <c r="BN478" s="2">
        <v>51.47</v>
      </c>
      <c r="BO478" s="2">
        <v>51.47</v>
      </c>
      <c r="BQ478" s="2" t="s">
        <v>102</v>
      </c>
      <c r="BR478" s="2" t="s">
        <v>103</v>
      </c>
      <c r="BS478" s="3">
        <v>43074</v>
      </c>
      <c r="BT478" s="4">
        <v>0.4375</v>
      </c>
      <c r="BU478" s="2" t="s">
        <v>956</v>
      </c>
      <c r="BV478" s="2" t="s">
        <v>85</v>
      </c>
      <c r="BY478" s="2">
        <v>1200</v>
      </c>
      <c r="BZ478" s="2" t="s">
        <v>27</v>
      </c>
      <c r="CA478" s="2" t="s">
        <v>130</v>
      </c>
      <c r="CC478" s="2" t="s">
        <v>126</v>
      </c>
      <c r="CD478" s="2">
        <v>4001</v>
      </c>
      <c r="CE478" s="2" t="s">
        <v>383</v>
      </c>
      <c r="CF478" s="3">
        <v>43075</v>
      </c>
      <c r="CI478" s="2">
        <v>1</v>
      </c>
      <c r="CJ478" s="2">
        <v>1</v>
      </c>
      <c r="CK478" s="2">
        <v>21</v>
      </c>
      <c r="CL478" s="2" t="s">
        <v>89</v>
      </c>
    </row>
    <row r="479" spans="1:90">
      <c r="A479" s="2" t="s">
        <v>71</v>
      </c>
      <c r="B479" s="2" t="s">
        <v>72</v>
      </c>
      <c r="C479" s="2" t="s">
        <v>73</v>
      </c>
      <c r="E479" s="2" t="str">
        <f>"FES1162593040"</f>
        <v>FES1162593040</v>
      </c>
      <c r="F479" s="3">
        <v>43070</v>
      </c>
      <c r="G479" s="2">
        <v>201806</v>
      </c>
      <c r="H479" s="2" t="s">
        <v>74</v>
      </c>
      <c r="I479" s="2" t="s">
        <v>75</v>
      </c>
      <c r="J479" s="2" t="s">
        <v>97</v>
      </c>
      <c r="K479" s="2" t="s">
        <v>77</v>
      </c>
      <c r="L479" s="2" t="s">
        <v>90</v>
      </c>
      <c r="M479" s="2" t="s">
        <v>91</v>
      </c>
      <c r="N479" s="2" t="s">
        <v>957</v>
      </c>
      <c r="O479" s="2" t="s">
        <v>101</v>
      </c>
      <c r="P479" s="2" t="str">
        <f>"2170605418                    "</f>
        <v xml:space="preserve">2170605418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4.41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</v>
      </c>
      <c r="BJ479" s="2">
        <v>0.2</v>
      </c>
      <c r="BK479" s="2">
        <v>1</v>
      </c>
      <c r="BL479" s="2">
        <v>35.270000000000003</v>
      </c>
      <c r="BM479" s="2">
        <v>4.9400000000000004</v>
      </c>
      <c r="BN479" s="2">
        <v>40.21</v>
      </c>
      <c r="BO479" s="2">
        <v>40.21</v>
      </c>
      <c r="BQ479" s="2" t="s">
        <v>102</v>
      </c>
      <c r="BR479" s="2" t="s">
        <v>103</v>
      </c>
      <c r="BS479" s="3">
        <v>43073</v>
      </c>
      <c r="BT479" s="4">
        <v>0.4375</v>
      </c>
      <c r="BU479" s="2" t="s">
        <v>958</v>
      </c>
      <c r="BV479" s="2" t="s">
        <v>85</v>
      </c>
      <c r="BY479" s="2">
        <v>1200</v>
      </c>
      <c r="CC479" s="2" t="s">
        <v>91</v>
      </c>
      <c r="CD479" s="2">
        <v>1559</v>
      </c>
      <c r="CE479" s="2" t="s">
        <v>120</v>
      </c>
      <c r="CF479" s="3">
        <v>43075</v>
      </c>
      <c r="CI479" s="2">
        <v>1</v>
      </c>
      <c r="CJ479" s="2">
        <v>1</v>
      </c>
      <c r="CK479" s="2">
        <v>22</v>
      </c>
      <c r="CL479" s="2" t="s">
        <v>89</v>
      </c>
    </row>
    <row r="480" spans="1:90">
      <c r="A480" s="2" t="s">
        <v>71</v>
      </c>
      <c r="B480" s="2" t="s">
        <v>72</v>
      </c>
      <c r="C480" s="2" t="s">
        <v>73</v>
      </c>
      <c r="E480" s="2" t="str">
        <f>"FES1162593497"</f>
        <v>FES1162593497</v>
      </c>
      <c r="F480" s="3">
        <v>43073</v>
      </c>
      <c r="G480" s="2">
        <v>201806</v>
      </c>
      <c r="H480" s="2" t="s">
        <v>74</v>
      </c>
      <c r="I480" s="2" t="s">
        <v>75</v>
      </c>
      <c r="J480" s="2" t="s">
        <v>97</v>
      </c>
      <c r="K480" s="2" t="s">
        <v>77</v>
      </c>
      <c r="L480" s="2" t="s">
        <v>189</v>
      </c>
      <c r="M480" s="2" t="s">
        <v>190</v>
      </c>
      <c r="N480" s="2" t="s">
        <v>959</v>
      </c>
      <c r="O480" s="2" t="s">
        <v>101</v>
      </c>
      <c r="P480" s="2" t="str">
        <f>"2170605356                    "</f>
        <v xml:space="preserve">2170605356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5.65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</v>
      </c>
      <c r="BJ480" s="2">
        <v>0.2</v>
      </c>
      <c r="BK480" s="2">
        <v>1</v>
      </c>
      <c r="BL480" s="2">
        <v>45.15</v>
      </c>
      <c r="BM480" s="2">
        <v>6.32</v>
      </c>
      <c r="BN480" s="2">
        <v>51.47</v>
      </c>
      <c r="BO480" s="2">
        <v>51.47</v>
      </c>
      <c r="BQ480" s="2" t="s">
        <v>229</v>
      </c>
      <c r="BR480" s="2" t="s">
        <v>103</v>
      </c>
      <c r="BS480" s="3">
        <v>43074</v>
      </c>
      <c r="BT480" s="4">
        <v>0.55902777777777779</v>
      </c>
      <c r="BU480" s="2" t="s">
        <v>960</v>
      </c>
      <c r="BV480" s="2" t="s">
        <v>85</v>
      </c>
      <c r="BY480" s="2">
        <v>1200</v>
      </c>
      <c r="BZ480" s="2" t="s">
        <v>27</v>
      </c>
      <c r="CC480" s="2" t="s">
        <v>190</v>
      </c>
      <c r="CD480" s="2">
        <v>157</v>
      </c>
      <c r="CE480" s="2" t="s">
        <v>120</v>
      </c>
      <c r="CF480" s="3">
        <v>43076</v>
      </c>
      <c r="CI480" s="2">
        <v>1</v>
      </c>
      <c r="CJ480" s="2">
        <v>1</v>
      </c>
      <c r="CK480" s="2">
        <v>21</v>
      </c>
      <c r="CL480" s="2" t="s">
        <v>89</v>
      </c>
    </row>
    <row r="481" spans="1:90">
      <c r="A481" s="2" t="s">
        <v>71</v>
      </c>
      <c r="B481" s="2" t="s">
        <v>72</v>
      </c>
      <c r="C481" s="2" t="s">
        <v>73</v>
      </c>
      <c r="E481" s="2" t="str">
        <f>"FES1162591742"</f>
        <v>FES1162591742</v>
      </c>
      <c r="F481" s="3">
        <v>43070</v>
      </c>
      <c r="G481" s="2">
        <v>201806</v>
      </c>
      <c r="H481" s="2" t="s">
        <v>74</v>
      </c>
      <c r="I481" s="2" t="s">
        <v>75</v>
      </c>
      <c r="J481" s="2" t="s">
        <v>97</v>
      </c>
      <c r="K481" s="2" t="s">
        <v>77</v>
      </c>
      <c r="L481" s="2" t="s">
        <v>449</v>
      </c>
      <c r="M481" s="2" t="s">
        <v>450</v>
      </c>
      <c r="N481" s="2" t="s">
        <v>961</v>
      </c>
      <c r="O481" s="2" t="s">
        <v>101</v>
      </c>
      <c r="P481" s="2" t="str">
        <f>"2170604441                    "</f>
        <v xml:space="preserve">2170604441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4.41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0.2</v>
      </c>
      <c r="BK481" s="2">
        <v>1</v>
      </c>
      <c r="BL481" s="2">
        <v>35.270000000000003</v>
      </c>
      <c r="BM481" s="2">
        <v>4.9400000000000004</v>
      </c>
      <c r="BN481" s="2">
        <v>40.21</v>
      </c>
      <c r="BO481" s="2">
        <v>40.21</v>
      </c>
      <c r="BQ481" s="2" t="s">
        <v>102</v>
      </c>
      <c r="BR481" s="2" t="s">
        <v>103</v>
      </c>
      <c r="BS481" s="3">
        <v>43073</v>
      </c>
      <c r="BT481" s="4">
        <v>0.38541666666666669</v>
      </c>
      <c r="BU481" s="2" t="s">
        <v>358</v>
      </c>
      <c r="BV481" s="2" t="s">
        <v>85</v>
      </c>
      <c r="BY481" s="2">
        <v>1200</v>
      </c>
      <c r="CA481" s="2" t="s">
        <v>453</v>
      </c>
      <c r="CC481" s="2" t="s">
        <v>450</v>
      </c>
      <c r="CD481" s="2">
        <v>1709</v>
      </c>
      <c r="CE481" s="2" t="s">
        <v>120</v>
      </c>
      <c r="CF481" s="3">
        <v>43075</v>
      </c>
      <c r="CI481" s="2">
        <v>1</v>
      </c>
      <c r="CJ481" s="2">
        <v>1</v>
      </c>
      <c r="CK481" s="2">
        <v>22</v>
      </c>
      <c r="CL481" s="2" t="s">
        <v>89</v>
      </c>
    </row>
    <row r="482" spans="1:90">
      <c r="A482" s="2" t="s">
        <v>71</v>
      </c>
      <c r="B482" s="2" t="s">
        <v>72</v>
      </c>
      <c r="C482" s="2" t="s">
        <v>73</v>
      </c>
      <c r="E482" s="2" t="str">
        <f>"FES1162593430"</f>
        <v>FES1162593430</v>
      </c>
      <c r="F482" s="3">
        <v>43073</v>
      </c>
      <c r="G482" s="2">
        <v>201806</v>
      </c>
      <c r="H482" s="2" t="s">
        <v>74</v>
      </c>
      <c r="I482" s="2" t="s">
        <v>75</v>
      </c>
      <c r="J482" s="2" t="s">
        <v>97</v>
      </c>
      <c r="K482" s="2" t="s">
        <v>77</v>
      </c>
      <c r="L482" s="2" t="s">
        <v>125</v>
      </c>
      <c r="M482" s="2" t="s">
        <v>126</v>
      </c>
      <c r="N482" s="2" t="s">
        <v>962</v>
      </c>
      <c r="O482" s="2" t="s">
        <v>101</v>
      </c>
      <c r="P482" s="2" t="str">
        <f>"2170603991                    "</f>
        <v xml:space="preserve">2170603991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5.65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45.15</v>
      </c>
      <c r="BM482" s="2">
        <v>6.32</v>
      </c>
      <c r="BN482" s="2">
        <v>51.47</v>
      </c>
      <c r="BO482" s="2">
        <v>51.47</v>
      </c>
      <c r="BQ482" s="2" t="s">
        <v>82</v>
      </c>
      <c r="BR482" s="2" t="s">
        <v>103</v>
      </c>
      <c r="BS482" s="3">
        <v>43074</v>
      </c>
      <c r="BT482" s="4">
        <v>0.375</v>
      </c>
      <c r="BU482" s="2" t="s">
        <v>927</v>
      </c>
      <c r="BV482" s="2" t="s">
        <v>85</v>
      </c>
      <c r="BY482" s="2">
        <v>1200</v>
      </c>
      <c r="BZ482" s="2" t="s">
        <v>27</v>
      </c>
      <c r="CA482" s="2" t="s">
        <v>666</v>
      </c>
      <c r="CC482" s="2" t="s">
        <v>126</v>
      </c>
      <c r="CD482" s="2">
        <v>4001</v>
      </c>
      <c r="CE482" s="2" t="s">
        <v>120</v>
      </c>
      <c r="CF482" s="3">
        <v>43075</v>
      </c>
      <c r="CI482" s="2">
        <v>1</v>
      </c>
      <c r="CJ482" s="2">
        <v>1</v>
      </c>
      <c r="CK482" s="2">
        <v>21</v>
      </c>
      <c r="CL482" s="2" t="s">
        <v>89</v>
      </c>
    </row>
    <row r="483" spans="1:90">
      <c r="A483" s="2" t="s">
        <v>71</v>
      </c>
      <c r="B483" s="2" t="s">
        <v>72</v>
      </c>
      <c r="C483" s="2" t="s">
        <v>73</v>
      </c>
      <c r="E483" s="2" t="str">
        <f>"FES1162591746"</f>
        <v>FES1162591746</v>
      </c>
      <c r="F483" s="3">
        <v>43070</v>
      </c>
      <c r="G483" s="2">
        <v>201806</v>
      </c>
      <c r="H483" s="2" t="s">
        <v>74</v>
      </c>
      <c r="I483" s="2" t="s">
        <v>75</v>
      </c>
      <c r="J483" s="2" t="s">
        <v>97</v>
      </c>
      <c r="K483" s="2" t="s">
        <v>77</v>
      </c>
      <c r="L483" s="2" t="s">
        <v>158</v>
      </c>
      <c r="M483" s="2" t="s">
        <v>159</v>
      </c>
      <c r="N483" s="2" t="s">
        <v>963</v>
      </c>
      <c r="O483" s="2" t="s">
        <v>101</v>
      </c>
      <c r="P483" s="2" t="str">
        <f>"2170604433                    "</f>
        <v xml:space="preserve">2170604433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5.65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0.2</v>
      </c>
      <c r="BK483" s="2">
        <v>1</v>
      </c>
      <c r="BL483" s="2">
        <v>45.15</v>
      </c>
      <c r="BM483" s="2">
        <v>6.32</v>
      </c>
      <c r="BN483" s="2">
        <v>51.47</v>
      </c>
      <c r="BO483" s="2">
        <v>51.47</v>
      </c>
      <c r="BQ483" s="2" t="s">
        <v>82</v>
      </c>
      <c r="BR483" s="2" t="s">
        <v>103</v>
      </c>
      <c r="BS483" s="3">
        <v>43073</v>
      </c>
      <c r="BT483" s="4">
        <v>0.59375</v>
      </c>
      <c r="BU483" s="2" t="s">
        <v>200</v>
      </c>
      <c r="BV483" s="2" t="s">
        <v>89</v>
      </c>
      <c r="BY483" s="2">
        <v>1200</v>
      </c>
      <c r="BZ483" s="2" t="s">
        <v>27</v>
      </c>
      <c r="CC483" s="2" t="s">
        <v>159</v>
      </c>
      <c r="CD483" s="2">
        <v>1</v>
      </c>
      <c r="CE483" s="2" t="s">
        <v>120</v>
      </c>
      <c r="CF483" s="3">
        <v>43075</v>
      </c>
      <c r="CI483" s="2">
        <v>1</v>
      </c>
      <c r="CJ483" s="2">
        <v>1</v>
      </c>
      <c r="CK483" s="2">
        <v>21</v>
      </c>
      <c r="CL483" s="2" t="s">
        <v>89</v>
      </c>
    </row>
    <row r="484" spans="1:90">
      <c r="A484" s="2" t="s">
        <v>71</v>
      </c>
      <c r="B484" s="2" t="s">
        <v>72</v>
      </c>
      <c r="C484" s="2" t="s">
        <v>73</v>
      </c>
      <c r="E484" s="2" t="str">
        <f>"FES1162593438"</f>
        <v>FES1162593438</v>
      </c>
      <c r="F484" s="3">
        <v>43073</v>
      </c>
      <c r="G484" s="2">
        <v>201806</v>
      </c>
      <c r="H484" s="2" t="s">
        <v>74</v>
      </c>
      <c r="I484" s="2" t="s">
        <v>75</v>
      </c>
      <c r="J484" s="2" t="s">
        <v>97</v>
      </c>
      <c r="K484" s="2" t="s">
        <v>77</v>
      </c>
      <c r="L484" s="2" t="s">
        <v>551</v>
      </c>
      <c r="M484" s="2" t="s">
        <v>552</v>
      </c>
      <c r="N484" s="2" t="s">
        <v>951</v>
      </c>
      <c r="O484" s="2" t="s">
        <v>101</v>
      </c>
      <c r="P484" s="2" t="str">
        <f>"2170604089                    "</f>
        <v xml:space="preserve">2170604089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5.65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45.15</v>
      </c>
      <c r="BM484" s="2">
        <v>6.32</v>
      </c>
      <c r="BN484" s="2">
        <v>51.47</v>
      </c>
      <c r="BO484" s="2">
        <v>51.47</v>
      </c>
      <c r="BR484" s="2" t="s">
        <v>103</v>
      </c>
      <c r="BS484" s="3">
        <v>43074</v>
      </c>
      <c r="BT484" s="4">
        <v>0.54097222222222219</v>
      </c>
      <c r="BU484" s="2" t="s">
        <v>952</v>
      </c>
      <c r="BV484" s="2" t="s">
        <v>85</v>
      </c>
      <c r="BY484" s="2">
        <v>1200</v>
      </c>
      <c r="BZ484" s="2" t="s">
        <v>27</v>
      </c>
      <c r="CA484" s="2" t="s">
        <v>555</v>
      </c>
      <c r="CC484" s="2" t="s">
        <v>552</v>
      </c>
      <c r="CD484" s="2">
        <v>3310</v>
      </c>
      <c r="CE484" s="2" t="s">
        <v>120</v>
      </c>
      <c r="CF484" s="3">
        <v>43076</v>
      </c>
      <c r="CI484" s="2">
        <v>1</v>
      </c>
      <c r="CJ484" s="2">
        <v>1</v>
      </c>
      <c r="CK484" s="2">
        <v>21</v>
      </c>
      <c r="CL484" s="2" t="s">
        <v>89</v>
      </c>
    </row>
    <row r="485" spans="1:90">
      <c r="A485" s="2" t="s">
        <v>71</v>
      </c>
      <c r="B485" s="2" t="s">
        <v>72</v>
      </c>
      <c r="C485" s="2" t="s">
        <v>73</v>
      </c>
      <c r="E485" s="2" t="str">
        <f>"FES1162593039"</f>
        <v>FES1162593039</v>
      </c>
      <c r="F485" s="3">
        <v>43070</v>
      </c>
      <c r="G485" s="2">
        <v>201806</v>
      </c>
      <c r="H485" s="2" t="s">
        <v>74</v>
      </c>
      <c r="I485" s="2" t="s">
        <v>75</v>
      </c>
      <c r="J485" s="2" t="s">
        <v>97</v>
      </c>
      <c r="K485" s="2" t="s">
        <v>77</v>
      </c>
      <c r="L485" s="2" t="s">
        <v>74</v>
      </c>
      <c r="M485" s="2" t="s">
        <v>75</v>
      </c>
      <c r="N485" s="2" t="s">
        <v>964</v>
      </c>
      <c r="O485" s="2" t="s">
        <v>101</v>
      </c>
      <c r="P485" s="2" t="str">
        <f>"2170605415                    "</f>
        <v xml:space="preserve">2170605415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4.41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0.2</v>
      </c>
      <c r="BK485" s="2">
        <v>1</v>
      </c>
      <c r="BL485" s="2">
        <v>35.270000000000003</v>
      </c>
      <c r="BM485" s="2">
        <v>4.9400000000000004</v>
      </c>
      <c r="BN485" s="2">
        <v>40.21</v>
      </c>
      <c r="BO485" s="2">
        <v>40.21</v>
      </c>
      <c r="BQ485" s="2" t="s">
        <v>102</v>
      </c>
      <c r="BR485" s="2" t="s">
        <v>103</v>
      </c>
      <c r="BS485" s="3">
        <v>43073</v>
      </c>
      <c r="BT485" s="4">
        <v>0.4375</v>
      </c>
      <c r="BU485" s="2" t="s">
        <v>519</v>
      </c>
      <c r="BV485" s="2" t="s">
        <v>85</v>
      </c>
      <c r="BY485" s="2">
        <v>1200</v>
      </c>
      <c r="CC485" s="2" t="s">
        <v>75</v>
      </c>
      <c r="CD485" s="2">
        <v>1665</v>
      </c>
      <c r="CE485" s="2" t="s">
        <v>120</v>
      </c>
      <c r="CF485" s="3">
        <v>43075</v>
      </c>
      <c r="CI485" s="2">
        <v>1</v>
      </c>
      <c r="CJ485" s="2">
        <v>1</v>
      </c>
      <c r="CK485" s="2">
        <v>22</v>
      </c>
      <c r="CL485" s="2" t="s">
        <v>89</v>
      </c>
    </row>
    <row r="486" spans="1:90">
      <c r="A486" s="2" t="s">
        <v>71</v>
      </c>
      <c r="B486" s="2" t="s">
        <v>72</v>
      </c>
      <c r="C486" s="2" t="s">
        <v>73</v>
      </c>
      <c r="E486" s="2" t="str">
        <f>"FES1162593414"</f>
        <v>FES1162593414</v>
      </c>
      <c r="F486" s="3">
        <v>43073</v>
      </c>
      <c r="G486" s="2">
        <v>201806</v>
      </c>
      <c r="H486" s="2" t="s">
        <v>74</v>
      </c>
      <c r="I486" s="2" t="s">
        <v>75</v>
      </c>
      <c r="J486" s="2" t="s">
        <v>97</v>
      </c>
      <c r="K486" s="2" t="s">
        <v>77</v>
      </c>
      <c r="L486" s="2" t="s">
        <v>158</v>
      </c>
      <c r="M486" s="2" t="s">
        <v>159</v>
      </c>
      <c r="N486" s="2" t="s">
        <v>738</v>
      </c>
      <c r="O486" s="2" t="s">
        <v>101</v>
      </c>
      <c r="P486" s="2" t="str">
        <f>"2170603317                    "</f>
        <v xml:space="preserve">2170603317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5.65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</v>
      </c>
      <c r="BJ486" s="2">
        <v>0.2</v>
      </c>
      <c r="BK486" s="2">
        <v>1</v>
      </c>
      <c r="BL486" s="2">
        <v>45.15</v>
      </c>
      <c r="BM486" s="2">
        <v>6.32</v>
      </c>
      <c r="BN486" s="2">
        <v>51.47</v>
      </c>
      <c r="BO486" s="2">
        <v>51.47</v>
      </c>
      <c r="BQ486" s="2" t="s">
        <v>739</v>
      </c>
      <c r="BR486" s="2" t="s">
        <v>103</v>
      </c>
      <c r="BS486" s="3">
        <v>43074</v>
      </c>
      <c r="BT486" s="4">
        <v>0.625</v>
      </c>
      <c r="BU486" s="2" t="s">
        <v>740</v>
      </c>
      <c r="BV486" s="2" t="s">
        <v>89</v>
      </c>
      <c r="BY486" s="2">
        <v>1200</v>
      </c>
      <c r="BZ486" s="2" t="s">
        <v>27</v>
      </c>
      <c r="CC486" s="2" t="s">
        <v>159</v>
      </c>
      <c r="CD486" s="2">
        <v>117</v>
      </c>
      <c r="CE486" s="2" t="s">
        <v>120</v>
      </c>
      <c r="CF486" s="3">
        <v>43076</v>
      </c>
      <c r="CI486" s="2">
        <v>1</v>
      </c>
      <c r="CJ486" s="2">
        <v>1</v>
      </c>
      <c r="CK486" s="2">
        <v>21</v>
      </c>
      <c r="CL486" s="2" t="s">
        <v>89</v>
      </c>
    </row>
    <row r="487" spans="1:90">
      <c r="A487" s="2" t="s">
        <v>71</v>
      </c>
      <c r="B487" s="2" t="s">
        <v>72</v>
      </c>
      <c r="C487" s="2" t="s">
        <v>73</v>
      </c>
      <c r="E487" s="2" t="str">
        <f>"FES1162593059"</f>
        <v>FES1162593059</v>
      </c>
      <c r="F487" s="3">
        <v>43070</v>
      </c>
      <c r="G487" s="2">
        <v>201806</v>
      </c>
      <c r="H487" s="2" t="s">
        <v>74</v>
      </c>
      <c r="I487" s="2" t="s">
        <v>75</v>
      </c>
      <c r="J487" s="2" t="s">
        <v>97</v>
      </c>
      <c r="K487" s="2" t="s">
        <v>77</v>
      </c>
      <c r="L487" s="2" t="s">
        <v>136</v>
      </c>
      <c r="M487" s="2" t="s">
        <v>137</v>
      </c>
      <c r="N487" s="2" t="s">
        <v>918</v>
      </c>
      <c r="O487" s="2" t="s">
        <v>101</v>
      </c>
      <c r="P487" s="2" t="str">
        <f>"2170603737                    "</f>
        <v xml:space="preserve">2170603737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5.65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</v>
      </c>
      <c r="BJ487" s="2">
        <v>0.2</v>
      </c>
      <c r="BK487" s="2">
        <v>1</v>
      </c>
      <c r="BL487" s="2">
        <v>45.15</v>
      </c>
      <c r="BM487" s="2">
        <v>6.32</v>
      </c>
      <c r="BN487" s="2">
        <v>51.47</v>
      </c>
      <c r="BO487" s="2">
        <v>51.47</v>
      </c>
      <c r="BQ487" s="2" t="s">
        <v>128</v>
      </c>
      <c r="BR487" s="2" t="s">
        <v>103</v>
      </c>
      <c r="BS487" s="3">
        <v>43073</v>
      </c>
      <c r="BT487" s="4">
        <v>0.30833333333333335</v>
      </c>
      <c r="BU487" s="2" t="s">
        <v>965</v>
      </c>
      <c r="BV487" s="2" t="s">
        <v>85</v>
      </c>
      <c r="BY487" s="2">
        <v>1200</v>
      </c>
      <c r="BZ487" s="2" t="s">
        <v>27</v>
      </c>
      <c r="CA487" s="2" t="s">
        <v>140</v>
      </c>
      <c r="CC487" s="2" t="s">
        <v>137</v>
      </c>
      <c r="CD487" s="2">
        <v>6012</v>
      </c>
      <c r="CE487" s="2" t="s">
        <v>120</v>
      </c>
      <c r="CF487" s="3">
        <v>43074</v>
      </c>
      <c r="CI487" s="2">
        <v>1</v>
      </c>
      <c r="CJ487" s="2">
        <v>1</v>
      </c>
      <c r="CK487" s="2">
        <v>21</v>
      </c>
      <c r="CL487" s="2" t="s">
        <v>89</v>
      </c>
    </row>
    <row r="488" spans="1:90">
      <c r="A488" s="2" t="s">
        <v>71</v>
      </c>
      <c r="B488" s="2" t="s">
        <v>72</v>
      </c>
      <c r="C488" s="2" t="s">
        <v>73</v>
      </c>
      <c r="E488" s="2" t="str">
        <f>"FES1162593342"</f>
        <v>FES1162593342</v>
      </c>
      <c r="F488" s="3">
        <v>43073</v>
      </c>
      <c r="G488" s="2">
        <v>201806</v>
      </c>
      <c r="H488" s="2" t="s">
        <v>74</v>
      </c>
      <c r="I488" s="2" t="s">
        <v>75</v>
      </c>
      <c r="J488" s="2" t="s">
        <v>97</v>
      </c>
      <c r="K488" s="2" t="s">
        <v>77</v>
      </c>
      <c r="L488" s="2" t="s">
        <v>158</v>
      </c>
      <c r="M488" s="2" t="s">
        <v>159</v>
      </c>
      <c r="N488" s="2" t="s">
        <v>966</v>
      </c>
      <c r="O488" s="2" t="s">
        <v>101</v>
      </c>
      <c r="P488" s="2" t="str">
        <f>"217060599820                  "</f>
        <v xml:space="preserve">217060599820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5.65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45.15</v>
      </c>
      <c r="BM488" s="2">
        <v>6.32</v>
      </c>
      <c r="BN488" s="2">
        <v>51.47</v>
      </c>
      <c r="BO488" s="2">
        <v>51.47</v>
      </c>
      <c r="BQ488" s="2" t="s">
        <v>102</v>
      </c>
      <c r="BR488" s="2" t="s">
        <v>103</v>
      </c>
      <c r="BS488" s="3">
        <v>43075</v>
      </c>
      <c r="BT488" s="4">
        <v>0.4548611111111111</v>
      </c>
      <c r="BU488" s="2" t="s">
        <v>967</v>
      </c>
      <c r="BV488" s="2" t="s">
        <v>89</v>
      </c>
      <c r="BW488" s="2" t="s">
        <v>156</v>
      </c>
      <c r="BX488" s="2" t="s">
        <v>968</v>
      </c>
      <c r="BY488" s="2">
        <v>1200</v>
      </c>
      <c r="BZ488" s="2" t="s">
        <v>27</v>
      </c>
      <c r="CC488" s="2" t="s">
        <v>159</v>
      </c>
      <c r="CD488" s="2">
        <v>200</v>
      </c>
      <c r="CE488" s="2" t="s">
        <v>120</v>
      </c>
      <c r="CF488" s="3">
        <v>43077</v>
      </c>
      <c r="CI488" s="2">
        <v>1</v>
      </c>
      <c r="CJ488" s="2">
        <v>2</v>
      </c>
      <c r="CK488" s="2">
        <v>21</v>
      </c>
      <c r="CL488" s="2" t="s">
        <v>89</v>
      </c>
    </row>
    <row r="489" spans="1:90">
      <c r="A489" s="2" t="s">
        <v>71</v>
      </c>
      <c r="B489" s="2" t="s">
        <v>72</v>
      </c>
      <c r="C489" s="2" t="s">
        <v>73</v>
      </c>
      <c r="E489" s="2" t="str">
        <f>"FES1162593077"</f>
        <v>FES1162593077</v>
      </c>
      <c r="F489" s="3">
        <v>43070</v>
      </c>
      <c r="G489" s="2">
        <v>201806</v>
      </c>
      <c r="H489" s="2" t="s">
        <v>74</v>
      </c>
      <c r="I489" s="2" t="s">
        <v>75</v>
      </c>
      <c r="J489" s="2" t="s">
        <v>97</v>
      </c>
      <c r="K489" s="2" t="s">
        <v>77</v>
      </c>
      <c r="L489" s="2" t="s">
        <v>136</v>
      </c>
      <c r="M489" s="2" t="s">
        <v>137</v>
      </c>
      <c r="N489" s="2" t="s">
        <v>138</v>
      </c>
      <c r="O489" s="2" t="s">
        <v>101</v>
      </c>
      <c r="P489" s="2" t="str">
        <f>"2170605430                    "</f>
        <v xml:space="preserve">2170605430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5.65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1</v>
      </c>
      <c r="BJ489" s="2">
        <v>0.2</v>
      </c>
      <c r="BK489" s="2">
        <v>1</v>
      </c>
      <c r="BL489" s="2">
        <v>45.15</v>
      </c>
      <c r="BM489" s="2">
        <v>6.32</v>
      </c>
      <c r="BN489" s="2">
        <v>51.47</v>
      </c>
      <c r="BO489" s="2">
        <v>51.47</v>
      </c>
      <c r="BQ489" s="2" t="s">
        <v>82</v>
      </c>
      <c r="BR489" s="2" t="s">
        <v>103</v>
      </c>
      <c r="BS489" s="3">
        <v>43073</v>
      </c>
      <c r="BT489" s="4">
        <v>0.35416666666666669</v>
      </c>
      <c r="BU489" s="2" t="s">
        <v>139</v>
      </c>
      <c r="BV489" s="2" t="s">
        <v>85</v>
      </c>
      <c r="BY489" s="2">
        <v>1200</v>
      </c>
      <c r="BZ489" s="2" t="s">
        <v>27</v>
      </c>
      <c r="CA489" s="2" t="s">
        <v>140</v>
      </c>
      <c r="CC489" s="2" t="s">
        <v>137</v>
      </c>
      <c r="CD489" s="2">
        <v>6001</v>
      </c>
      <c r="CE489" s="2" t="s">
        <v>120</v>
      </c>
      <c r="CF489" s="3">
        <v>43074</v>
      </c>
      <c r="CI489" s="2">
        <v>1</v>
      </c>
      <c r="CJ489" s="2">
        <v>1</v>
      </c>
      <c r="CK489" s="2">
        <v>21</v>
      </c>
      <c r="CL489" s="2" t="s">
        <v>89</v>
      </c>
    </row>
    <row r="490" spans="1:90">
      <c r="A490" s="2" t="s">
        <v>71</v>
      </c>
      <c r="B490" s="2" t="s">
        <v>72</v>
      </c>
      <c r="C490" s="2" t="s">
        <v>73</v>
      </c>
      <c r="E490" s="2" t="str">
        <f>"FES1162593363"</f>
        <v>FES1162593363</v>
      </c>
      <c r="F490" s="3">
        <v>43073</v>
      </c>
      <c r="G490" s="2">
        <v>201806</v>
      </c>
      <c r="H490" s="2" t="s">
        <v>74</v>
      </c>
      <c r="I490" s="2" t="s">
        <v>75</v>
      </c>
      <c r="J490" s="2" t="s">
        <v>97</v>
      </c>
      <c r="K490" s="2" t="s">
        <v>77</v>
      </c>
      <c r="L490" s="2" t="s">
        <v>295</v>
      </c>
      <c r="M490" s="2" t="s">
        <v>296</v>
      </c>
      <c r="N490" s="2" t="s">
        <v>969</v>
      </c>
      <c r="O490" s="2" t="s">
        <v>101</v>
      </c>
      <c r="P490" s="2" t="str">
        <f>"21706502609                   "</f>
        <v xml:space="preserve">21706502609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7.94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1</v>
      </c>
      <c r="BJ490" s="2">
        <v>0.2</v>
      </c>
      <c r="BK490" s="2">
        <v>1</v>
      </c>
      <c r="BL490" s="2">
        <v>63.49</v>
      </c>
      <c r="BM490" s="2">
        <v>8.89</v>
      </c>
      <c r="BN490" s="2">
        <v>72.38</v>
      </c>
      <c r="BO490" s="2">
        <v>72.38</v>
      </c>
      <c r="BQ490" s="2" t="s">
        <v>970</v>
      </c>
      <c r="BR490" s="2" t="s">
        <v>103</v>
      </c>
      <c r="BS490" s="3">
        <v>43074</v>
      </c>
      <c r="BT490" s="4">
        <v>0.4375</v>
      </c>
      <c r="BU490" s="2" t="s">
        <v>971</v>
      </c>
      <c r="BV490" s="2" t="s">
        <v>85</v>
      </c>
      <c r="BY490" s="2">
        <v>1200</v>
      </c>
      <c r="BZ490" s="2" t="s">
        <v>27</v>
      </c>
      <c r="CC490" s="2" t="s">
        <v>296</v>
      </c>
      <c r="CD490" s="2">
        <v>407</v>
      </c>
      <c r="CE490" s="2" t="s">
        <v>120</v>
      </c>
      <c r="CF490" s="3">
        <v>43076</v>
      </c>
      <c r="CI490" s="2">
        <v>1</v>
      </c>
      <c r="CJ490" s="2">
        <v>1</v>
      </c>
      <c r="CK490" s="2">
        <v>24</v>
      </c>
      <c r="CL490" s="2" t="s">
        <v>89</v>
      </c>
    </row>
    <row r="491" spans="1:90">
      <c r="A491" s="2" t="s">
        <v>71</v>
      </c>
      <c r="B491" s="2" t="s">
        <v>72</v>
      </c>
      <c r="C491" s="2" t="s">
        <v>73</v>
      </c>
      <c r="E491" s="2" t="str">
        <f>"FES1162593046"</f>
        <v>FES1162593046</v>
      </c>
      <c r="F491" s="3">
        <v>43070</v>
      </c>
      <c r="G491" s="2">
        <v>201806</v>
      </c>
      <c r="H491" s="2" t="s">
        <v>74</v>
      </c>
      <c r="I491" s="2" t="s">
        <v>75</v>
      </c>
      <c r="J491" s="2" t="s">
        <v>97</v>
      </c>
      <c r="K491" s="2" t="s">
        <v>77</v>
      </c>
      <c r="L491" s="2" t="s">
        <v>125</v>
      </c>
      <c r="M491" s="2" t="s">
        <v>126</v>
      </c>
      <c r="N491" s="2" t="s">
        <v>972</v>
      </c>
      <c r="O491" s="2" t="s">
        <v>101</v>
      </c>
      <c r="P491" s="2" t="str">
        <f>"2170605433                    "</f>
        <v xml:space="preserve">2170605433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5.65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</v>
      </c>
      <c r="BJ491" s="2">
        <v>0.2</v>
      </c>
      <c r="BK491" s="2">
        <v>1</v>
      </c>
      <c r="BL491" s="2">
        <v>45.15</v>
      </c>
      <c r="BM491" s="2">
        <v>6.32</v>
      </c>
      <c r="BN491" s="2">
        <v>51.47</v>
      </c>
      <c r="BO491" s="2">
        <v>51.47</v>
      </c>
      <c r="BQ491" s="2" t="s">
        <v>102</v>
      </c>
      <c r="BR491" s="2" t="s">
        <v>103</v>
      </c>
      <c r="BS491" s="3">
        <v>43073</v>
      </c>
      <c r="BT491" s="4">
        <v>0.43402777777777773</v>
      </c>
      <c r="BU491" s="2" t="s">
        <v>973</v>
      </c>
      <c r="BV491" s="2" t="s">
        <v>85</v>
      </c>
      <c r="BY491" s="2">
        <v>1200</v>
      </c>
      <c r="BZ491" s="2" t="s">
        <v>27</v>
      </c>
      <c r="CA491" s="2" t="s">
        <v>231</v>
      </c>
      <c r="CC491" s="2" t="s">
        <v>126</v>
      </c>
      <c r="CD491" s="2">
        <v>4051</v>
      </c>
      <c r="CE491" s="2" t="s">
        <v>120</v>
      </c>
      <c r="CF491" s="3">
        <v>43074</v>
      </c>
      <c r="CI491" s="2">
        <v>1</v>
      </c>
      <c r="CJ491" s="2">
        <v>1</v>
      </c>
      <c r="CK491" s="2">
        <v>21</v>
      </c>
      <c r="CL491" s="2" t="s">
        <v>89</v>
      </c>
    </row>
    <row r="492" spans="1:90">
      <c r="A492" s="2" t="s">
        <v>71</v>
      </c>
      <c r="B492" s="2" t="s">
        <v>72</v>
      </c>
      <c r="C492" s="2" t="s">
        <v>73</v>
      </c>
      <c r="E492" s="2" t="str">
        <f>"FES1162593375"</f>
        <v>FES1162593375</v>
      </c>
      <c r="F492" s="3">
        <v>43073</v>
      </c>
      <c r="G492" s="2">
        <v>201806</v>
      </c>
      <c r="H492" s="2" t="s">
        <v>74</v>
      </c>
      <c r="I492" s="2" t="s">
        <v>75</v>
      </c>
      <c r="J492" s="2" t="s">
        <v>97</v>
      </c>
      <c r="K492" s="2" t="s">
        <v>77</v>
      </c>
      <c r="L492" s="2" t="s">
        <v>158</v>
      </c>
      <c r="M492" s="2" t="s">
        <v>159</v>
      </c>
      <c r="N492" s="2" t="s">
        <v>588</v>
      </c>
      <c r="O492" s="2" t="s">
        <v>101</v>
      </c>
      <c r="P492" s="2" t="str">
        <f>"2170602834                    "</f>
        <v xml:space="preserve">2170602834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5.65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</v>
      </c>
      <c r="BJ492" s="2">
        <v>0.2</v>
      </c>
      <c r="BK492" s="2">
        <v>1</v>
      </c>
      <c r="BL492" s="2">
        <v>45.15</v>
      </c>
      <c r="BM492" s="2">
        <v>6.32</v>
      </c>
      <c r="BN492" s="2">
        <v>51.47</v>
      </c>
      <c r="BO492" s="2">
        <v>51.47</v>
      </c>
      <c r="BQ492" s="2" t="s">
        <v>102</v>
      </c>
      <c r="BR492" s="2" t="s">
        <v>103</v>
      </c>
      <c r="BS492" s="3">
        <v>43074</v>
      </c>
      <c r="BT492" s="4">
        <v>0.57291666666666663</v>
      </c>
      <c r="BU492" s="2" t="s">
        <v>589</v>
      </c>
      <c r="BV492" s="2" t="s">
        <v>85</v>
      </c>
      <c r="BY492" s="2">
        <v>1200</v>
      </c>
      <c r="BZ492" s="2" t="s">
        <v>27</v>
      </c>
      <c r="CA492" s="2" t="s">
        <v>590</v>
      </c>
      <c r="CC492" s="2" t="s">
        <v>159</v>
      </c>
      <c r="CD492" s="2">
        <v>40</v>
      </c>
      <c r="CE492" s="2" t="s">
        <v>120</v>
      </c>
      <c r="CF492" s="3">
        <v>43075</v>
      </c>
      <c r="CI492" s="2">
        <v>1</v>
      </c>
      <c r="CJ492" s="2">
        <v>1</v>
      </c>
      <c r="CK492" s="2">
        <v>21</v>
      </c>
      <c r="CL492" s="2" t="s">
        <v>89</v>
      </c>
    </row>
    <row r="493" spans="1:90">
      <c r="A493" s="2" t="s">
        <v>71</v>
      </c>
      <c r="B493" s="2" t="s">
        <v>72</v>
      </c>
      <c r="C493" s="2" t="s">
        <v>73</v>
      </c>
      <c r="E493" s="2" t="str">
        <f>"FES1162593048"</f>
        <v>FES1162593048</v>
      </c>
      <c r="F493" s="3">
        <v>43070</v>
      </c>
      <c r="G493" s="2">
        <v>201806</v>
      </c>
      <c r="H493" s="2" t="s">
        <v>74</v>
      </c>
      <c r="I493" s="2" t="s">
        <v>75</v>
      </c>
      <c r="J493" s="2" t="s">
        <v>97</v>
      </c>
      <c r="K493" s="2" t="s">
        <v>77</v>
      </c>
      <c r="L493" s="2" t="s">
        <v>136</v>
      </c>
      <c r="M493" s="2" t="s">
        <v>137</v>
      </c>
      <c r="N493" s="2" t="s">
        <v>974</v>
      </c>
      <c r="O493" s="2" t="s">
        <v>101</v>
      </c>
      <c r="P493" s="2" t="str">
        <f>"2170605348                    "</f>
        <v xml:space="preserve">2170605348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5.65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</v>
      </c>
      <c r="BJ493" s="2">
        <v>0.2</v>
      </c>
      <c r="BK493" s="2">
        <v>1</v>
      </c>
      <c r="BL493" s="2">
        <v>45.15</v>
      </c>
      <c r="BM493" s="2">
        <v>6.32</v>
      </c>
      <c r="BN493" s="2">
        <v>51.47</v>
      </c>
      <c r="BO493" s="2">
        <v>51.47</v>
      </c>
      <c r="BQ493" s="2" t="s">
        <v>82</v>
      </c>
      <c r="BR493" s="2" t="s">
        <v>103</v>
      </c>
      <c r="BS493" s="3">
        <v>43073</v>
      </c>
      <c r="BT493" s="4">
        <v>0.3298611111111111</v>
      </c>
      <c r="BU493" s="2" t="s">
        <v>975</v>
      </c>
      <c r="BV493" s="2" t="s">
        <v>85</v>
      </c>
      <c r="BY493" s="2">
        <v>1200</v>
      </c>
      <c r="BZ493" s="2" t="s">
        <v>27</v>
      </c>
      <c r="CA493" s="2" t="s">
        <v>140</v>
      </c>
      <c r="CC493" s="2" t="s">
        <v>137</v>
      </c>
      <c r="CD493" s="2">
        <v>6001</v>
      </c>
      <c r="CE493" s="2" t="s">
        <v>120</v>
      </c>
      <c r="CF493" s="3">
        <v>43074</v>
      </c>
      <c r="CI493" s="2">
        <v>1</v>
      </c>
      <c r="CJ493" s="2">
        <v>1</v>
      </c>
      <c r="CK493" s="2">
        <v>21</v>
      </c>
      <c r="CL493" s="2" t="s">
        <v>89</v>
      </c>
    </row>
    <row r="494" spans="1:90">
      <c r="A494" s="2" t="s">
        <v>71</v>
      </c>
      <c r="B494" s="2" t="s">
        <v>72</v>
      </c>
      <c r="C494" s="2" t="s">
        <v>73</v>
      </c>
      <c r="E494" s="2" t="str">
        <f>"FES1162593443"</f>
        <v>FES1162593443</v>
      </c>
      <c r="F494" s="3">
        <v>43073</v>
      </c>
      <c r="G494" s="2">
        <v>201806</v>
      </c>
      <c r="H494" s="2" t="s">
        <v>74</v>
      </c>
      <c r="I494" s="2" t="s">
        <v>75</v>
      </c>
      <c r="J494" s="2" t="s">
        <v>97</v>
      </c>
      <c r="K494" s="2" t="s">
        <v>77</v>
      </c>
      <c r="L494" s="2" t="s">
        <v>158</v>
      </c>
      <c r="M494" s="2" t="s">
        <v>159</v>
      </c>
      <c r="N494" s="2" t="s">
        <v>976</v>
      </c>
      <c r="O494" s="2" t="s">
        <v>101</v>
      </c>
      <c r="P494" s="2" t="str">
        <f>"2170604176                    "</f>
        <v xml:space="preserve">2170604176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5.65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</v>
      </c>
      <c r="BJ494" s="2">
        <v>0.2</v>
      </c>
      <c r="BK494" s="2">
        <v>1</v>
      </c>
      <c r="BL494" s="2">
        <v>45.15</v>
      </c>
      <c r="BM494" s="2">
        <v>6.32</v>
      </c>
      <c r="BN494" s="2">
        <v>51.47</v>
      </c>
      <c r="BO494" s="2">
        <v>51.47</v>
      </c>
      <c r="BQ494" s="2" t="s">
        <v>82</v>
      </c>
      <c r="BR494" s="2" t="s">
        <v>103</v>
      </c>
      <c r="BS494" s="3">
        <v>43074</v>
      </c>
      <c r="BT494" s="4">
        <v>0.41666666666666669</v>
      </c>
      <c r="BU494" s="2" t="s">
        <v>977</v>
      </c>
      <c r="BV494" s="2" t="s">
        <v>85</v>
      </c>
      <c r="BY494" s="2">
        <v>1200</v>
      </c>
      <c r="BZ494" s="2" t="s">
        <v>27</v>
      </c>
      <c r="CC494" s="2" t="s">
        <v>159</v>
      </c>
      <c r="CD494" s="2">
        <v>200</v>
      </c>
      <c r="CE494" s="2" t="s">
        <v>120</v>
      </c>
      <c r="CF494" s="3">
        <v>43075</v>
      </c>
      <c r="CI494" s="2">
        <v>1</v>
      </c>
      <c r="CJ494" s="2">
        <v>1</v>
      </c>
      <c r="CK494" s="2">
        <v>21</v>
      </c>
      <c r="CL494" s="2" t="s">
        <v>89</v>
      </c>
    </row>
    <row r="495" spans="1:90">
      <c r="A495" s="2" t="s">
        <v>71</v>
      </c>
      <c r="B495" s="2" t="s">
        <v>72</v>
      </c>
      <c r="C495" s="2" t="s">
        <v>73</v>
      </c>
      <c r="E495" s="2" t="str">
        <f>"FES1162593472"</f>
        <v>FES1162593472</v>
      </c>
      <c r="F495" s="3">
        <v>43073</v>
      </c>
      <c r="G495" s="2">
        <v>201806</v>
      </c>
      <c r="H495" s="2" t="s">
        <v>74</v>
      </c>
      <c r="I495" s="2" t="s">
        <v>75</v>
      </c>
      <c r="J495" s="2" t="s">
        <v>97</v>
      </c>
      <c r="K495" s="2" t="s">
        <v>77</v>
      </c>
      <c r="L495" s="2" t="s">
        <v>168</v>
      </c>
      <c r="M495" s="2" t="s">
        <v>169</v>
      </c>
      <c r="N495" s="2" t="s">
        <v>818</v>
      </c>
      <c r="O495" s="2" t="s">
        <v>101</v>
      </c>
      <c r="P495" s="2" t="str">
        <f>"2170604905                    "</f>
        <v xml:space="preserve">2170604905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5.65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45.15</v>
      </c>
      <c r="BM495" s="2">
        <v>6.32</v>
      </c>
      <c r="BN495" s="2">
        <v>51.47</v>
      </c>
      <c r="BO495" s="2">
        <v>51.47</v>
      </c>
      <c r="BQ495" s="2" t="s">
        <v>187</v>
      </c>
      <c r="BR495" s="2" t="s">
        <v>103</v>
      </c>
      <c r="BS495" s="3">
        <v>43074</v>
      </c>
      <c r="BT495" s="4">
        <v>0.42083333333333334</v>
      </c>
      <c r="BU495" s="2" t="s">
        <v>819</v>
      </c>
      <c r="BV495" s="2" t="s">
        <v>85</v>
      </c>
      <c r="BY495" s="2">
        <v>1200</v>
      </c>
      <c r="BZ495" s="2" t="s">
        <v>27</v>
      </c>
      <c r="CA495" s="2" t="s">
        <v>220</v>
      </c>
      <c r="CC495" s="2" t="s">
        <v>169</v>
      </c>
      <c r="CD495" s="2">
        <v>3610</v>
      </c>
      <c r="CE495" s="2" t="s">
        <v>383</v>
      </c>
      <c r="CF495" s="3">
        <v>43075</v>
      </c>
      <c r="CI495" s="2">
        <v>1</v>
      </c>
      <c r="CJ495" s="2">
        <v>1</v>
      </c>
      <c r="CK495" s="2">
        <v>21</v>
      </c>
      <c r="CL495" s="2" t="s">
        <v>89</v>
      </c>
    </row>
    <row r="496" spans="1:90">
      <c r="A496" s="2" t="s">
        <v>71</v>
      </c>
      <c r="B496" s="2" t="s">
        <v>72</v>
      </c>
      <c r="C496" s="2" t="s">
        <v>73</v>
      </c>
      <c r="E496" s="2" t="str">
        <f>"FES1162592856"</f>
        <v>FES1162592856</v>
      </c>
      <c r="F496" s="3">
        <v>43070</v>
      </c>
      <c r="G496" s="2">
        <v>201806</v>
      </c>
      <c r="H496" s="2" t="s">
        <v>74</v>
      </c>
      <c r="I496" s="2" t="s">
        <v>75</v>
      </c>
      <c r="J496" s="2" t="s">
        <v>97</v>
      </c>
      <c r="K496" s="2" t="s">
        <v>77</v>
      </c>
      <c r="L496" s="2" t="s">
        <v>449</v>
      </c>
      <c r="M496" s="2" t="s">
        <v>450</v>
      </c>
      <c r="N496" s="2" t="s">
        <v>841</v>
      </c>
      <c r="O496" s="2" t="s">
        <v>101</v>
      </c>
      <c r="P496" s="2" t="str">
        <f>"2170604620                    "</f>
        <v xml:space="preserve">2170604620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4.41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1.6</v>
      </c>
      <c r="BK496" s="2">
        <v>2</v>
      </c>
      <c r="BL496" s="2">
        <v>35.270000000000003</v>
      </c>
      <c r="BM496" s="2">
        <v>4.9400000000000004</v>
      </c>
      <c r="BN496" s="2">
        <v>40.21</v>
      </c>
      <c r="BO496" s="2">
        <v>40.21</v>
      </c>
      <c r="BQ496" s="2" t="s">
        <v>82</v>
      </c>
      <c r="BR496" s="2" t="s">
        <v>103</v>
      </c>
      <c r="BS496" s="3">
        <v>43073</v>
      </c>
      <c r="BT496" s="4">
        <v>0.34375</v>
      </c>
      <c r="BU496" s="2" t="s">
        <v>842</v>
      </c>
      <c r="BV496" s="2" t="s">
        <v>85</v>
      </c>
      <c r="BY496" s="2">
        <v>8054.53</v>
      </c>
      <c r="BZ496" s="2" t="s">
        <v>27</v>
      </c>
      <c r="CA496" s="2" t="s">
        <v>843</v>
      </c>
      <c r="CC496" s="2" t="s">
        <v>450</v>
      </c>
      <c r="CD496" s="2">
        <v>1724</v>
      </c>
      <c r="CE496" s="2" t="s">
        <v>95</v>
      </c>
      <c r="CF496" s="3">
        <v>43074</v>
      </c>
      <c r="CI496" s="2">
        <v>1</v>
      </c>
      <c r="CJ496" s="2">
        <v>1</v>
      </c>
      <c r="CK496" s="2">
        <v>22</v>
      </c>
      <c r="CL496" s="2" t="s">
        <v>89</v>
      </c>
    </row>
    <row r="497" spans="1:90">
      <c r="A497" s="2" t="s">
        <v>71</v>
      </c>
      <c r="B497" s="2" t="s">
        <v>72</v>
      </c>
      <c r="C497" s="2" t="s">
        <v>73</v>
      </c>
      <c r="E497" s="2" t="str">
        <f>"FES1162593330"</f>
        <v>FES1162593330</v>
      </c>
      <c r="F497" s="3">
        <v>43073</v>
      </c>
      <c r="G497" s="2">
        <v>201806</v>
      </c>
      <c r="H497" s="2" t="s">
        <v>74</v>
      </c>
      <c r="I497" s="2" t="s">
        <v>75</v>
      </c>
      <c r="J497" s="2" t="s">
        <v>97</v>
      </c>
      <c r="K497" s="2" t="s">
        <v>77</v>
      </c>
      <c r="L497" s="2" t="s">
        <v>98</v>
      </c>
      <c r="M497" s="2" t="s">
        <v>99</v>
      </c>
      <c r="N497" s="2" t="s">
        <v>795</v>
      </c>
      <c r="O497" s="2" t="s">
        <v>101</v>
      </c>
      <c r="P497" s="2" t="str">
        <f>"21706059504                   "</f>
        <v xml:space="preserve">21706059504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5.65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</v>
      </c>
      <c r="BJ497" s="2">
        <v>0.2</v>
      </c>
      <c r="BK497" s="2">
        <v>1</v>
      </c>
      <c r="BL497" s="2">
        <v>45.15</v>
      </c>
      <c r="BM497" s="2">
        <v>6.32</v>
      </c>
      <c r="BN497" s="2">
        <v>51.47</v>
      </c>
      <c r="BO497" s="2">
        <v>51.47</v>
      </c>
      <c r="BQ497" s="2" t="s">
        <v>102</v>
      </c>
      <c r="BR497" s="2" t="s">
        <v>103</v>
      </c>
      <c r="BS497" s="3">
        <v>43074</v>
      </c>
      <c r="BT497" s="4">
        <v>0.39583333333333331</v>
      </c>
      <c r="BU497" s="2" t="s">
        <v>978</v>
      </c>
      <c r="BV497" s="2" t="s">
        <v>85</v>
      </c>
      <c r="BY497" s="2">
        <v>1200</v>
      </c>
      <c r="BZ497" s="2" t="s">
        <v>27</v>
      </c>
      <c r="CC497" s="2" t="s">
        <v>99</v>
      </c>
      <c r="CD497" s="2">
        <v>3201</v>
      </c>
      <c r="CE497" s="2" t="s">
        <v>120</v>
      </c>
      <c r="CF497" s="3">
        <v>43076</v>
      </c>
      <c r="CI497" s="2">
        <v>1</v>
      </c>
      <c r="CJ497" s="2">
        <v>1</v>
      </c>
      <c r="CK497" s="2">
        <v>21</v>
      </c>
      <c r="CL497" s="2" t="s">
        <v>89</v>
      </c>
    </row>
    <row r="498" spans="1:90">
      <c r="A498" s="2" t="s">
        <v>71</v>
      </c>
      <c r="B498" s="2" t="s">
        <v>72</v>
      </c>
      <c r="C498" s="2" t="s">
        <v>73</v>
      </c>
      <c r="E498" s="2" t="str">
        <f>"FES1162593432"</f>
        <v>FES1162593432</v>
      </c>
      <c r="F498" s="3">
        <v>43073</v>
      </c>
      <c r="G498" s="2">
        <v>201806</v>
      </c>
      <c r="H498" s="2" t="s">
        <v>74</v>
      </c>
      <c r="I498" s="2" t="s">
        <v>75</v>
      </c>
      <c r="J498" s="2" t="s">
        <v>97</v>
      </c>
      <c r="K498" s="2" t="s">
        <v>77</v>
      </c>
      <c r="L498" s="2" t="s">
        <v>98</v>
      </c>
      <c r="M498" s="2" t="s">
        <v>99</v>
      </c>
      <c r="N498" s="2" t="s">
        <v>670</v>
      </c>
      <c r="O498" s="2" t="s">
        <v>101</v>
      </c>
      <c r="P498" s="2" t="str">
        <f>"2170604037                    "</f>
        <v xml:space="preserve">2170604037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5.65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45.15</v>
      </c>
      <c r="BM498" s="2">
        <v>6.32</v>
      </c>
      <c r="BN498" s="2">
        <v>51.47</v>
      </c>
      <c r="BO498" s="2">
        <v>51.47</v>
      </c>
      <c r="BQ498" s="2" t="s">
        <v>102</v>
      </c>
      <c r="BR498" s="2" t="s">
        <v>103</v>
      </c>
      <c r="BS498" s="3">
        <v>43074</v>
      </c>
      <c r="BT498" s="4">
        <v>0.39583333333333331</v>
      </c>
      <c r="BU498" s="2" t="s">
        <v>979</v>
      </c>
      <c r="BV498" s="2" t="s">
        <v>85</v>
      </c>
      <c r="BY498" s="2">
        <v>1200</v>
      </c>
      <c r="BZ498" s="2" t="s">
        <v>27</v>
      </c>
      <c r="CA498" s="2" t="s">
        <v>105</v>
      </c>
      <c r="CC498" s="2" t="s">
        <v>99</v>
      </c>
      <c r="CD498" s="2">
        <v>3200</v>
      </c>
      <c r="CE498" s="2" t="s">
        <v>120</v>
      </c>
      <c r="CF498" s="3">
        <v>43076</v>
      </c>
      <c r="CI498" s="2">
        <v>1</v>
      </c>
      <c r="CJ498" s="2">
        <v>1</v>
      </c>
      <c r="CK498" s="2">
        <v>21</v>
      </c>
      <c r="CL498" s="2" t="s">
        <v>89</v>
      </c>
    </row>
    <row r="499" spans="1:90">
      <c r="A499" s="2" t="s">
        <v>71</v>
      </c>
      <c r="B499" s="2" t="s">
        <v>72</v>
      </c>
      <c r="C499" s="2" t="s">
        <v>73</v>
      </c>
      <c r="E499" s="2" t="str">
        <f>"FES1162592575"</f>
        <v>FES1162592575</v>
      </c>
      <c r="F499" s="3">
        <v>43070</v>
      </c>
      <c r="G499" s="2">
        <v>201806</v>
      </c>
      <c r="H499" s="2" t="s">
        <v>74</v>
      </c>
      <c r="I499" s="2" t="s">
        <v>75</v>
      </c>
      <c r="J499" s="2" t="s">
        <v>97</v>
      </c>
      <c r="K499" s="2" t="s">
        <v>77</v>
      </c>
      <c r="L499" s="2" t="s">
        <v>106</v>
      </c>
      <c r="M499" s="2" t="s">
        <v>107</v>
      </c>
      <c r="N499" s="2" t="s">
        <v>108</v>
      </c>
      <c r="O499" s="2" t="s">
        <v>101</v>
      </c>
      <c r="P499" s="2" t="str">
        <f>"217061372                     "</f>
        <v xml:space="preserve">217061372 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4.41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</v>
      </c>
      <c r="BJ499" s="2">
        <v>0.2</v>
      </c>
      <c r="BK499" s="2">
        <v>1</v>
      </c>
      <c r="BL499" s="2">
        <v>35.270000000000003</v>
      </c>
      <c r="BM499" s="2">
        <v>4.9400000000000004</v>
      </c>
      <c r="BN499" s="2">
        <v>40.21</v>
      </c>
      <c r="BO499" s="2">
        <v>40.21</v>
      </c>
      <c r="BQ499" s="2" t="s">
        <v>82</v>
      </c>
      <c r="BR499" s="2" t="s">
        <v>103</v>
      </c>
      <c r="BS499" s="3">
        <v>43073</v>
      </c>
      <c r="BT499" s="4">
        <v>0.39166666666666666</v>
      </c>
      <c r="BU499" s="2" t="s">
        <v>643</v>
      </c>
      <c r="BV499" s="2" t="s">
        <v>85</v>
      </c>
      <c r="BY499" s="2">
        <v>1200</v>
      </c>
      <c r="CA499" s="2" t="s">
        <v>644</v>
      </c>
      <c r="CC499" s="2" t="s">
        <v>107</v>
      </c>
      <c r="CD499" s="2">
        <v>2094</v>
      </c>
      <c r="CE499" s="2" t="s">
        <v>120</v>
      </c>
      <c r="CF499" s="3">
        <v>43075</v>
      </c>
      <c r="CI499" s="2">
        <v>1</v>
      </c>
      <c r="CJ499" s="2">
        <v>1</v>
      </c>
      <c r="CK499" s="2">
        <v>22</v>
      </c>
      <c r="CL499" s="2" t="s">
        <v>89</v>
      </c>
    </row>
    <row r="500" spans="1:90">
      <c r="A500" s="2" t="s">
        <v>71</v>
      </c>
      <c r="B500" s="2" t="s">
        <v>72</v>
      </c>
      <c r="C500" s="2" t="s">
        <v>73</v>
      </c>
      <c r="E500" s="2" t="str">
        <f>"FES1162593387"</f>
        <v>FES1162593387</v>
      </c>
      <c r="F500" s="3">
        <v>43073</v>
      </c>
      <c r="G500" s="2">
        <v>201806</v>
      </c>
      <c r="H500" s="2" t="s">
        <v>74</v>
      </c>
      <c r="I500" s="2" t="s">
        <v>75</v>
      </c>
      <c r="J500" s="2" t="s">
        <v>97</v>
      </c>
      <c r="K500" s="2" t="s">
        <v>77</v>
      </c>
      <c r="L500" s="2" t="s">
        <v>74</v>
      </c>
      <c r="M500" s="2" t="s">
        <v>75</v>
      </c>
      <c r="N500" s="2" t="s">
        <v>980</v>
      </c>
      <c r="O500" s="2" t="s">
        <v>101</v>
      </c>
      <c r="P500" s="2" t="str">
        <f>"2170602998                    "</f>
        <v xml:space="preserve">2170602998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4.41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</v>
      </c>
      <c r="BJ500" s="2">
        <v>0.2</v>
      </c>
      <c r="BK500" s="2">
        <v>1</v>
      </c>
      <c r="BL500" s="2">
        <v>35.270000000000003</v>
      </c>
      <c r="BM500" s="2">
        <v>4.9400000000000004</v>
      </c>
      <c r="BN500" s="2">
        <v>40.21</v>
      </c>
      <c r="BO500" s="2">
        <v>40.21</v>
      </c>
      <c r="BR500" s="2" t="s">
        <v>103</v>
      </c>
      <c r="BS500" s="3">
        <v>43074</v>
      </c>
      <c r="BT500" s="4">
        <v>0.31458333333333333</v>
      </c>
      <c r="BU500" s="2" t="s">
        <v>981</v>
      </c>
      <c r="BV500" s="2" t="s">
        <v>85</v>
      </c>
      <c r="BY500" s="2">
        <v>1200</v>
      </c>
      <c r="BZ500" s="2" t="s">
        <v>27</v>
      </c>
      <c r="CA500" s="2" t="s">
        <v>366</v>
      </c>
      <c r="CC500" s="2" t="s">
        <v>75</v>
      </c>
      <c r="CD500" s="2">
        <v>1600</v>
      </c>
      <c r="CE500" s="2" t="s">
        <v>120</v>
      </c>
      <c r="CF500" s="3">
        <v>43077</v>
      </c>
      <c r="CI500" s="2">
        <v>1</v>
      </c>
      <c r="CJ500" s="2">
        <v>1</v>
      </c>
      <c r="CK500" s="2">
        <v>22</v>
      </c>
      <c r="CL500" s="2" t="s">
        <v>89</v>
      </c>
    </row>
    <row r="501" spans="1:90">
      <c r="A501" s="2" t="s">
        <v>71</v>
      </c>
      <c r="B501" s="2" t="s">
        <v>72</v>
      </c>
      <c r="C501" s="2" t="s">
        <v>73</v>
      </c>
      <c r="E501" s="2" t="str">
        <f>"FES1162593010"</f>
        <v>FES1162593010</v>
      </c>
      <c r="F501" s="3">
        <v>43070</v>
      </c>
      <c r="G501" s="2">
        <v>201806</v>
      </c>
      <c r="H501" s="2" t="s">
        <v>74</v>
      </c>
      <c r="I501" s="2" t="s">
        <v>75</v>
      </c>
      <c r="J501" s="2" t="s">
        <v>97</v>
      </c>
      <c r="K501" s="2" t="s">
        <v>77</v>
      </c>
      <c r="L501" s="2" t="s">
        <v>982</v>
      </c>
      <c r="M501" s="2" t="s">
        <v>983</v>
      </c>
      <c r="N501" s="2" t="s">
        <v>984</v>
      </c>
      <c r="O501" s="2" t="s">
        <v>101</v>
      </c>
      <c r="P501" s="2" t="str">
        <f>"2170605351                    "</f>
        <v xml:space="preserve">2170605351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10.94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87.47</v>
      </c>
      <c r="BM501" s="2">
        <v>12.25</v>
      </c>
      <c r="BN501" s="2">
        <v>99.72</v>
      </c>
      <c r="BO501" s="2">
        <v>99.72</v>
      </c>
      <c r="BQ501" s="2" t="s">
        <v>985</v>
      </c>
      <c r="BR501" s="2" t="s">
        <v>103</v>
      </c>
      <c r="BS501" s="3">
        <v>43073</v>
      </c>
      <c r="BT501" s="4">
        <v>0.43333333333333335</v>
      </c>
      <c r="BU501" s="2" t="s">
        <v>986</v>
      </c>
      <c r="BV501" s="2" t="s">
        <v>85</v>
      </c>
      <c r="BY501" s="2">
        <v>1200</v>
      </c>
      <c r="BZ501" s="2" t="s">
        <v>27</v>
      </c>
      <c r="CC501" s="2" t="s">
        <v>983</v>
      </c>
      <c r="CD501" s="2">
        <v>2499</v>
      </c>
      <c r="CE501" s="2" t="s">
        <v>120</v>
      </c>
      <c r="CF501" s="3">
        <v>43076</v>
      </c>
      <c r="CI501" s="2">
        <v>1</v>
      </c>
      <c r="CJ501" s="2">
        <v>1</v>
      </c>
      <c r="CK501" s="2">
        <v>23</v>
      </c>
      <c r="CL501" s="2" t="s">
        <v>89</v>
      </c>
    </row>
    <row r="502" spans="1:90">
      <c r="A502" s="2" t="s">
        <v>71</v>
      </c>
      <c r="B502" s="2" t="s">
        <v>72</v>
      </c>
      <c r="C502" s="2" t="s">
        <v>73</v>
      </c>
      <c r="E502" s="2" t="str">
        <f>"FES1162593371"</f>
        <v>FES1162593371</v>
      </c>
      <c r="F502" s="3">
        <v>43073</v>
      </c>
      <c r="G502" s="2">
        <v>201806</v>
      </c>
      <c r="H502" s="2" t="s">
        <v>74</v>
      </c>
      <c r="I502" s="2" t="s">
        <v>75</v>
      </c>
      <c r="J502" s="2" t="s">
        <v>97</v>
      </c>
      <c r="K502" s="2" t="s">
        <v>77</v>
      </c>
      <c r="L502" s="2" t="s">
        <v>272</v>
      </c>
      <c r="M502" s="2" t="s">
        <v>272</v>
      </c>
      <c r="N502" s="2" t="s">
        <v>938</v>
      </c>
      <c r="O502" s="2" t="s">
        <v>101</v>
      </c>
      <c r="P502" s="2" t="str">
        <f>"2170602721                    "</f>
        <v xml:space="preserve">2170602721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7.94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63.49</v>
      </c>
      <c r="BM502" s="2">
        <v>8.89</v>
      </c>
      <c r="BN502" s="2">
        <v>72.38</v>
      </c>
      <c r="BO502" s="2">
        <v>72.38</v>
      </c>
      <c r="BQ502" s="2" t="s">
        <v>229</v>
      </c>
      <c r="BR502" s="2" t="s">
        <v>103</v>
      </c>
      <c r="BS502" s="3">
        <v>43074</v>
      </c>
      <c r="BT502" s="4">
        <v>0.4375</v>
      </c>
      <c r="BU502" s="2" t="s">
        <v>987</v>
      </c>
      <c r="BV502" s="2" t="s">
        <v>85</v>
      </c>
      <c r="BY502" s="2">
        <v>1200</v>
      </c>
      <c r="BZ502" s="2" t="s">
        <v>27</v>
      </c>
      <c r="CA502" s="2" t="s">
        <v>389</v>
      </c>
      <c r="CC502" s="2" t="s">
        <v>272</v>
      </c>
      <c r="CD502" s="2">
        <v>1490</v>
      </c>
      <c r="CE502" s="2" t="s">
        <v>120</v>
      </c>
      <c r="CF502" s="3">
        <v>43077</v>
      </c>
      <c r="CI502" s="2">
        <v>1</v>
      </c>
      <c r="CJ502" s="2">
        <v>1</v>
      </c>
      <c r="CK502" s="2">
        <v>24</v>
      </c>
      <c r="CL502" s="2" t="s">
        <v>89</v>
      </c>
    </row>
    <row r="503" spans="1:90">
      <c r="A503" s="2" t="s">
        <v>71</v>
      </c>
      <c r="B503" s="2" t="s">
        <v>72</v>
      </c>
      <c r="C503" s="2" t="s">
        <v>73</v>
      </c>
      <c r="E503" s="2" t="str">
        <f>"FES1162592827"</f>
        <v>FES1162592827</v>
      </c>
      <c r="F503" s="3">
        <v>43070</v>
      </c>
      <c r="G503" s="2">
        <v>201806</v>
      </c>
      <c r="H503" s="2" t="s">
        <v>74</v>
      </c>
      <c r="I503" s="2" t="s">
        <v>75</v>
      </c>
      <c r="J503" s="2" t="s">
        <v>97</v>
      </c>
      <c r="K503" s="2" t="s">
        <v>77</v>
      </c>
      <c r="L503" s="2" t="s">
        <v>106</v>
      </c>
      <c r="M503" s="2" t="s">
        <v>107</v>
      </c>
      <c r="N503" s="2" t="s">
        <v>108</v>
      </c>
      <c r="O503" s="2" t="s">
        <v>101</v>
      </c>
      <c r="P503" s="2" t="str">
        <f>"2170601513                    "</f>
        <v xml:space="preserve">2170601513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4.41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1.9</v>
      </c>
      <c r="BK503" s="2">
        <v>2</v>
      </c>
      <c r="BL503" s="2">
        <v>35.270000000000003</v>
      </c>
      <c r="BM503" s="2">
        <v>4.9400000000000004</v>
      </c>
      <c r="BN503" s="2">
        <v>40.21</v>
      </c>
      <c r="BO503" s="2">
        <v>40.21</v>
      </c>
      <c r="BQ503" s="2" t="s">
        <v>82</v>
      </c>
      <c r="BR503" s="2" t="s">
        <v>103</v>
      </c>
      <c r="BS503" s="3">
        <v>43073</v>
      </c>
      <c r="BT503" s="4">
        <v>0.39027777777777778</v>
      </c>
      <c r="BU503" s="2" t="s">
        <v>643</v>
      </c>
      <c r="BV503" s="2" t="s">
        <v>85</v>
      </c>
      <c r="BY503" s="2">
        <v>9530.8799999999992</v>
      </c>
      <c r="CA503" s="2" t="s">
        <v>644</v>
      </c>
      <c r="CC503" s="2" t="s">
        <v>107</v>
      </c>
      <c r="CD503" s="2">
        <v>2094</v>
      </c>
      <c r="CE503" s="2" t="s">
        <v>95</v>
      </c>
      <c r="CF503" s="3">
        <v>43075</v>
      </c>
      <c r="CI503" s="2">
        <v>1</v>
      </c>
      <c r="CJ503" s="2">
        <v>1</v>
      </c>
      <c r="CK503" s="2">
        <v>22</v>
      </c>
      <c r="CL503" s="2" t="s">
        <v>89</v>
      </c>
    </row>
    <row r="504" spans="1:90">
      <c r="A504" s="2" t="s">
        <v>71</v>
      </c>
      <c r="B504" s="2" t="s">
        <v>72</v>
      </c>
      <c r="C504" s="2" t="s">
        <v>73</v>
      </c>
      <c r="E504" s="2" t="str">
        <f>"FES1162593511"</f>
        <v>FES1162593511</v>
      </c>
      <c r="F504" s="3">
        <v>43073</v>
      </c>
      <c r="G504" s="2">
        <v>201806</v>
      </c>
      <c r="H504" s="2" t="s">
        <v>74</v>
      </c>
      <c r="I504" s="2" t="s">
        <v>75</v>
      </c>
      <c r="J504" s="2" t="s">
        <v>97</v>
      </c>
      <c r="K504" s="2" t="s">
        <v>77</v>
      </c>
      <c r="L504" s="2" t="s">
        <v>74</v>
      </c>
      <c r="M504" s="2" t="s">
        <v>75</v>
      </c>
      <c r="N504" s="2" t="s">
        <v>988</v>
      </c>
      <c r="O504" s="2" t="s">
        <v>101</v>
      </c>
      <c r="P504" s="2" t="str">
        <f>"2170605545                    "</f>
        <v xml:space="preserve">2170605545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4.41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35.270000000000003</v>
      </c>
      <c r="BM504" s="2">
        <v>4.9400000000000004</v>
      </c>
      <c r="BN504" s="2">
        <v>40.21</v>
      </c>
      <c r="BO504" s="2">
        <v>40.21</v>
      </c>
      <c r="BQ504" s="2" t="s">
        <v>989</v>
      </c>
      <c r="BR504" s="2" t="s">
        <v>103</v>
      </c>
      <c r="BS504" s="3">
        <v>43074</v>
      </c>
      <c r="BT504" s="4">
        <v>0.40972222222222227</v>
      </c>
      <c r="BU504" s="2" t="s">
        <v>990</v>
      </c>
      <c r="BV504" s="2" t="s">
        <v>85</v>
      </c>
      <c r="BY504" s="2">
        <v>1200</v>
      </c>
      <c r="BZ504" s="2" t="s">
        <v>27</v>
      </c>
      <c r="CA504" s="2" t="s">
        <v>366</v>
      </c>
      <c r="CC504" s="2" t="s">
        <v>75</v>
      </c>
      <c r="CD504" s="2">
        <v>1600</v>
      </c>
      <c r="CE504" s="2" t="s">
        <v>120</v>
      </c>
      <c r="CF504" s="3">
        <v>43077</v>
      </c>
      <c r="CI504" s="2">
        <v>1</v>
      </c>
      <c r="CJ504" s="2">
        <v>1</v>
      </c>
      <c r="CK504" s="2">
        <v>22</v>
      </c>
      <c r="CL504" s="2" t="s">
        <v>89</v>
      </c>
    </row>
    <row r="505" spans="1:90">
      <c r="A505" s="2" t="s">
        <v>71</v>
      </c>
      <c r="B505" s="2" t="s">
        <v>72</v>
      </c>
      <c r="C505" s="2" t="s">
        <v>73</v>
      </c>
      <c r="E505" s="2" t="str">
        <f>"FES1162592454"</f>
        <v>FES1162592454</v>
      </c>
      <c r="F505" s="3">
        <v>43070</v>
      </c>
      <c r="G505" s="2">
        <v>201806</v>
      </c>
      <c r="H505" s="2" t="s">
        <v>74</v>
      </c>
      <c r="I505" s="2" t="s">
        <v>75</v>
      </c>
      <c r="J505" s="2" t="s">
        <v>97</v>
      </c>
      <c r="K505" s="2" t="s">
        <v>77</v>
      </c>
      <c r="L505" s="2" t="s">
        <v>991</v>
      </c>
      <c r="M505" s="2" t="s">
        <v>992</v>
      </c>
      <c r="N505" s="2" t="s">
        <v>993</v>
      </c>
      <c r="O505" s="2" t="s">
        <v>101</v>
      </c>
      <c r="P505" s="2" t="str">
        <f>"2170602996                    "</f>
        <v xml:space="preserve">2170602996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55.05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19.100000000000001</v>
      </c>
      <c r="BJ505" s="2">
        <v>18.2</v>
      </c>
      <c r="BK505" s="2">
        <v>19.5</v>
      </c>
      <c r="BL505" s="2">
        <v>440</v>
      </c>
      <c r="BM505" s="2">
        <v>61.6</v>
      </c>
      <c r="BN505" s="2">
        <v>501.6</v>
      </c>
      <c r="BO505" s="2">
        <v>501.6</v>
      </c>
      <c r="BQ505" s="2" t="s">
        <v>102</v>
      </c>
      <c r="BR505" s="2" t="s">
        <v>103</v>
      </c>
      <c r="BS505" s="3">
        <v>43073</v>
      </c>
      <c r="BT505" s="4">
        <v>0.58333333333333337</v>
      </c>
      <c r="BU505" s="2" t="s">
        <v>554</v>
      </c>
      <c r="BV505" s="2" t="s">
        <v>85</v>
      </c>
      <c r="BY505" s="2">
        <v>90990.9</v>
      </c>
      <c r="BZ505" s="2" t="s">
        <v>27</v>
      </c>
      <c r="CA505" s="2" t="s">
        <v>994</v>
      </c>
      <c r="CC505" s="2" t="s">
        <v>992</v>
      </c>
      <c r="CD505" s="2">
        <v>8390</v>
      </c>
      <c r="CE505" s="2" t="s">
        <v>95</v>
      </c>
      <c r="CF505" s="3">
        <v>43076</v>
      </c>
      <c r="CI505" s="2">
        <v>1</v>
      </c>
      <c r="CJ505" s="2">
        <v>1</v>
      </c>
      <c r="CK505" s="2">
        <v>21</v>
      </c>
      <c r="CL505" s="2" t="s">
        <v>89</v>
      </c>
    </row>
    <row r="506" spans="1:90">
      <c r="A506" s="2" t="s">
        <v>71</v>
      </c>
      <c r="B506" s="2" t="s">
        <v>72</v>
      </c>
      <c r="C506" s="2" t="s">
        <v>73</v>
      </c>
      <c r="E506" s="2" t="str">
        <f>"FES1162593516"</f>
        <v>FES1162593516</v>
      </c>
      <c r="F506" s="3">
        <v>43073</v>
      </c>
      <c r="G506" s="2">
        <v>201806</v>
      </c>
      <c r="H506" s="2" t="s">
        <v>74</v>
      </c>
      <c r="I506" s="2" t="s">
        <v>75</v>
      </c>
      <c r="J506" s="2" t="s">
        <v>97</v>
      </c>
      <c r="K506" s="2" t="s">
        <v>77</v>
      </c>
      <c r="L506" s="2" t="s">
        <v>277</v>
      </c>
      <c r="M506" s="2" t="s">
        <v>278</v>
      </c>
      <c r="N506" s="2" t="s">
        <v>995</v>
      </c>
      <c r="O506" s="2" t="s">
        <v>101</v>
      </c>
      <c r="P506" s="2" t="str">
        <f>"2170605590                    "</f>
        <v xml:space="preserve">2170605590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4.41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</v>
      </c>
      <c r="BJ506" s="2">
        <v>0.2</v>
      </c>
      <c r="BK506" s="2">
        <v>1</v>
      </c>
      <c r="BL506" s="2">
        <v>35.270000000000003</v>
      </c>
      <c r="BM506" s="2">
        <v>4.9400000000000004</v>
      </c>
      <c r="BN506" s="2">
        <v>40.21</v>
      </c>
      <c r="BO506" s="2">
        <v>40.21</v>
      </c>
      <c r="BQ506" s="2" t="s">
        <v>996</v>
      </c>
      <c r="BR506" s="2" t="s">
        <v>103</v>
      </c>
      <c r="BS506" s="3">
        <v>43074</v>
      </c>
      <c r="BT506" s="4">
        <v>0.41666666666666669</v>
      </c>
      <c r="BU506" s="2" t="s">
        <v>997</v>
      </c>
      <c r="BV506" s="2" t="s">
        <v>85</v>
      </c>
      <c r="BY506" s="2">
        <v>1200</v>
      </c>
      <c r="BZ506" s="2" t="s">
        <v>27</v>
      </c>
      <c r="CA506" s="2" t="s">
        <v>408</v>
      </c>
      <c r="CC506" s="2" t="s">
        <v>278</v>
      </c>
      <c r="CD506" s="2">
        <v>2163</v>
      </c>
      <c r="CE506" s="2" t="s">
        <v>120</v>
      </c>
      <c r="CF506" s="3">
        <v>43077</v>
      </c>
      <c r="CI506" s="2">
        <v>1</v>
      </c>
      <c r="CJ506" s="2">
        <v>1</v>
      </c>
      <c r="CK506" s="2">
        <v>22</v>
      </c>
      <c r="CL506" s="2" t="s">
        <v>89</v>
      </c>
    </row>
    <row r="507" spans="1:90">
      <c r="A507" s="2" t="s">
        <v>71</v>
      </c>
      <c r="B507" s="2" t="s">
        <v>72</v>
      </c>
      <c r="C507" s="2" t="s">
        <v>73</v>
      </c>
      <c r="E507" s="2" t="str">
        <f>"FES1162593008"</f>
        <v>FES1162593008</v>
      </c>
      <c r="F507" s="3">
        <v>43070</v>
      </c>
      <c r="G507" s="2">
        <v>201806</v>
      </c>
      <c r="H507" s="2" t="s">
        <v>74</v>
      </c>
      <c r="I507" s="2" t="s">
        <v>75</v>
      </c>
      <c r="J507" s="2" t="s">
        <v>97</v>
      </c>
      <c r="K507" s="2" t="s">
        <v>77</v>
      </c>
      <c r="L507" s="2" t="s">
        <v>106</v>
      </c>
      <c r="M507" s="2" t="s">
        <v>107</v>
      </c>
      <c r="N507" s="2" t="s">
        <v>763</v>
      </c>
      <c r="O507" s="2" t="s">
        <v>101</v>
      </c>
      <c r="P507" s="2" t="str">
        <f>"2170605329                    "</f>
        <v xml:space="preserve">2170605329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4.41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</v>
      </c>
      <c r="BJ507" s="2">
        <v>0.2</v>
      </c>
      <c r="BK507" s="2">
        <v>1</v>
      </c>
      <c r="BL507" s="2">
        <v>35.270000000000003</v>
      </c>
      <c r="BM507" s="2">
        <v>4.9400000000000004</v>
      </c>
      <c r="BN507" s="2">
        <v>40.21</v>
      </c>
      <c r="BO507" s="2">
        <v>40.21</v>
      </c>
      <c r="BQ507" s="2" t="s">
        <v>102</v>
      </c>
      <c r="BR507" s="2" t="s">
        <v>103</v>
      </c>
      <c r="BS507" s="3">
        <v>43073</v>
      </c>
      <c r="BT507" s="4">
        <v>0.41666666666666669</v>
      </c>
      <c r="BU507" s="2" t="s">
        <v>205</v>
      </c>
      <c r="BV507" s="2" t="s">
        <v>85</v>
      </c>
      <c r="BY507" s="2">
        <v>1200</v>
      </c>
      <c r="BZ507" s="2" t="s">
        <v>27</v>
      </c>
      <c r="CC507" s="2" t="s">
        <v>107</v>
      </c>
      <c r="CD507" s="2">
        <v>2025</v>
      </c>
      <c r="CE507" s="2" t="s">
        <v>120</v>
      </c>
      <c r="CF507" s="3">
        <v>43074</v>
      </c>
      <c r="CI507" s="2">
        <v>1</v>
      </c>
      <c r="CJ507" s="2">
        <v>1</v>
      </c>
      <c r="CK507" s="2">
        <v>22</v>
      </c>
      <c r="CL507" s="2" t="s">
        <v>89</v>
      </c>
    </row>
    <row r="508" spans="1:90">
      <c r="A508" s="2" t="s">
        <v>71</v>
      </c>
      <c r="B508" s="2" t="s">
        <v>72</v>
      </c>
      <c r="C508" s="2" t="s">
        <v>73</v>
      </c>
      <c r="E508" s="2" t="str">
        <f>"FES1162593434"</f>
        <v>FES1162593434</v>
      </c>
      <c r="F508" s="3">
        <v>43073</v>
      </c>
      <c r="G508" s="2">
        <v>201806</v>
      </c>
      <c r="H508" s="2" t="s">
        <v>74</v>
      </c>
      <c r="I508" s="2" t="s">
        <v>75</v>
      </c>
      <c r="J508" s="2" t="s">
        <v>97</v>
      </c>
      <c r="K508" s="2" t="s">
        <v>77</v>
      </c>
      <c r="L508" s="2" t="s">
        <v>125</v>
      </c>
      <c r="M508" s="2" t="s">
        <v>126</v>
      </c>
      <c r="N508" s="2" t="s">
        <v>664</v>
      </c>
      <c r="O508" s="2" t="s">
        <v>101</v>
      </c>
      <c r="P508" s="2" t="str">
        <f>"2170604049                    "</f>
        <v xml:space="preserve">2170604049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5.65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1</v>
      </c>
      <c r="BJ508" s="2">
        <v>0.2</v>
      </c>
      <c r="BK508" s="2">
        <v>1</v>
      </c>
      <c r="BL508" s="2">
        <v>45.15</v>
      </c>
      <c r="BM508" s="2">
        <v>6.32</v>
      </c>
      <c r="BN508" s="2">
        <v>51.47</v>
      </c>
      <c r="BO508" s="2">
        <v>51.47</v>
      </c>
      <c r="BQ508" s="2" t="s">
        <v>102</v>
      </c>
      <c r="BR508" s="2" t="s">
        <v>103</v>
      </c>
      <c r="BS508" s="3">
        <v>43074</v>
      </c>
      <c r="BT508" s="4">
        <v>0.38194444444444442</v>
      </c>
      <c r="BU508" s="2" t="s">
        <v>998</v>
      </c>
      <c r="BV508" s="2" t="s">
        <v>85</v>
      </c>
      <c r="BY508" s="2">
        <v>1200</v>
      </c>
      <c r="BZ508" s="2" t="s">
        <v>27</v>
      </c>
      <c r="CA508" s="2" t="s">
        <v>666</v>
      </c>
      <c r="CC508" s="2" t="s">
        <v>126</v>
      </c>
      <c r="CD508" s="2">
        <v>4001</v>
      </c>
      <c r="CE508" s="2" t="s">
        <v>120</v>
      </c>
      <c r="CF508" s="3">
        <v>43075</v>
      </c>
      <c r="CI508" s="2">
        <v>1</v>
      </c>
      <c r="CJ508" s="2">
        <v>1</v>
      </c>
      <c r="CK508" s="2">
        <v>21</v>
      </c>
      <c r="CL508" s="2" t="s">
        <v>89</v>
      </c>
    </row>
    <row r="509" spans="1:90">
      <c r="A509" s="2" t="s">
        <v>71</v>
      </c>
      <c r="B509" s="2" t="s">
        <v>72</v>
      </c>
      <c r="C509" s="2" t="s">
        <v>73</v>
      </c>
      <c r="E509" s="2" t="str">
        <f>"FES1162593179"</f>
        <v>FES1162593179</v>
      </c>
      <c r="F509" s="3">
        <v>43070</v>
      </c>
      <c r="G509" s="2">
        <v>201806</v>
      </c>
      <c r="H509" s="2" t="s">
        <v>74</v>
      </c>
      <c r="I509" s="2" t="s">
        <v>75</v>
      </c>
      <c r="J509" s="2" t="s">
        <v>97</v>
      </c>
      <c r="K509" s="2" t="s">
        <v>77</v>
      </c>
      <c r="L509" s="2" t="s">
        <v>145</v>
      </c>
      <c r="M509" s="2" t="s">
        <v>146</v>
      </c>
      <c r="N509" s="2" t="s">
        <v>470</v>
      </c>
      <c r="O509" s="2" t="s">
        <v>101</v>
      </c>
      <c r="P509" s="2" t="str">
        <f>"2170599981                    "</f>
        <v xml:space="preserve">2170599981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5.65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</v>
      </c>
      <c r="BJ509" s="2">
        <v>0.2</v>
      </c>
      <c r="BK509" s="2">
        <v>1</v>
      </c>
      <c r="BL509" s="2">
        <v>45.15</v>
      </c>
      <c r="BM509" s="2">
        <v>6.32</v>
      </c>
      <c r="BN509" s="2">
        <v>51.47</v>
      </c>
      <c r="BO509" s="2">
        <v>51.47</v>
      </c>
      <c r="BQ509" s="2" t="s">
        <v>82</v>
      </c>
      <c r="BR509" s="2" t="s">
        <v>103</v>
      </c>
      <c r="BS509" s="3">
        <v>43074</v>
      </c>
      <c r="BT509" s="4">
        <v>0.5</v>
      </c>
      <c r="BU509" s="2" t="s">
        <v>134</v>
      </c>
      <c r="BV509" s="2" t="s">
        <v>89</v>
      </c>
      <c r="BW509" s="2" t="s">
        <v>471</v>
      </c>
      <c r="BX509" s="2" t="s">
        <v>150</v>
      </c>
      <c r="BY509" s="2">
        <v>1200</v>
      </c>
      <c r="CC509" s="2" t="s">
        <v>146</v>
      </c>
      <c r="CD509" s="2">
        <v>5210</v>
      </c>
      <c r="CE509" s="2" t="s">
        <v>120</v>
      </c>
      <c r="CF509" s="3">
        <v>43075</v>
      </c>
      <c r="CI509" s="2">
        <v>1</v>
      </c>
      <c r="CJ509" s="2">
        <v>2</v>
      </c>
      <c r="CK509" s="2">
        <v>21</v>
      </c>
      <c r="CL509" s="2" t="s">
        <v>89</v>
      </c>
    </row>
    <row r="510" spans="1:90">
      <c r="A510" s="2" t="s">
        <v>71</v>
      </c>
      <c r="B510" s="2" t="s">
        <v>72</v>
      </c>
      <c r="C510" s="2" t="s">
        <v>73</v>
      </c>
      <c r="E510" s="2" t="str">
        <f>"FES1162593521"</f>
        <v>FES1162593521</v>
      </c>
      <c r="F510" s="3">
        <v>43073</v>
      </c>
      <c r="G510" s="2">
        <v>201806</v>
      </c>
      <c r="H510" s="2" t="s">
        <v>74</v>
      </c>
      <c r="I510" s="2" t="s">
        <v>75</v>
      </c>
      <c r="J510" s="2" t="s">
        <v>97</v>
      </c>
      <c r="K510" s="2" t="s">
        <v>77</v>
      </c>
      <c r="L510" s="2" t="s">
        <v>106</v>
      </c>
      <c r="M510" s="2" t="s">
        <v>107</v>
      </c>
      <c r="N510" s="2" t="s">
        <v>999</v>
      </c>
      <c r="O510" s="2" t="s">
        <v>101</v>
      </c>
      <c r="P510" s="2" t="str">
        <f>"21706056173                   "</f>
        <v xml:space="preserve">21706056173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4.41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1</v>
      </c>
      <c r="BJ510" s="2">
        <v>0.2</v>
      </c>
      <c r="BK510" s="2">
        <v>1</v>
      </c>
      <c r="BL510" s="2">
        <v>35.270000000000003</v>
      </c>
      <c r="BM510" s="2">
        <v>4.9400000000000004</v>
      </c>
      <c r="BN510" s="2">
        <v>40.21</v>
      </c>
      <c r="BO510" s="2">
        <v>40.21</v>
      </c>
      <c r="BQ510" s="2" t="s">
        <v>1000</v>
      </c>
      <c r="BR510" s="2" t="s">
        <v>103</v>
      </c>
      <c r="BS510" s="3">
        <v>43074</v>
      </c>
      <c r="BT510" s="4">
        <v>0.55555555555555558</v>
      </c>
      <c r="BU510" s="2" t="s">
        <v>1001</v>
      </c>
      <c r="BV510" s="2" t="s">
        <v>85</v>
      </c>
      <c r="BY510" s="2">
        <v>1200</v>
      </c>
      <c r="BZ510" s="2" t="s">
        <v>27</v>
      </c>
      <c r="CC510" s="2" t="s">
        <v>107</v>
      </c>
      <c r="CD510" s="2">
        <v>1821</v>
      </c>
      <c r="CE510" s="2" t="s">
        <v>120</v>
      </c>
      <c r="CF510" s="3">
        <v>43076</v>
      </c>
      <c r="CI510" s="2">
        <v>1</v>
      </c>
      <c r="CJ510" s="2">
        <v>1</v>
      </c>
      <c r="CK510" s="2">
        <v>22</v>
      </c>
      <c r="CL510" s="2" t="s">
        <v>89</v>
      </c>
    </row>
    <row r="511" spans="1:90">
      <c r="A511" s="2" t="s">
        <v>71</v>
      </c>
      <c r="B511" s="2" t="s">
        <v>72</v>
      </c>
      <c r="C511" s="2" t="s">
        <v>73</v>
      </c>
      <c r="E511" s="2" t="str">
        <f>"FES1162593343"</f>
        <v>FES1162593343</v>
      </c>
      <c r="F511" s="3">
        <v>43073</v>
      </c>
      <c r="G511" s="2">
        <v>201806</v>
      </c>
      <c r="H511" s="2" t="s">
        <v>74</v>
      </c>
      <c r="I511" s="2" t="s">
        <v>75</v>
      </c>
      <c r="J511" s="2" t="s">
        <v>97</v>
      </c>
      <c r="K511" s="2" t="s">
        <v>77</v>
      </c>
      <c r="L511" s="2" t="s">
        <v>551</v>
      </c>
      <c r="M511" s="2" t="s">
        <v>552</v>
      </c>
      <c r="N511" s="2" t="s">
        <v>1002</v>
      </c>
      <c r="O511" s="2" t="s">
        <v>101</v>
      </c>
      <c r="P511" s="2" t="str">
        <f>"21706000166                   "</f>
        <v xml:space="preserve">21706000166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9.8800000000000008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2.8</v>
      </c>
      <c r="BJ511" s="2">
        <v>3.5</v>
      </c>
      <c r="BK511" s="2">
        <v>3.5</v>
      </c>
      <c r="BL511" s="2">
        <v>78.989999999999995</v>
      </c>
      <c r="BM511" s="2">
        <v>11.06</v>
      </c>
      <c r="BN511" s="2">
        <v>90.05</v>
      </c>
      <c r="BO511" s="2">
        <v>90.05</v>
      </c>
      <c r="BQ511" s="2" t="s">
        <v>102</v>
      </c>
      <c r="BR511" s="2" t="s">
        <v>103</v>
      </c>
      <c r="BS511" s="3">
        <v>43074</v>
      </c>
      <c r="BT511" s="4">
        <v>0.48055555555555557</v>
      </c>
      <c r="BU511" s="2" t="s">
        <v>1003</v>
      </c>
      <c r="BV511" s="2" t="s">
        <v>85</v>
      </c>
      <c r="BY511" s="2">
        <v>17549.060000000001</v>
      </c>
      <c r="BZ511" s="2" t="s">
        <v>27</v>
      </c>
      <c r="CA511" s="2" t="s">
        <v>555</v>
      </c>
      <c r="CC511" s="2" t="s">
        <v>552</v>
      </c>
      <c r="CD511" s="2">
        <v>3310</v>
      </c>
      <c r="CE511" s="2" t="s">
        <v>95</v>
      </c>
      <c r="CF511" s="3">
        <v>43076</v>
      </c>
      <c r="CI511" s="2">
        <v>1</v>
      </c>
      <c r="CJ511" s="2">
        <v>1</v>
      </c>
      <c r="CK511" s="2">
        <v>21</v>
      </c>
      <c r="CL511" s="2" t="s">
        <v>89</v>
      </c>
    </row>
    <row r="512" spans="1:90">
      <c r="A512" s="2" t="s">
        <v>71</v>
      </c>
      <c r="B512" s="2" t="s">
        <v>72</v>
      </c>
      <c r="C512" s="2" t="s">
        <v>73</v>
      </c>
      <c r="E512" s="2" t="str">
        <f>"FES1162593134"</f>
        <v>FES1162593134</v>
      </c>
      <c r="F512" s="3">
        <v>43070</v>
      </c>
      <c r="G512" s="2">
        <v>201806</v>
      </c>
      <c r="H512" s="2" t="s">
        <v>74</v>
      </c>
      <c r="I512" s="2" t="s">
        <v>75</v>
      </c>
      <c r="J512" s="2" t="s">
        <v>97</v>
      </c>
      <c r="K512" s="2" t="s">
        <v>77</v>
      </c>
      <c r="L512" s="2" t="s">
        <v>145</v>
      </c>
      <c r="M512" s="2" t="s">
        <v>146</v>
      </c>
      <c r="N512" s="2" t="s">
        <v>753</v>
      </c>
      <c r="O512" s="2" t="s">
        <v>101</v>
      </c>
      <c r="P512" s="2" t="str">
        <f>"2170603860                    "</f>
        <v xml:space="preserve">2170603860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8.4700000000000006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3</v>
      </c>
      <c r="BJ512" s="2">
        <v>0.9</v>
      </c>
      <c r="BK512" s="2">
        <v>3</v>
      </c>
      <c r="BL512" s="2">
        <v>67.709999999999994</v>
      </c>
      <c r="BM512" s="2">
        <v>9.48</v>
      </c>
      <c r="BN512" s="2">
        <v>77.19</v>
      </c>
      <c r="BO512" s="2">
        <v>77.19</v>
      </c>
      <c r="BQ512" s="2" t="s">
        <v>82</v>
      </c>
      <c r="BR512" s="2" t="s">
        <v>103</v>
      </c>
      <c r="BS512" s="3">
        <v>43073</v>
      </c>
      <c r="BT512" s="4">
        <v>0.41388888888888892</v>
      </c>
      <c r="BU512" s="2" t="s">
        <v>524</v>
      </c>
      <c r="BV512" s="2" t="s">
        <v>85</v>
      </c>
      <c r="BY512" s="2">
        <v>4740.58</v>
      </c>
      <c r="BZ512" s="2" t="s">
        <v>27</v>
      </c>
      <c r="CA512" s="2" t="s">
        <v>754</v>
      </c>
      <c r="CC512" s="2" t="s">
        <v>146</v>
      </c>
      <c r="CD512" s="2">
        <v>5201</v>
      </c>
      <c r="CE512" s="2" t="s">
        <v>1004</v>
      </c>
      <c r="CF512" s="3">
        <v>43074</v>
      </c>
      <c r="CI512" s="2">
        <v>1</v>
      </c>
      <c r="CJ512" s="2">
        <v>1</v>
      </c>
      <c r="CK512" s="2">
        <v>21</v>
      </c>
      <c r="CL512" s="2" t="s">
        <v>89</v>
      </c>
    </row>
    <row r="513" spans="1:90">
      <c r="A513" s="2" t="s">
        <v>71</v>
      </c>
      <c r="B513" s="2" t="s">
        <v>72</v>
      </c>
      <c r="C513" s="2" t="s">
        <v>73</v>
      </c>
      <c r="E513" s="2" t="str">
        <f>"FES1162593380"</f>
        <v>FES1162593380</v>
      </c>
      <c r="F513" s="3">
        <v>43073</v>
      </c>
      <c r="G513" s="2">
        <v>201806</v>
      </c>
      <c r="H513" s="2" t="s">
        <v>74</v>
      </c>
      <c r="I513" s="2" t="s">
        <v>75</v>
      </c>
      <c r="J513" s="2" t="s">
        <v>97</v>
      </c>
      <c r="K513" s="2" t="s">
        <v>77</v>
      </c>
      <c r="L513" s="2" t="s">
        <v>98</v>
      </c>
      <c r="M513" s="2" t="s">
        <v>99</v>
      </c>
      <c r="N513" s="2" t="s">
        <v>670</v>
      </c>
      <c r="O513" s="2" t="s">
        <v>101</v>
      </c>
      <c r="P513" s="2" t="str">
        <f>"2170602942                    "</f>
        <v xml:space="preserve">2170602942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5.65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1.3</v>
      </c>
      <c r="BJ513" s="2">
        <v>1.8</v>
      </c>
      <c r="BK513" s="2">
        <v>2</v>
      </c>
      <c r="BL513" s="2">
        <v>45.15</v>
      </c>
      <c r="BM513" s="2">
        <v>6.32</v>
      </c>
      <c r="BN513" s="2">
        <v>51.47</v>
      </c>
      <c r="BO513" s="2">
        <v>51.47</v>
      </c>
      <c r="BQ513" s="2" t="s">
        <v>102</v>
      </c>
      <c r="BR513" s="2" t="s">
        <v>103</v>
      </c>
      <c r="BS513" s="3">
        <v>43074</v>
      </c>
      <c r="BT513" s="4">
        <v>0.41666666666666669</v>
      </c>
      <c r="BU513" s="2" t="s">
        <v>1005</v>
      </c>
      <c r="BV513" s="2" t="s">
        <v>85</v>
      </c>
      <c r="BY513" s="2">
        <v>9110.7000000000007</v>
      </c>
      <c r="BZ513" s="2" t="s">
        <v>27</v>
      </c>
      <c r="CA513" s="2" t="s">
        <v>105</v>
      </c>
      <c r="CC513" s="2" t="s">
        <v>99</v>
      </c>
      <c r="CD513" s="2">
        <v>3200</v>
      </c>
      <c r="CE513" s="2" t="s">
        <v>87</v>
      </c>
      <c r="CF513" s="3">
        <v>43076</v>
      </c>
      <c r="CI513" s="2">
        <v>1</v>
      </c>
      <c r="CJ513" s="2">
        <v>1</v>
      </c>
      <c r="CK513" s="2">
        <v>21</v>
      </c>
      <c r="CL513" s="2" t="s">
        <v>89</v>
      </c>
    </row>
    <row r="514" spans="1:90">
      <c r="A514" s="2" t="s">
        <v>71</v>
      </c>
      <c r="B514" s="2" t="s">
        <v>72</v>
      </c>
      <c r="C514" s="2" t="s">
        <v>73</v>
      </c>
      <c r="E514" s="2" t="str">
        <f>"FES1162593135"</f>
        <v>FES1162593135</v>
      </c>
      <c r="F514" s="3">
        <v>43070</v>
      </c>
      <c r="G514" s="2">
        <v>201806</v>
      </c>
      <c r="H514" s="2" t="s">
        <v>74</v>
      </c>
      <c r="I514" s="2" t="s">
        <v>75</v>
      </c>
      <c r="J514" s="2" t="s">
        <v>97</v>
      </c>
      <c r="K514" s="2" t="s">
        <v>77</v>
      </c>
      <c r="L514" s="2" t="s">
        <v>136</v>
      </c>
      <c r="M514" s="2" t="s">
        <v>137</v>
      </c>
      <c r="N514" s="2" t="s">
        <v>178</v>
      </c>
      <c r="O514" s="2" t="s">
        <v>101</v>
      </c>
      <c r="P514" s="2" t="str">
        <f>"21706064241                   "</f>
        <v xml:space="preserve">21706064241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5.65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0.2</v>
      </c>
      <c r="BK514" s="2">
        <v>1</v>
      </c>
      <c r="BL514" s="2">
        <v>45.15</v>
      </c>
      <c r="BM514" s="2">
        <v>6.32</v>
      </c>
      <c r="BN514" s="2">
        <v>51.47</v>
      </c>
      <c r="BO514" s="2">
        <v>51.47</v>
      </c>
      <c r="BQ514" s="2" t="s">
        <v>102</v>
      </c>
      <c r="BR514" s="2" t="s">
        <v>103</v>
      </c>
      <c r="BS514" s="3">
        <v>43073</v>
      </c>
      <c r="BT514" s="4">
        <v>0.41666666666666669</v>
      </c>
      <c r="BU514" s="2" t="s">
        <v>179</v>
      </c>
      <c r="BV514" s="2" t="s">
        <v>85</v>
      </c>
      <c r="BY514" s="2">
        <v>1200</v>
      </c>
      <c r="BZ514" s="2" t="s">
        <v>27</v>
      </c>
      <c r="CA514" s="2" t="s">
        <v>180</v>
      </c>
      <c r="CC514" s="2" t="s">
        <v>137</v>
      </c>
      <c r="CD514" s="2">
        <v>6001</v>
      </c>
      <c r="CE514" s="2" t="s">
        <v>120</v>
      </c>
      <c r="CF514" s="3">
        <v>43074</v>
      </c>
      <c r="CI514" s="2">
        <v>1</v>
      </c>
      <c r="CJ514" s="2">
        <v>1</v>
      </c>
      <c r="CK514" s="2">
        <v>21</v>
      </c>
      <c r="CL514" s="2" t="s">
        <v>89</v>
      </c>
    </row>
    <row r="515" spans="1:90">
      <c r="A515" s="2" t="s">
        <v>71</v>
      </c>
      <c r="B515" s="2" t="s">
        <v>72</v>
      </c>
      <c r="C515" s="2" t="s">
        <v>73</v>
      </c>
      <c r="E515" s="2" t="str">
        <f>"FES1162593381"</f>
        <v>FES1162593381</v>
      </c>
      <c r="F515" s="3">
        <v>43073</v>
      </c>
      <c r="G515" s="2">
        <v>201806</v>
      </c>
      <c r="H515" s="2" t="s">
        <v>74</v>
      </c>
      <c r="I515" s="2" t="s">
        <v>75</v>
      </c>
      <c r="J515" s="2" t="s">
        <v>97</v>
      </c>
      <c r="K515" s="2" t="s">
        <v>77</v>
      </c>
      <c r="L515" s="2" t="s">
        <v>168</v>
      </c>
      <c r="M515" s="2" t="s">
        <v>169</v>
      </c>
      <c r="N515" s="2" t="s">
        <v>1006</v>
      </c>
      <c r="O515" s="2" t="s">
        <v>101</v>
      </c>
      <c r="P515" s="2" t="str">
        <f>"2170602949                    "</f>
        <v xml:space="preserve">2170602949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8.4700000000000006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3</v>
      </c>
      <c r="BJ515" s="2">
        <v>1.8</v>
      </c>
      <c r="BK515" s="2">
        <v>3</v>
      </c>
      <c r="BL515" s="2">
        <v>67.709999999999994</v>
      </c>
      <c r="BM515" s="2">
        <v>9.48</v>
      </c>
      <c r="BN515" s="2">
        <v>77.19</v>
      </c>
      <c r="BO515" s="2">
        <v>77.19</v>
      </c>
      <c r="BQ515" s="2" t="s">
        <v>82</v>
      </c>
      <c r="BR515" s="2" t="s">
        <v>103</v>
      </c>
      <c r="BS515" s="3">
        <v>43074</v>
      </c>
      <c r="BT515" s="4">
        <v>0.41111111111111115</v>
      </c>
      <c r="BU515" s="2" t="s">
        <v>1007</v>
      </c>
      <c r="BV515" s="2" t="s">
        <v>85</v>
      </c>
      <c r="BY515" s="2">
        <v>8926.0499999999993</v>
      </c>
      <c r="BZ515" s="2" t="s">
        <v>27</v>
      </c>
      <c r="CA515" s="2" t="s">
        <v>220</v>
      </c>
      <c r="CC515" s="2" t="s">
        <v>169</v>
      </c>
      <c r="CD515" s="2">
        <v>3610</v>
      </c>
      <c r="CE515" s="2" t="s">
        <v>288</v>
      </c>
      <c r="CF515" s="3">
        <v>43075</v>
      </c>
      <c r="CI515" s="2">
        <v>1</v>
      </c>
      <c r="CJ515" s="2">
        <v>1</v>
      </c>
      <c r="CK515" s="2">
        <v>21</v>
      </c>
      <c r="CL515" s="2" t="s">
        <v>89</v>
      </c>
    </row>
    <row r="516" spans="1:90">
      <c r="A516" s="2" t="s">
        <v>71</v>
      </c>
      <c r="B516" s="2" t="s">
        <v>72</v>
      </c>
      <c r="C516" s="2" t="s">
        <v>73</v>
      </c>
      <c r="E516" s="2" t="str">
        <f>"FES1162593138"</f>
        <v>FES1162593138</v>
      </c>
      <c r="F516" s="3">
        <v>43070</v>
      </c>
      <c r="G516" s="2">
        <v>201806</v>
      </c>
      <c r="H516" s="2" t="s">
        <v>74</v>
      </c>
      <c r="I516" s="2" t="s">
        <v>75</v>
      </c>
      <c r="J516" s="2" t="s">
        <v>97</v>
      </c>
      <c r="K516" s="2" t="s">
        <v>77</v>
      </c>
      <c r="L516" s="2" t="s">
        <v>145</v>
      </c>
      <c r="M516" s="2" t="s">
        <v>146</v>
      </c>
      <c r="N516" s="2" t="s">
        <v>753</v>
      </c>
      <c r="O516" s="2" t="s">
        <v>101</v>
      </c>
      <c r="P516" s="2" t="str">
        <f>"2170605465                    "</f>
        <v xml:space="preserve">2170605465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5.65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1</v>
      </c>
      <c r="BJ516" s="2">
        <v>0.2</v>
      </c>
      <c r="BK516" s="2">
        <v>1</v>
      </c>
      <c r="BL516" s="2">
        <v>45.15</v>
      </c>
      <c r="BM516" s="2">
        <v>6.32</v>
      </c>
      <c r="BN516" s="2">
        <v>51.47</v>
      </c>
      <c r="BO516" s="2">
        <v>51.47</v>
      </c>
      <c r="BQ516" s="2" t="s">
        <v>82</v>
      </c>
      <c r="BR516" s="2" t="s">
        <v>103</v>
      </c>
      <c r="BS516" s="3">
        <v>43073</v>
      </c>
      <c r="BT516" s="4">
        <v>0.41388888888888892</v>
      </c>
      <c r="BU516" s="2" t="s">
        <v>1008</v>
      </c>
      <c r="BV516" s="2" t="s">
        <v>85</v>
      </c>
      <c r="BY516" s="2">
        <v>1200</v>
      </c>
      <c r="BZ516" s="2" t="s">
        <v>27</v>
      </c>
      <c r="CC516" s="2" t="s">
        <v>146</v>
      </c>
      <c r="CD516" s="2">
        <v>5201</v>
      </c>
      <c r="CE516" s="2" t="s">
        <v>120</v>
      </c>
      <c r="CF516" s="3">
        <v>43074</v>
      </c>
      <c r="CI516" s="2">
        <v>1</v>
      </c>
      <c r="CJ516" s="2">
        <v>1</v>
      </c>
      <c r="CK516" s="2">
        <v>21</v>
      </c>
      <c r="CL516" s="2" t="s">
        <v>89</v>
      </c>
    </row>
    <row r="517" spans="1:90">
      <c r="A517" s="2" t="s">
        <v>71</v>
      </c>
      <c r="B517" s="2" t="s">
        <v>72</v>
      </c>
      <c r="C517" s="2" t="s">
        <v>73</v>
      </c>
      <c r="E517" s="2" t="str">
        <f>"FES1162593466"</f>
        <v>FES1162593466</v>
      </c>
      <c r="F517" s="3">
        <v>43073</v>
      </c>
      <c r="G517" s="2">
        <v>201806</v>
      </c>
      <c r="H517" s="2" t="s">
        <v>74</v>
      </c>
      <c r="I517" s="2" t="s">
        <v>75</v>
      </c>
      <c r="J517" s="2" t="s">
        <v>97</v>
      </c>
      <c r="K517" s="2" t="s">
        <v>77</v>
      </c>
      <c r="L517" s="2" t="s">
        <v>253</v>
      </c>
      <c r="M517" s="2" t="s">
        <v>254</v>
      </c>
      <c r="N517" s="2" t="s">
        <v>773</v>
      </c>
      <c r="O517" s="2" t="s">
        <v>101</v>
      </c>
      <c r="P517" s="2" t="str">
        <f>"2170604813                    "</f>
        <v xml:space="preserve">2170604813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5.65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1.1000000000000001</v>
      </c>
      <c r="BJ517" s="2">
        <v>1.9</v>
      </c>
      <c r="BK517" s="2">
        <v>2</v>
      </c>
      <c r="BL517" s="2">
        <v>45.15</v>
      </c>
      <c r="BM517" s="2">
        <v>6.32</v>
      </c>
      <c r="BN517" s="2">
        <v>51.47</v>
      </c>
      <c r="BO517" s="2">
        <v>51.47</v>
      </c>
      <c r="BQ517" s="2" t="s">
        <v>82</v>
      </c>
      <c r="BR517" s="2" t="s">
        <v>103</v>
      </c>
      <c r="BS517" s="3">
        <v>43074</v>
      </c>
      <c r="BT517" s="4">
        <v>0.4368055555555555</v>
      </c>
      <c r="BU517" s="2" t="s">
        <v>1009</v>
      </c>
      <c r="BV517" s="2" t="s">
        <v>85</v>
      </c>
      <c r="BY517" s="2">
        <v>9408</v>
      </c>
      <c r="BZ517" s="2" t="s">
        <v>27</v>
      </c>
      <c r="CA517" s="2" t="s">
        <v>1010</v>
      </c>
      <c r="CC517" s="2" t="s">
        <v>254</v>
      </c>
      <c r="CD517" s="2">
        <v>1911</v>
      </c>
      <c r="CE517" s="2" t="s">
        <v>95</v>
      </c>
      <c r="CF517" s="3">
        <v>43076</v>
      </c>
      <c r="CI517" s="2">
        <v>1</v>
      </c>
      <c r="CJ517" s="2">
        <v>1</v>
      </c>
      <c r="CK517" s="2">
        <v>21</v>
      </c>
      <c r="CL517" s="2" t="s">
        <v>89</v>
      </c>
    </row>
    <row r="518" spans="1:90">
      <c r="A518" s="2" t="s">
        <v>71</v>
      </c>
      <c r="B518" s="2" t="s">
        <v>72</v>
      </c>
      <c r="C518" s="2" t="s">
        <v>73</v>
      </c>
      <c r="E518" s="2" t="str">
        <f>"FES1162593116"</f>
        <v>FES1162593116</v>
      </c>
      <c r="F518" s="3">
        <v>43070</v>
      </c>
      <c r="G518" s="2">
        <v>201806</v>
      </c>
      <c r="H518" s="2" t="s">
        <v>74</v>
      </c>
      <c r="I518" s="2" t="s">
        <v>75</v>
      </c>
      <c r="J518" s="2" t="s">
        <v>97</v>
      </c>
      <c r="K518" s="2" t="s">
        <v>77</v>
      </c>
      <c r="L518" s="2" t="s">
        <v>145</v>
      </c>
      <c r="M518" s="2" t="s">
        <v>146</v>
      </c>
      <c r="N518" s="2" t="s">
        <v>709</v>
      </c>
      <c r="O518" s="2" t="s">
        <v>101</v>
      </c>
      <c r="P518" s="2" t="str">
        <f>"2170602275                    "</f>
        <v xml:space="preserve">2170602275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5.65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45.15</v>
      </c>
      <c r="BM518" s="2">
        <v>6.32</v>
      </c>
      <c r="BN518" s="2">
        <v>51.47</v>
      </c>
      <c r="BO518" s="2">
        <v>51.47</v>
      </c>
      <c r="BQ518" s="2" t="s">
        <v>102</v>
      </c>
      <c r="BR518" s="2" t="s">
        <v>103</v>
      </c>
      <c r="BS518" s="3">
        <v>43073</v>
      </c>
      <c r="BT518" s="4">
        <v>0.39583333333333331</v>
      </c>
      <c r="BU518" s="2" t="s">
        <v>929</v>
      </c>
      <c r="BV518" s="2" t="s">
        <v>85</v>
      </c>
      <c r="BY518" s="2">
        <v>1200</v>
      </c>
      <c r="BZ518" s="2" t="s">
        <v>27</v>
      </c>
      <c r="CC518" s="2" t="s">
        <v>146</v>
      </c>
      <c r="CD518" s="2">
        <v>5201</v>
      </c>
      <c r="CE518" s="2" t="s">
        <v>120</v>
      </c>
      <c r="CF518" s="3">
        <v>43075</v>
      </c>
      <c r="CI518" s="2">
        <v>1</v>
      </c>
      <c r="CJ518" s="2">
        <v>1</v>
      </c>
      <c r="CK518" s="2">
        <v>21</v>
      </c>
      <c r="CL518" s="2" t="s">
        <v>89</v>
      </c>
    </row>
    <row r="519" spans="1:90">
      <c r="A519" s="2" t="s">
        <v>71</v>
      </c>
      <c r="B519" s="2" t="s">
        <v>72</v>
      </c>
      <c r="C519" s="2" t="s">
        <v>73</v>
      </c>
      <c r="E519" s="2" t="str">
        <f>"FES1162593118"</f>
        <v>FES1162593118</v>
      </c>
      <c r="F519" s="3">
        <v>43070</v>
      </c>
      <c r="G519" s="2">
        <v>201806</v>
      </c>
      <c r="H519" s="2" t="s">
        <v>74</v>
      </c>
      <c r="I519" s="2" t="s">
        <v>75</v>
      </c>
      <c r="J519" s="2" t="s">
        <v>97</v>
      </c>
      <c r="K519" s="2" t="s">
        <v>77</v>
      </c>
      <c r="L519" s="2" t="s">
        <v>262</v>
      </c>
      <c r="M519" s="2" t="s">
        <v>263</v>
      </c>
      <c r="N519" s="2" t="s">
        <v>264</v>
      </c>
      <c r="O519" s="2" t="s">
        <v>101</v>
      </c>
      <c r="P519" s="2" t="str">
        <f>"2170602708                    "</f>
        <v xml:space="preserve">2170602708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5.65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1</v>
      </c>
      <c r="BJ519" s="2">
        <v>0.2</v>
      </c>
      <c r="BK519" s="2">
        <v>1</v>
      </c>
      <c r="BL519" s="2">
        <v>45.15</v>
      </c>
      <c r="BM519" s="2">
        <v>6.32</v>
      </c>
      <c r="BN519" s="2">
        <v>51.47</v>
      </c>
      <c r="BO519" s="2">
        <v>51.47</v>
      </c>
      <c r="BQ519" s="2" t="s">
        <v>102</v>
      </c>
      <c r="BR519" s="2" t="s">
        <v>103</v>
      </c>
      <c r="BS519" s="3">
        <v>43073</v>
      </c>
      <c r="BT519" s="4">
        <v>0.31388888888888888</v>
      </c>
      <c r="BU519" s="2" t="s">
        <v>1011</v>
      </c>
      <c r="BV519" s="2" t="s">
        <v>85</v>
      </c>
      <c r="BY519" s="2">
        <v>1200</v>
      </c>
      <c r="BZ519" s="2" t="s">
        <v>27</v>
      </c>
      <c r="CA519" s="2" t="s">
        <v>611</v>
      </c>
      <c r="CC519" s="2" t="s">
        <v>263</v>
      </c>
      <c r="CD519" s="2">
        <v>6230</v>
      </c>
      <c r="CE519" s="2" t="s">
        <v>120</v>
      </c>
      <c r="CF519" s="3">
        <v>43074</v>
      </c>
      <c r="CI519" s="2">
        <v>1</v>
      </c>
      <c r="CJ519" s="2">
        <v>1</v>
      </c>
      <c r="CK519" s="2">
        <v>21</v>
      </c>
      <c r="CL519" s="2" t="s">
        <v>89</v>
      </c>
    </row>
    <row r="520" spans="1:90">
      <c r="A520" s="2" t="s">
        <v>71</v>
      </c>
      <c r="B520" s="2" t="s">
        <v>72</v>
      </c>
      <c r="C520" s="2" t="s">
        <v>73</v>
      </c>
      <c r="E520" s="2" t="str">
        <f>"FES1162593205"</f>
        <v>FES1162593205</v>
      </c>
      <c r="F520" s="3">
        <v>43070</v>
      </c>
      <c r="G520" s="2">
        <v>201806</v>
      </c>
      <c r="H520" s="2" t="s">
        <v>74</v>
      </c>
      <c r="I520" s="2" t="s">
        <v>75</v>
      </c>
      <c r="J520" s="2" t="s">
        <v>97</v>
      </c>
      <c r="K520" s="2" t="s">
        <v>77</v>
      </c>
      <c r="L520" s="2" t="s">
        <v>173</v>
      </c>
      <c r="M520" s="2" t="s">
        <v>174</v>
      </c>
      <c r="N520" s="2" t="s">
        <v>802</v>
      </c>
      <c r="O520" s="2" t="s">
        <v>101</v>
      </c>
      <c r="P520" s="2" t="str">
        <f>"2170603472                    "</f>
        <v xml:space="preserve">2170603472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5.65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0.2</v>
      </c>
      <c r="BK520" s="2">
        <v>1</v>
      </c>
      <c r="BL520" s="2">
        <v>45.15</v>
      </c>
      <c r="BM520" s="2">
        <v>6.32</v>
      </c>
      <c r="BN520" s="2">
        <v>51.47</v>
      </c>
      <c r="BO520" s="2">
        <v>51.47</v>
      </c>
      <c r="BQ520" s="2" t="s">
        <v>102</v>
      </c>
      <c r="BR520" s="2" t="s">
        <v>103</v>
      </c>
      <c r="BS520" s="3">
        <v>43073</v>
      </c>
      <c r="BT520" s="4">
        <v>0.44791666666666669</v>
      </c>
      <c r="BU520" s="2" t="s">
        <v>1012</v>
      </c>
      <c r="BV520" s="2" t="s">
        <v>85</v>
      </c>
      <c r="BY520" s="2">
        <v>1200</v>
      </c>
      <c r="BZ520" s="2" t="s">
        <v>27</v>
      </c>
      <c r="CA520" s="2" t="s">
        <v>395</v>
      </c>
      <c r="CC520" s="2" t="s">
        <v>174</v>
      </c>
      <c r="CD520" s="2">
        <v>7441</v>
      </c>
      <c r="CE520" s="2" t="s">
        <v>120</v>
      </c>
      <c r="CF520" s="3">
        <v>43074</v>
      </c>
      <c r="CI520" s="2">
        <v>1</v>
      </c>
      <c r="CJ520" s="2">
        <v>1</v>
      </c>
      <c r="CK520" s="2">
        <v>21</v>
      </c>
      <c r="CL520" s="2" t="s">
        <v>89</v>
      </c>
    </row>
    <row r="521" spans="1:90">
      <c r="A521" s="2" t="s">
        <v>71</v>
      </c>
      <c r="B521" s="2" t="s">
        <v>72</v>
      </c>
      <c r="C521" s="2" t="s">
        <v>73</v>
      </c>
      <c r="E521" s="2" t="str">
        <f>"FES1162593537"</f>
        <v>FES1162593537</v>
      </c>
      <c r="F521" s="3">
        <v>43073</v>
      </c>
      <c r="G521" s="2">
        <v>201806</v>
      </c>
      <c r="H521" s="2" t="s">
        <v>74</v>
      </c>
      <c r="I521" s="2" t="s">
        <v>75</v>
      </c>
      <c r="J521" s="2" t="s">
        <v>97</v>
      </c>
      <c r="K521" s="2" t="s">
        <v>77</v>
      </c>
      <c r="L521" s="2" t="s">
        <v>449</v>
      </c>
      <c r="M521" s="2" t="s">
        <v>450</v>
      </c>
      <c r="N521" s="2" t="s">
        <v>1013</v>
      </c>
      <c r="O521" s="2" t="s">
        <v>101</v>
      </c>
      <c r="P521" s="2" t="str">
        <f>"2170605369                    "</f>
        <v xml:space="preserve">2170605369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4.41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3.3</v>
      </c>
      <c r="BJ521" s="2">
        <v>1</v>
      </c>
      <c r="BK521" s="2">
        <v>4</v>
      </c>
      <c r="BL521" s="2">
        <v>35.270000000000003</v>
      </c>
      <c r="BM521" s="2">
        <v>4.9400000000000004</v>
      </c>
      <c r="BN521" s="2">
        <v>40.21</v>
      </c>
      <c r="BO521" s="2">
        <v>40.21</v>
      </c>
      <c r="BQ521" s="2" t="s">
        <v>1014</v>
      </c>
      <c r="BR521" s="2" t="s">
        <v>103</v>
      </c>
      <c r="BS521" s="3">
        <v>43074</v>
      </c>
      <c r="BT521" s="4">
        <v>0.37708333333333338</v>
      </c>
      <c r="BU521" s="2" t="s">
        <v>1015</v>
      </c>
      <c r="BV521" s="2" t="s">
        <v>85</v>
      </c>
      <c r="BY521" s="2">
        <v>5198</v>
      </c>
      <c r="BZ521" s="2" t="s">
        <v>27</v>
      </c>
      <c r="CA521" s="2" t="s">
        <v>453</v>
      </c>
      <c r="CC521" s="2" t="s">
        <v>450</v>
      </c>
      <c r="CD521" s="2">
        <v>1709</v>
      </c>
      <c r="CE521" s="2" t="s">
        <v>87</v>
      </c>
      <c r="CF521" s="3">
        <v>43075</v>
      </c>
      <c r="CI521" s="2">
        <v>1</v>
      </c>
      <c r="CJ521" s="2">
        <v>1</v>
      </c>
      <c r="CK521" s="2">
        <v>22</v>
      </c>
      <c r="CL521" s="2" t="s">
        <v>89</v>
      </c>
    </row>
    <row r="522" spans="1:90">
      <c r="A522" s="2" t="s">
        <v>71</v>
      </c>
      <c r="B522" s="2" t="s">
        <v>72</v>
      </c>
      <c r="C522" s="2" t="s">
        <v>73</v>
      </c>
      <c r="E522" s="2" t="str">
        <f>"FES1162593195"</f>
        <v>FES1162593195</v>
      </c>
      <c r="F522" s="3">
        <v>43070</v>
      </c>
      <c r="G522" s="2">
        <v>201806</v>
      </c>
      <c r="H522" s="2" t="s">
        <v>74</v>
      </c>
      <c r="I522" s="2" t="s">
        <v>75</v>
      </c>
      <c r="J522" s="2" t="s">
        <v>97</v>
      </c>
      <c r="K522" s="2" t="s">
        <v>77</v>
      </c>
      <c r="L522" s="2" t="s">
        <v>212</v>
      </c>
      <c r="M522" s="2" t="s">
        <v>212</v>
      </c>
      <c r="N522" s="2" t="s">
        <v>1016</v>
      </c>
      <c r="O522" s="2" t="s">
        <v>101</v>
      </c>
      <c r="P522" s="2" t="str">
        <f>"2170603164                    "</f>
        <v xml:space="preserve">2170603164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5.65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</v>
      </c>
      <c r="BJ522" s="2">
        <v>0.2</v>
      </c>
      <c r="BK522" s="2">
        <v>1</v>
      </c>
      <c r="BL522" s="2">
        <v>45.15</v>
      </c>
      <c r="BM522" s="2">
        <v>6.32</v>
      </c>
      <c r="BN522" s="2">
        <v>51.47</v>
      </c>
      <c r="BO522" s="2">
        <v>51.47</v>
      </c>
      <c r="BQ522" s="2" t="s">
        <v>128</v>
      </c>
      <c r="BR522" s="2" t="s">
        <v>103</v>
      </c>
      <c r="BS522" s="3">
        <v>43073</v>
      </c>
      <c r="BT522" s="4">
        <v>8.8888888888888892E-2</v>
      </c>
      <c r="BU522" s="2" t="s">
        <v>1017</v>
      </c>
      <c r="BV522" s="2" t="s">
        <v>85</v>
      </c>
      <c r="BY522" s="2">
        <v>1200</v>
      </c>
      <c r="BZ522" s="2" t="s">
        <v>27</v>
      </c>
      <c r="CA522" s="2" t="s">
        <v>532</v>
      </c>
      <c r="CC522" s="2" t="s">
        <v>212</v>
      </c>
      <c r="CD522" s="2">
        <v>7620</v>
      </c>
      <c r="CE522" s="2" t="s">
        <v>120</v>
      </c>
      <c r="CF522" s="3">
        <v>43074</v>
      </c>
      <c r="CI522" s="2">
        <v>1</v>
      </c>
      <c r="CJ522" s="2">
        <v>1</v>
      </c>
      <c r="CK522" s="2">
        <v>21</v>
      </c>
      <c r="CL522" s="2" t="s">
        <v>89</v>
      </c>
    </row>
    <row r="523" spans="1:90">
      <c r="A523" s="2" t="s">
        <v>71</v>
      </c>
      <c r="B523" s="2" t="s">
        <v>72</v>
      </c>
      <c r="C523" s="2" t="s">
        <v>73</v>
      </c>
      <c r="E523" s="2" t="str">
        <f>"FES1162593131"</f>
        <v>FES1162593131</v>
      </c>
      <c r="F523" s="3">
        <v>43070</v>
      </c>
      <c r="G523" s="2">
        <v>201806</v>
      </c>
      <c r="H523" s="2" t="s">
        <v>74</v>
      </c>
      <c r="I523" s="2" t="s">
        <v>75</v>
      </c>
      <c r="J523" s="2" t="s">
        <v>97</v>
      </c>
      <c r="K523" s="2" t="s">
        <v>77</v>
      </c>
      <c r="L523" s="2" t="s">
        <v>173</v>
      </c>
      <c r="M523" s="2" t="s">
        <v>174</v>
      </c>
      <c r="N523" s="2" t="s">
        <v>376</v>
      </c>
      <c r="O523" s="2" t="s">
        <v>101</v>
      </c>
      <c r="P523" s="2" t="str">
        <f>"2170603384                    "</f>
        <v xml:space="preserve">2170603384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5.65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1</v>
      </c>
      <c r="BJ523" s="2">
        <v>0.2</v>
      </c>
      <c r="BK523" s="2">
        <v>1</v>
      </c>
      <c r="BL523" s="2">
        <v>45.15</v>
      </c>
      <c r="BM523" s="2">
        <v>6.32</v>
      </c>
      <c r="BN523" s="2">
        <v>51.47</v>
      </c>
      <c r="BO523" s="2">
        <v>51.47</v>
      </c>
      <c r="BQ523" s="2" t="s">
        <v>102</v>
      </c>
      <c r="BR523" s="2" t="s">
        <v>103</v>
      </c>
      <c r="BS523" s="3">
        <v>43073</v>
      </c>
      <c r="BT523" s="4">
        <v>0.41319444444444442</v>
      </c>
      <c r="BU523" s="2" t="s">
        <v>1018</v>
      </c>
      <c r="BV523" s="2" t="s">
        <v>85</v>
      </c>
      <c r="BY523" s="2">
        <v>1200</v>
      </c>
      <c r="BZ523" s="2" t="s">
        <v>27</v>
      </c>
      <c r="CA523" s="2" t="s">
        <v>378</v>
      </c>
      <c r="CC523" s="2" t="s">
        <v>174</v>
      </c>
      <c r="CD523" s="2">
        <v>7490</v>
      </c>
      <c r="CE523" s="2" t="s">
        <v>120</v>
      </c>
      <c r="CF523" s="3">
        <v>43074</v>
      </c>
      <c r="CI523" s="2">
        <v>1</v>
      </c>
      <c r="CJ523" s="2">
        <v>1</v>
      </c>
      <c r="CK523" s="2">
        <v>21</v>
      </c>
      <c r="CL523" s="2" t="s">
        <v>89</v>
      </c>
    </row>
    <row r="524" spans="1:90">
      <c r="A524" s="2" t="s">
        <v>71</v>
      </c>
      <c r="B524" s="2" t="s">
        <v>72</v>
      </c>
      <c r="C524" s="2" t="s">
        <v>73</v>
      </c>
      <c r="E524" s="2" t="str">
        <f>"FES1162593332"</f>
        <v>FES1162593332</v>
      </c>
      <c r="F524" s="3">
        <v>43073</v>
      </c>
      <c r="G524" s="2">
        <v>201806</v>
      </c>
      <c r="H524" s="2" t="s">
        <v>74</v>
      </c>
      <c r="I524" s="2" t="s">
        <v>75</v>
      </c>
      <c r="J524" s="2" t="s">
        <v>97</v>
      </c>
      <c r="K524" s="2" t="s">
        <v>77</v>
      </c>
      <c r="L524" s="2" t="s">
        <v>98</v>
      </c>
      <c r="M524" s="2" t="s">
        <v>99</v>
      </c>
      <c r="N524" s="2" t="s">
        <v>795</v>
      </c>
      <c r="O524" s="2" t="s">
        <v>101</v>
      </c>
      <c r="P524" s="2" t="str">
        <f>"217060597055                  "</f>
        <v xml:space="preserve">217060597055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19.760000000000002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6.7</v>
      </c>
      <c r="BJ524" s="2">
        <v>1.8</v>
      </c>
      <c r="BK524" s="2">
        <v>7</v>
      </c>
      <c r="BL524" s="2">
        <v>157.96</v>
      </c>
      <c r="BM524" s="2">
        <v>22.11</v>
      </c>
      <c r="BN524" s="2">
        <v>180.07</v>
      </c>
      <c r="BO524" s="2">
        <v>180.07</v>
      </c>
      <c r="BQ524" s="2" t="s">
        <v>102</v>
      </c>
      <c r="BR524" s="2" t="s">
        <v>103</v>
      </c>
      <c r="BS524" s="3">
        <v>43074</v>
      </c>
      <c r="BT524" s="4">
        <v>0.39583333333333331</v>
      </c>
      <c r="BU524" s="2" t="s">
        <v>1019</v>
      </c>
      <c r="BV524" s="2" t="s">
        <v>85</v>
      </c>
      <c r="BY524" s="2">
        <v>8951.25</v>
      </c>
      <c r="BZ524" s="2" t="s">
        <v>27</v>
      </c>
      <c r="CA524" s="2" t="s">
        <v>105</v>
      </c>
      <c r="CC524" s="2" t="s">
        <v>99</v>
      </c>
      <c r="CD524" s="2">
        <v>3201</v>
      </c>
      <c r="CE524" s="2" t="s">
        <v>87</v>
      </c>
      <c r="CF524" s="3">
        <v>43076</v>
      </c>
      <c r="CI524" s="2">
        <v>1</v>
      </c>
      <c r="CJ524" s="2">
        <v>1</v>
      </c>
      <c r="CK524" s="2">
        <v>21</v>
      </c>
      <c r="CL524" s="2" t="s">
        <v>89</v>
      </c>
    </row>
    <row r="525" spans="1:90">
      <c r="A525" s="2" t="s">
        <v>71</v>
      </c>
      <c r="B525" s="2" t="s">
        <v>72</v>
      </c>
      <c r="C525" s="2" t="s">
        <v>73</v>
      </c>
      <c r="E525" s="2" t="str">
        <f>"FES1162593184"</f>
        <v>FES1162593184</v>
      </c>
      <c r="F525" s="3">
        <v>43070</v>
      </c>
      <c r="G525" s="2">
        <v>201806</v>
      </c>
      <c r="H525" s="2" t="s">
        <v>74</v>
      </c>
      <c r="I525" s="2" t="s">
        <v>75</v>
      </c>
      <c r="J525" s="2" t="s">
        <v>97</v>
      </c>
      <c r="K525" s="2" t="s">
        <v>77</v>
      </c>
      <c r="L525" s="2" t="s">
        <v>173</v>
      </c>
      <c r="M525" s="2" t="s">
        <v>174</v>
      </c>
      <c r="N525" s="2" t="s">
        <v>802</v>
      </c>
      <c r="O525" s="2" t="s">
        <v>101</v>
      </c>
      <c r="P525" s="2" t="str">
        <f>"2170602877                    "</f>
        <v xml:space="preserve">2170602877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8.4700000000000006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2.7</v>
      </c>
      <c r="BJ525" s="2">
        <v>1.8</v>
      </c>
      <c r="BK525" s="2">
        <v>3</v>
      </c>
      <c r="BL525" s="2">
        <v>67.709999999999994</v>
      </c>
      <c r="BM525" s="2">
        <v>9.48</v>
      </c>
      <c r="BN525" s="2">
        <v>77.19</v>
      </c>
      <c r="BO525" s="2">
        <v>77.19</v>
      </c>
      <c r="BQ525" s="2" t="s">
        <v>102</v>
      </c>
      <c r="BR525" s="2" t="s">
        <v>103</v>
      </c>
      <c r="BS525" s="3">
        <v>43073</v>
      </c>
      <c r="BT525" s="4">
        <v>0.44791666666666669</v>
      </c>
      <c r="BU525" s="2" t="s">
        <v>1012</v>
      </c>
      <c r="BV525" s="2" t="s">
        <v>85</v>
      </c>
      <c r="BY525" s="2">
        <v>8917.76</v>
      </c>
      <c r="BZ525" s="2" t="s">
        <v>27</v>
      </c>
      <c r="CA525" s="2" t="s">
        <v>395</v>
      </c>
      <c r="CC525" s="2" t="s">
        <v>174</v>
      </c>
      <c r="CD525" s="2">
        <v>7441</v>
      </c>
      <c r="CE525" s="2" t="s">
        <v>87</v>
      </c>
      <c r="CF525" s="3">
        <v>43074</v>
      </c>
      <c r="CI525" s="2">
        <v>1</v>
      </c>
      <c r="CJ525" s="2">
        <v>1</v>
      </c>
      <c r="CK525" s="2">
        <v>21</v>
      </c>
      <c r="CL525" s="2" t="s">
        <v>89</v>
      </c>
    </row>
    <row r="526" spans="1:90">
      <c r="A526" s="2" t="s">
        <v>71</v>
      </c>
      <c r="B526" s="2" t="s">
        <v>72</v>
      </c>
      <c r="C526" s="2" t="s">
        <v>73</v>
      </c>
      <c r="E526" s="2" t="str">
        <f>"FES1162593463"</f>
        <v>FES1162593463</v>
      </c>
      <c r="F526" s="3">
        <v>43073</v>
      </c>
      <c r="G526" s="2">
        <v>201806</v>
      </c>
      <c r="H526" s="2" t="s">
        <v>74</v>
      </c>
      <c r="I526" s="2" t="s">
        <v>75</v>
      </c>
      <c r="J526" s="2" t="s">
        <v>97</v>
      </c>
      <c r="K526" s="2" t="s">
        <v>77</v>
      </c>
      <c r="L526" s="2" t="s">
        <v>173</v>
      </c>
      <c r="M526" s="2" t="s">
        <v>174</v>
      </c>
      <c r="N526" s="2" t="s">
        <v>815</v>
      </c>
      <c r="O526" s="2" t="s">
        <v>101</v>
      </c>
      <c r="P526" s="2" t="str">
        <f>"2170604758                    "</f>
        <v xml:space="preserve">2170604758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7.06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2.2999999999999998</v>
      </c>
      <c r="BJ526" s="2">
        <v>1.4</v>
      </c>
      <c r="BK526" s="2">
        <v>2.5</v>
      </c>
      <c r="BL526" s="2">
        <v>56.43</v>
      </c>
      <c r="BM526" s="2">
        <v>7.9</v>
      </c>
      <c r="BN526" s="2">
        <v>64.33</v>
      </c>
      <c r="BO526" s="2">
        <v>64.33</v>
      </c>
      <c r="BQ526" s="2" t="s">
        <v>816</v>
      </c>
      <c r="BR526" s="2" t="s">
        <v>103</v>
      </c>
      <c r="BS526" s="3">
        <v>43074</v>
      </c>
      <c r="BT526" s="4">
        <v>0.41666666666666669</v>
      </c>
      <c r="BU526" s="2" t="s">
        <v>903</v>
      </c>
      <c r="BV526" s="2" t="s">
        <v>85</v>
      </c>
      <c r="BY526" s="2">
        <v>7247.55</v>
      </c>
      <c r="BZ526" s="2" t="s">
        <v>27</v>
      </c>
      <c r="CA526" s="2" t="s">
        <v>421</v>
      </c>
      <c r="CC526" s="2" t="s">
        <v>174</v>
      </c>
      <c r="CD526" s="2">
        <v>7945</v>
      </c>
      <c r="CE526" s="2" t="s">
        <v>95</v>
      </c>
      <c r="CF526" s="3">
        <v>43074</v>
      </c>
      <c r="CI526" s="2">
        <v>1</v>
      </c>
      <c r="CJ526" s="2">
        <v>1</v>
      </c>
      <c r="CK526" s="2">
        <v>21</v>
      </c>
      <c r="CL526" s="2" t="s">
        <v>89</v>
      </c>
    </row>
    <row r="527" spans="1:90">
      <c r="A527" s="2" t="s">
        <v>71</v>
      </c>
      <c r="B527" s="2" t="s">
        <v>72</v>
      </c>
      <c r="C527" s="2" t="s">
        <v>73</v>
      </c>
      <c r="E527" s="2" t="str">
        <f>"FES1162593108"</f>
        <v>FES1162593108</v>
      </c>
      <c r="F527" s="3">
        <v>43070</v>
      </c>
      <c r="G527" s="2">
        <v>201806</v>
      </c>
      <c r="H527" s="2" t="s">
        <v>74</v>
      </c>
      <c r="I527" s="2" t="s">
        <v>75</v>
      </c>
      <c r="J527" s="2" t="s">
        <v>97</v>
      </c>
      <c r="K527" s="2" t="s">
        <v>77</v>
      </c>
      <c r="L527" s="2" t="s">
        <v>173</v>
      </c>
      <c r="M527" s="2" t="s">
        <v>174</v>
      </c>
      <c r="N527" s="2" t="s">
        <v>381</v>
      </c>
      <c r="O527" s="2" t="s">
        <v>101</v>
      </c>
      <c r="P527" s="2" t="str">
        <f>"2170605462                    "</f>
        <v xml:space="preserve">2170605462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21.17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7.5</v>
      </c>
      <c r="BJ527" s="2">
        <v>3.4</v>
      </c>
      <c r="BK527" s="2">
        <v>7.5</v>
      </c>
      <c r="BL527" s="2">
        <v>169.24</v>
      </c>
      <c r="BM527" s="2">
        <v>23.69</v>
      </c>
      <c r="BN527" s="2">
        <v>192.93</v>
      </c>
      <c r="BO527" s="2">
        <v>192.93</v>
      </c>
      <c r="BQ527" s="2" t="s">
        <v>382</v>
      </c>
      <c r="BR527" s="2" t="s">
        <v>103</v>
      </c>
      <c r="BS527" s="3">
        <v>43073</v>
      </c>
      <c r="BT527" s="4">
        <v>0.38055555555555554</v>
      </c>
      <c r="BU527" s="2" t="s">
        <v>907</v>
      </c>
      <c r="BV527" s="2" t="s">
        <v>85</v>
      </c>
      <c r="BY527" s="2">
        <v>16949.650000000001</v>
      </c>
      <c r="BZ527" s="2" t="s">
        <v>27</v>
      </c>
      <c r="CA527" s="2" t="s">
        <v>177</v>
      </c>
      <c r="CC527" s="2" t="s">
        <v>174</v>
      </c>
      <c r="CD527" s="2">
        <v>7405</v>
      </c>
      <c r="CE527" s="2" t="s">
        <v>95</v>
      </c>
      <c r="CF527" s="3">
        <v>43074</v>
      </c>
      <c r="CI527" s="2">
        <v>1</v>
      </c>
      <c r="CJ527" s="2">
        <v>1</v>
      </c>
      <c r="CK527" s="2">
        <v>21</v>
      </c>
      <c r="CL527" s="2" t="s">
        <v>89</v>
      </c>
    </row>
    <row r="528" spans="1:90">
      <c r="A528" s="2" t="s">
        <v>71</v>
      </c>
      <c r="B528" s="2" t="s">
        <v>72</v>
      </c>
      <c r="C528" s="2" t="s">
        <v>73</v>
      </c>
      <c r="E528" s="2" t="str">
        <f>"FES1162593455"</f>
        <v>FES1162593455</v>
      </c>
      <c r="F528" s="3">
        <v>43073</v>
      </c>
      <c r="G528" s="2">
        <v>201806</v>
      </c>
      <c r="H528" s="2" t="s">
        <v>74</v>
      </c>
      <c r="I528" s="2" t="s">
        <v>75</v>
      </c>
      <c r="J528" s="2" t="s">
        <v>97</v>
      </c>
      <c r="K528" s="2" t="s">
        <v>77</v>
      </c>
      <c r="L528" s="2" t="s">
        <v>173</v>
      </c>
      <c r="M528" s="2" t="s">
        <v>174</v>
      </c>
      <c r="N528" s="2" t="s">
        <v>815</v>
      </c>
      <c r="O528" s="2" t="s">
        <v>101</v>
      </c>
      <c r="P528" s="2" t="str">
        <f>"2170604436                    "</f>
        <v xml:space="preserve">2170604436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22.59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7.8</v>
      </c>
      <c r="BJ528" s="2">
        <v>3.4</v>
      </c>
      <c r="BK528" s="2">
        <v>8</v>
      </c>
      <c r="BL528" s="2">
        <v>180.53</v>
      </c>
      <c r="BM528" s="2">
        <v>25.27</v>
      </c>
      <c r="BN528" s="2">
        <v>205.8</v>
      </c>
      <c r="BO528" s="2">
        <v>205.8</v>
      </c>
      <c r="BQ528" s="2" t="s">
        <v>816</v>
      </c>
      <c r="BR528" s="2" t="s">
        <v>103</v>
      </c>
      <c r="BS528" s="3">
        <v>43074</v>
      </c>
      <c r="BT528" s="4">
        <v>0.64166666666666672</v>
      </c>
      <c r="BU528" s="2" t="s">
        <v>1020</v>
      </c>
      <c r="BV528" s="2" t="s">
        <v>89</v>
      </c>
      <c r="BW528" s="2" t="s">
        <v>149</v>
      </c>
      <c r="BX528" s="2" t="s">
        <v>368</v>
      </c>
      <c r="BY528" s="2">
        <v>17148.82</v>
      </c>
      <c r="BZ528" s="2" t="s">
        <v>27</v>
      </c>
      <c r="CA528" s="2" t="s">
        <v>421</v>
      </c>
      <c r="CC528" s="2" t="s">
        <v>174</v>
      </c>
      <c r="CD528" s="2">
        <v>7945</v>
      </c>
      <c r="CE528" s="2" t="s">
        <v>95</v>
      </c>
      <c r="CF528" s="3">
        <v>43074</v>
      </c>
      <c r="CI528" s="2">
        <v>1</v>
      </c>
      <c r="CJ528" s="2">
        <v>1</v>
      </c>
      <c r="CK528" s="2">
        <v>21</v>
      </c>
      <c r="CL528" s="2" t="s">
        <v>89</v>
      </c>
    </row>
    <row r="529" spans="1:90">
      <c r="A529" s="2" t="s">
        <v>71</v>
      </c>
      <c r="B529" s="2" t="s">
        <v>72</v>
      </c>
      <c r="C529" s="2" t="s">
        <v>73</v>
      </c>
      <c r="E529" s="2" t="str">
        <f>"FES1162593180"</f>
        <v>FES1162593180</v>
      </c>
      <c r="F529" s="3">
        <v>43070</v>
      </c>
      <c r="G529" s="2">
        <v>201806</v>
      </c>
      <c r="H529" s="2" t="s">
        <v>74</v>
      </c>
      <c r="I529" s="2" t="s">
        <v>75</v>
      </c>
      <c r="J529" s="2" t="s">
        <v>97</v>
      </c>
      <c r="K529" s="2" t="s">
        <v>77</v>
      </c>
      <c r="L529" s="2" t="s">
        <v>136</v>
      </c>
      <c r="M529" s="2" t="s">
        <v>137</v>
      </c>
      <c r="N529" s="2" t="s">
        <v>540</v>
      </c>
      <c r="O529" s="2" t="s">
        <v>101</v>
      </c>
      <c r="P529" s="2" t="str">
        <f>"2170600717                    "</f>
        <v xml:space="preserve">2170600717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5.65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1</v>
      </c>
      <c r="BJ529" s="2">
        <v>0.2</v>
      </c>
      <c r="BK529" s="2">
        <v>1</v>
      </c>
      <c r="BL529" s="2">
        <v>45.15</v>
      </c>
      <c r="BM529" s="2">
        <v>6.32</v>
      </c>
      <c r="BN529" s="2">
        <v>51.47</v>
      </c>
      <c r="BO529" s="2">
        <v>51.47</v>
      </c>
      <c r="BQ529" s="2" t="s">
        <v>541</v>
      </c>
      <c r="BR529" s="2" t="s">
        <v>103</v>
      </c>
      <c r="BS529" s="3">
        <v>43073</v>
      </c>
      <c r="BT529" s="4">
        <v>0.4201388888888889</v>
      </c>
      <c r="BU529" s="2" t="s">
        <v>554</v>
      </c>
      <c r="BV529" s="2" t="s">
        <v>85</v>
      </c>
      <c r="BY529" s="2">
        <v>1200</v>
      </c>
      <c r="BZ529" s="2" t="s">
        <v>27</v>
      </c>
      <c r="CA529" s="2" t="s">
        <v>767</v>
      </c>
      <c r="CC529" s="2" t="s">
        <v>137</v>
      </c>
      <c r="CD529" s="2">
        <v>6045</v>
      </c>
      <c r="CE529" s="2" t="s">
        <v>120</v>
      </c>
      <c r="CF529" s="3">
        <v>43074</v>
      </c>
      <c r="CI529" s="2">
        <v>1</v>
      </c>
      <c r="CJ529" s="2">
        <v>1</v>
      </c>
      <c r="CK529" s="2">
        <v>21</v>
      </c>
      <c r="CL529" s="2" t="s">
        <v>89</v>
      </c>
    </row>
    <row r="530" spans="1:90">
      <c r="A530" s="2" t="s">
        <v>71</v>
      </c>
      <c r="B530" s="2" t="s">
        <v>72</v>
      </c>
      <c r="C530" s="2" t="s">
        <v>73</v>
      </c>
      <c r="E530" s="2" t="str">
        <f>"FES1162593365"</f>
        <v>FES1162593365</v>
      </c>
      <c r="F530" s="3">
        <v>43073</v>
      </c>
      <c r="G530" s="2">
        <v>201806</v>
      </c>
      <c r="H530" s="2" t="s">
        <v>74</v>
      </c>
      <c r="I530" s="2" t="s">
        <v>75</v>
      </c>
      <c r="J530" s="2" t="s">
        <v>97</v>
      </c>
      <c r="K530" s="2" t="s">
        <v>77</v>
      </c>
      <c r="L530" s="2" t="s">
        <v>1021</v>
      </c>
      <c r="M530" s="2" t="s">
        <v>1022</v>
      </c>
      <c r="N530" s="2" t="s">
        <v>733</v>
      </c>
      <c r="O530" s="2" t="s">
        <v>101</v>
      </c>
      <c r="P530" s="2" t="str">
        <f>"2170602614                    "</f>
        <v xml:space="preserve">2170602614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25.77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4.8</v>
      </c>
      <c r="BJ530" s="2">
        <v>3.5</v>
      </c>
      <c r="BK530" s="2">
        <v>5</v>
      </c>
      <c r="BL530" s="2">
        <v>205.98</v>
      </c>
      <c r="BM530" s="2">
        <v>28.84</v>
      </c>
      <c r="BN530" s="2">
        <v>234.82</v>
      </c>
      <c r="BO530" s="2">
        <v>234.82</v>
      </c>
      <c r="BQ530" s="2" t="s">
        <v>1023</v>
      </c>
      <c r="BR530" s="2" t="s">
        <v>103</v>
      </c>
      <c r="BS530" s="3">
        <v>43074</v>
      </c>
      <c r="BT530" s="4">
        <v>0.39583333333333331</v>
      </c>
      <c r="BU530" s="2" t="s">
        <v>1024</v>
      </c>
      <c r="BV530" s="2" t="s">
        <v>85</v>
      </c>
      <c r="BY530" s="2">
        <v>17572.04</v>
      </c>
      <c r="BZ530" s="2" t="s">
        <v>27</v>
      </c>
      <c r="CA530" s="2" t="s">
        <v>1025</v>
      </c>
      <c r="CC530" s="2" t="s">
        <v>1022</v>
      </c>
      <c r="CD530" s="2">
        <v>9880</v>
      </c>
      <c r="CE530" s="2" t="s">
        <v>95</v>
      </c>
      <c r="CF530" s="3">
        <v>43077</v>
      </c>
      <c r="CI530" s="2">
        <v>1</v>
      </c>
      <c r="CJ530" s="2">
        <v>1</v>
      </c>
      <c r="CK530" s="2">
        <v>23</v>
      </c>
      <c r="CL530" s="2" t="s">
        <v>89</v>
      </c>
    </row>
    <row r="531" spans="1:90">
      <c r="A531" s="2" t="s">
        <v>71</v>
      </c>
      <c r="B531" s="2" t="s">
        <v>72</v>
      </c>
      <c r="C531" s="2" t="s">
        <v>73</v>
      </c>
      <c r="E531" s="2" t="str">
        <f>"FES1162593181"</f>
        <v>FES1162593181</v>
      </c>
      <c r="F531" s="3">
        <v>43070</v>
      </c>
      <c r="G531" s="2">
        <v>201806</v>
      </c>
      <c r="H531" s="2" t="s">
        <v>74</v>
      </c>
      <c r="I531" s="2" t="s">
        <v>75</v>
      </c>
      <c r="J531" s="2" t="s">
        <v>97</v>
      </c>
      <c r="K531" s="2" t="s">
        <v>77</v>
      </c>
      <c r="L531" s="2" t="s">
        <v>145</v>
      </c>
      <c r="M531" s="2" t="s">
        <v>146</v>
      </c>
      <c r="N531" s="2" t="s">
        <v>709</v>
      </c>
      <c r="O531" s="2" t="s">
        <v>101</v>
      </c>
      <c r="P531" s="2" t="str">
        <f>"21706061762                   "</f>
        <v xml:space="preserve">21706061762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5.65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45.15</v>
      </c>
      <c r="BM531" s="2">
        <v>6.32</v>
      </c>
      <c r="BN531" s="2">
        <v>51.47</v>
      </c>
      <c r="BO531" s="2">
        <v>51.47</v>
      </c>
      <c r="BQ531" s="2" t="s">
        <v>102</v>
      </c>
      <c r="BR531" s="2" t="s">
        <v>103</v>
      </c>
      <c r="BS531" s="3">
        <v>43073</v>
      </c>
      <c r="BT531" s="4">
        <v>0.39583333333333331</v>
      </c>
      <c r="BU531" s="2" t="s">
        <v>929</v>
      </c>
      <c r="BV531" s="2" t="s">
        <v>85</v>
      </c>
      <c r="BY531" s="2">
        <v>1200</v>
      </c>
      <c r="BZ531" s="2" t="s">
        <v>27</v>
      </c>
      <c r="CC531" s="2" t="s">
        <v>146</v>
      </c>
      <c r="CD531" s="2">
        <v>5201</v>
      </c>
      <c r="CE531" s="2" t="s">
        <v>120</v>
      </c>
      <c r="CF531" s="3">
        <v>43075</v>
      </c>
      <c r="CI531" s="2">
        <v>1</v>
      </c>
      <c r="CJ531" s="2">
        <v>1</v>
      </c>
      <c r="CK531" s="2">
        <v>21</v>
      </c>
      <c r="CL531" s="2" t="s">
        <v>89</v>
      </c>
    </row>
    <row r="532" spans="1:90">
      <c r="A532" s="2" t="s">
        <v>71</v>
      </c>
      <c r="B532" s="2" t="s">
        <v>72</v>
      </c>
      <c r="C532" s="2" t="s">
        <v>73</v>
      </c>
      <c r="E532" s="2" t="str">
        <f>"FES1162593436"</f>
        <v>FES1162593436</v>
      </c>
      <c r="F532" s="3">
        <v>43073</v>
      </c>
      <c r="G532" s="2">
        <v>201806</v>
      </c>
      <c r="H532" s="2" t="s">
        <v>74</v>
      </c>
      <c r="I532" s="2" t="s">
        <v>75</v>
      </c>
      <c r="J532" s="2" t="s">
        <v>97</v>
      </c>
      <c r="K532" s="2" t="s">
        <v>77</v>
      </c>
      <c r="L532" s="2" t="s">
        <v>98</v>
      </c>
      <c r="M532" s="2" t="s">
        <v>99</v>
      </c>
      <c r="N532" s="2" t="s">
        <v>670</v>
      </c>
      <c r="O532" s="2" t="s">
        <v>101</v>
      </c>
      <c r="P532" s="2" t="str">
        <f>"2170604079                    "</f>
        <v xml:space="preserve">2170604079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36.700000000000003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13</v>
      </c>
      <c r="BJ532" s="2">
        <v>9.4</v>
      </c>
      <c r="BK532" s="2">
        <v>13</v>
      </c>
      <c r="BL532" s="2">
        <v>293.33999999999997</v>
      </c>
      <c r="BM532" s="2">
        <v>41.07</v>
      </c>
      <c r="BN532" s="2">
        <v>334.41</v>
      </c>
      <c r="BO532" s="2">
        <v>334.41</v>
      </c>
      <c r="BQ532" s="2" t="s">
        <v>102</v>
      </c>
      <c r="BR532" s="2" t="s">
        <v>103</v>
      </c>
      <c r="BS532" s="3">
        <v>43074</v>
      </c>
      <c r="BT532" s="4">
        <v>0.39583333333333331</v>
      </c>
      <c r="BU532" s="2" t="s">
        <v>979</v>
      </c>
      <c r="BV532" s="2" t="s">
        <v>85</v>
      </c>
      <c r="BY532" s="2">
        <v>47045.05</v>
      </c>
      <c r="BZ532" s="2" t="s">
        <v>27</v>
      </c>
      <c r="CA532" s="2" t="s">
        <v>105</v>
      </c>
      <c r="CC532" s="2" t="s">
        <v>99</v>
      </c>
      <c r="CD532" s="2">
        <v>3200</v>
      </c>
      <c r="CE532" s="2" t="s">
        <v>95</v>
      </c>
      <c r="CF532" s="3">
        <v>43076</v>
      </c>
      <c r="CI532" s="2">
        <v>1</v>
      </c>
      <c r="CJ532" s="2">
        <v>1</v>
      </c>
      <c r="CK532" s="2">
        <v>21</v>
      </c>
      <c r="CL532" s="2" t="s">
        <v>89</v>
      </c>
    </row>
    <row r="533" spans="1:90">
      <c r="A533" s="2" t="s">
        <v>71</v>
      </c>
      <c r="B533" s="2" t="s">
        <v>72</v>
      </c>
      <c r="C533" s="2" t="s">
        <v>73</v>
      </c>
      <c r="E533" s="2" t="str">
        <f>"FES1162593203"</f>
        <v>FES1162593203</v>
      </c>
      <c r="F533" s="3">
        <v>43070</v>
      </c>
      <c r="G533" s="2">
        <v>201806</v>
      </c>
      <c r="H533" s="2" t="s">
        <v>74</v>
      </c>
      <c r="I533" s="2" t="s">
        <v>75</v>
      </c>
      <c r="J533" s="2" t="s">
        <v>97</v>
      </c>
      <c r="K533" s="2" t="s">
        <v>77</v>
      </c>
      <c r="L533" s="2" t="s">
        <v>136</v>
      </c>
      <c r="M533" s="2" t="s">
        <v>137</v>
      </c>
      <c r="N533" s="2" t="s">
        <v>1026</v>
      </c>
      <c r="O533" s="2" t="s">
        <v>101</v>
      </c>
      <c r="P533" s="2" t="str">
        <f>"2170603388                    "</f>
        <v xml:space="preserve">2170603388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5.65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1</v>
      </c>
      <c r="BJ533" s="2">
        <v>0.2</v>
      </c>
      <c r="BK533" s="2">
        <v>1</v>
      </c>
      <c r="BL533" s="2">
        <v>45.15</v>
      </c>
      <c r="BM533" s="2">
        <v>6.32</v>
      </c>
      <c r="BN533" s="2">
        <v>51.47</v>
      </c>
      <c r="BO533" s="2">
        <v>51.47</v>
      </c>
      <c r="BQ533" s="2" t="s">
        <v>102</v>
      </c>
      <c r="BR533" s="2" t="s">
        <v>103</v>
      </c>
      <c r="BS533" s="3">
        <v>43073</v>
      </c>
      <c r="BT533" s="4">
        <v>0.4375</v>
      </c>
      <c r="BU533" s="2" t="s">
        <v>114</v>
      </c>
      <c r="BV533" s="2" t="s">
        <v>85</v>
      </c>
      <c r="BY533" s="2">
        <v>1200</v>
      </c>
      <c r="BZ533" s="2" t="s">
        <v>27</v>
      </c>
      <c r="CA533" s="2" t="s">
        <v>605</v>
      </c>
      <c r="CC533" s="2" t="s">
        <v>137</v>
      </c>
      <c r="CD533" s="2">
        <v>6001</v>
      </c>
      <c r="CE533" s="2" t="s">
        <v>120</v>
      </c>
      <c r="CF533" s="3">
        <v>43074</v>
      </c>
      <c r="CI533" s="2">
        <v>1</v>
      </c>
      <c r="CJ533" s="2">
        <v>1</v>
      </c>
      <c r="CK533" s="2">
        <v>21</v>
      </c>
      <c r="CL533" s="2" t="s">
        <v>89</v>
      </c>
    </row>
    <row r="534" spans="1:90">
      <c r="A534" s="2" t="s">
        <v>71</v>
      </c>
      <c r="B534" s="2" t="s">
        <v>72</v>
      </c>
      <c r="C534" s="2" t="s">
        <v>73</v>
      </c>
      <c r="E534" s="2" t="str">
        <f>"FES1162593238"</f>
        <v>FES1162593238</v>
      </c>
      <c r="F534" s="3">
        <v>43070</v>
      </c>
      <c r="G534" s="2">
        <v>201806</v>
      </c>
      <c r="H534" s="2" t="s">
        <v>74</v>
      </c>
      <c r="I534" s="2" t="s">
        <v>75</v>
      </c>
      <c r="J534" s="2" t="s">
        <v>97</v>
      </c>
      <c r="K534" s="2" t="s">
        <v>77</v>
      </c>
      <c r="L534" s="2" t="s">
        <v>136</v>
      </c>
      <c r="M534" s="2" t="s">
        <v>137</v>
      </c>
      <c r="N534" s="2" t="s">
        <v>178</v>
      </c>
      <c r="O534" s="2" t="s">
        <v>101</v>
      </c>
      <c r="P534" s="2" t="str">
        <f>"2170605534                    "</f>
        <v xml:space="preserve">2170605534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5.65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</v>
      </c>
      <c r="BJ534" s="2">
        <v>0.2</v>
      </c>
      <c r="BK534" s="2">
        <v>1</v>
      </c>
      <c r="BL534" s="2">
        <v>45.15</v>
      </c>
      <c r="BM534" s="2">
        <v>6.32</v>
      </c>
      <c r="BN534" s="2">
        <v>51.47</v>
      </c>
      <c r="BO534" s="2">
        <v>51.47</v>
      </c>
      <c r="BQ534" s="2" t="s">
        <v>102</v>
      </c>
      <c r="BR534" s="2" t="s">
        <v>103</v>
      </c>
      <c r="BS534" s="3">
        <v>43073</v>
      </c>
      <c r="BT534" s="4">
        <v>0.41666666666666669</v>
      </c>
      <c r="BU534" s="2" t="s">
        <v>179</v>
      </c>
      <c r="BV534" s="2" t="s">
        <v>85</v>
      </c>
      <c r="BY534" s="2">
        <v>1200</v>
      </c>
      <c r="BZ534" s="2" t="s">
        <v>27</v>
      </c>
      <c r="CA534" s="2" t="s">
        <v>180</v>
      </c>
      <c r="CC534" s="2" t="s">
        <v>137</v>
      </c>
      <c r="CD534" s="2">
        <v>6001</v>
      </c>
      <c r="CE534" s="2" t="s">
        <v>120</v>
      </c>
      <c r="CF534" s="3">
        <v>43074</v>
      </c>
      <c r="CI534" s="2">
        <v>1</v>
      </c>
      <c r="CJ534" s="2">
        <v>1</v>
      </c>
      <c r="CK534" s="2">
        <v>21</v>
      </c>
      <c r="CL534" s="2" t="s">
        <v>89</v>
      </c>
    </row>
    <row r="535" spans="1:90">
      <c r="A535" s="2" t="s">
        <v>71</v>
      </c>
      <c r="B535" s="2" t="s">
        <v>72</v>
      </c>
      <c r="C535" s="2" t="s">
        <v>73</v>
      </c>
      <c r="E535" s="2" t="str">
        <f>"FES1162593322"</f>
        <v>FES1162593322</v>
      </c>
      <c r="F535" s="3">
        <v>43073</v>
      </c>
      <c r="G535" s="2">
        <v>201806</v>
      </c>
      <c r="H535" s="2" t="s">
        <v>74</v>
      </c>
      <c r="I535" s="2" t="s">
        <v>75</v>
      </c>
      <c r="J535" s="2" t="s">
        <v>97</v>
      </c>
      <c r="K535" s="2" t="s">
        <v>77</v>
      </c>
      <c r="L535" s="2" t="s">
        <v>173</v>
      </c>
      <c r="M535" s="2" t="s">
        <v>174</v>
      </c>
      <c r="N535" s="2" t="s">
        <v>376</v>
      </c>
      <c r="O535" s="2" t="s">
        <v>101</v>
      </c>
      <c r="P535" s="2" t="str">
        <f>"2170601772                    "</f>
        <v xml:space="preserve">2170601772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5.65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1.7</v>
      </c>
      <c r="BJ535" s="2">
        <v>0.9</v>
      </c>
      <c r="BK535" s="2">
        <v>2</v>
      </c>
      <c r="BL535" s="2">
        <v>45.15</v>
      </c>
      <c r="BM535" s="2">
        <v>6.32</v>
      </c>
      <c r="BN535" s="2">
        <v>51.47</v>
      </c>
      <c r="BO535" s="2">
        <v>51.47</v>
      </c>
      <c r="BQ535" s="2" t="s">
        <v>102</v>
      </c>
      <c r="BR535" s="2" t="s">
        <v>103</v>
      </c>
      <c r="BS535" s="3">
        <v>43074</v>
      </c>
      <c r="BT535" s="4">
        <v>0.49652777777777773</v>
      </c>
      <c r="BU535" s="2" t="s">
        <v>536</v>
      </c>
      <c r="BV535" s="2" t="s">
        <v>89</v>
      </c>
      <c r="BW535" s="2" t="s">
        <v>149</v>
      </c>
      <c r="BX535" s="2" t="s">
        <v>246</v>
      </c>
      <c r="BY535" s="2">
        <v>4501.42</v>
      </c>
      <c r="BZ535" s="2" t="s">
        <v>27</v>
      </c>
      <c r="CA535" s="2" t="s">
        <v>537</v>
      </c>
      <c r="CC535" s="2" t="s">
        <v>174</v>
      </c>
      <c r="CD535" s="2">
        <v>7490</v>
      </c>
      <c r="CE535" s="2" t="s">
        <v>87</v>
      </c>
      <c r="CF535" s="3">
        <v>43075</v>
      </c>
      <c r="CI535" s="2">
        <v>1</v>
      </c>
      <c r="CJ535" s="2">
        <v>1</v>
      </c>
      <c r="CK535" s="2">
        <v>21</v>
      </c>
      <c r="CL535" s="2" t="s">
        <v>89</v>
      </c>
    </row>
    <row r="536" spans="1:90">
      <c r="A536" s="2" t="s">
        <v>71</v>
      </c>
      <c r="B536" s="2" t="s">
        <v>72</v>
      </c>
      <c r="C536" s="2" t="s">
        <v>73</v>
      </c>
      <c r="E536" s="2" t="str">
        <f>"FES1162593177"</f>
        <v>FES1162593177</v>
      </c>
      <c r="F536" s="3">
        <v>43070</v>
      </c>
      <c r="G536" s="2">
        <v>201806</v>
      </c>
      <c r="H536" s="2" t="s">
        <v>74</v>
      </c>
      <c r="I536" s="2" t="s">
        <v>75</v>
      </c>
      <c r="J536" s="2" t="s">
        <v>97</v>
      </c>
      <c r="K536" s="2" t="s">
        <v>77</v>
      </c>
      <c r="L536" s="2" t="s">
        <v>136</v>
      </c>
      <c r="M536" s="2" t="s">
        <v>137</v>
      </c>
      <c r="N536" s="2" t="s">
        <v>138</v>
      </c>
      <c r="O536" s="2" t="s">
        <v>101</v>
      </c>
      <c r="P536" s="2" t="str">
        <f>"217060598418                  "</f>
        <v xml:space="preserve">217060598418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5.65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</v>
      </c>
      <c r="BJ536" s="2">
        <v>0.2</v>
      </c>
      <c r="BK536" s="2">
        <v>1</v>
      </c>
      <c r="BL536" s="2">
        <v>45.15</v>
      </c>
      <c r="BM536" s="2">
        <v>6.32</v>
      </c>
      <c r="BN536" s="2">
        <v>51.47</v>
      </c>
      <c r="BO536" s="2">
        <v>51.47</v>
      </c>
      <c r="BQ536" s="2" t="s">
        <v>82</v>
      </c>
      <c r="BR536" s="2" t="s">
        <v>103</v>
      </c>
      <c r="BS536" s="3">
        <v>43073</v>
      </c>
      <c r="BT536" s="4">
        <v>0.35416666666666669</v>
      </c>
      <c r="BU536" s="2" t="s">
        <v>139</v>
      </c>
      <c r="BV536" s="2" t="s">
        <v>85</v>
      </c>
      <c r="BY536" s="2">
        <v>1200</v>
      </c>
      <c r="BZ536" s="2" t="s">
        <v>27</v>
      </c>
      <c r="CA536" s="2" t="s">
        <v>140</v>
      </c>
      <c r="CC536" s="2" t="s">
        <v>137</v>
      </c>
      <c r="CD536" s="2">
        <v>6001</v>
      </c>
      <c r="CE536" s="2" t="s">
        <v>120</v>
      </c>
      <c r="CF536" s="3">
        <v>43074</v>
      </c>
      <c r="CI536" s="2">
        <v>1</v>
      </c>
      <c r="CJ536" s="2">
        <v>1</v>
      </c>
      <c r="CK536" s="2">
        <v>21</v>
      </c>
      <c r="CL536" s="2" t="s">
        <v>89</v>
      </c>
    </row>
    <row r="537" spans="1:90">
      <c r="A537" s="2" t="s">
        <v>71</v>
      </c>
      <c r="B537" s="2" t="s">
        <v>72</v>
      </c>
      <c r="C537" s="2" t="s">
        <v>73</v>
      </c>
      <c r="E537" s="2" t="str">
        <f>"FES1162593398"</f>
        <v>FES1162593398</v>
      </c>
      <c r="F537" s="3">
        <v>43073</v>
      </c>
      <c r="G537" s="2">
        <v>201806</v>
      </c>
      <c r="H537" s="2" t="s">
        <v>74</v>
      </c>
      <c r="I537" s="2" t="s">
        <v>75</v>
      </c>
      <c r="J537" s="2" t="s">
        <v>97</v>
      </c>
      <c r="K537" s="2" t="s">
        <v>77</v>
      </c>
      <c r="L537" s="2" t="s">
        <v>1027</v>
      </c>
      <c r="M537" s="2" t="s">
        <v>1028</v>
      </c>
      <c r="N537" s="2" t="s">
        <v>1029</v>
      </c>
      <c r="O537" s="2" t="s">
        <v>101</v>
      </c>
      <c r="P537" s="2" t="str">
        <f>"2170603135                    "</f>
        <v xml:space="preserve">2170603135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5.65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1</v>
      </c>
      <c r="BJ537" s="2">
        <v>0.2</v>
      </c>
      <c r="BK537" s="2">
        <v>1</v>
      </c>
      <c r="BL537" s="2">
        <v>45.15</v>
      </c>
      <c r="BM537" s="2">
        <v>6.32</v>
      </c>
      <c r="BN537" s="2">
        <v>51.47</v>
      </c>
      <c r="BO537" s="2">
        <v>51.47</v>
      </c>
      <c r="BQ537" s="2" t="s">
        <v>102</v>
      </c>
      <c r="BR537" s="2" t="s">
        <v>103</v>
      </c>
      <c r="BS537" s="3">
        <v>43075</v>
      </c>
      <c r="BT537" s="4">
        <v>0.5625</v>
      </c>
      <c r="BU537" s="2" t="s">
        <v>1030</v>
      </c>
      <c r="BV537" s="2" t="s">
        <v>85</v>
      </c>
      <c r="BY537" s="2">
        <v>1200</v>
      </c>
      <c r="BZ537" s="2" t="s">
        <v>27</v>
      </c>
      <c r="CA537" s="2" t="s">
        <v>494</v>
      </c>
      <c r="CC537" s="2" t="s">
        <v>1028</v>
      </c>
      <c r="CD537" s="2">
        <v>3760</v>
      </c>
      <c r="CE537" s="2" t="s">
        <v>120</v>
      </c>
      <c r="CF537" s="3">
        <v>43076</v>
      </c>
      <c r="CI537" s="2">
        <v>4</v>
      </c>
      <c r="CJ537" s="2">
        <v>2</v>
      </c>
      <c r="CK537" s="2">
        <v>21</v>
      </c>
      <c r="CL537" s="2" t="s">
        <v>89</v>
      </c>
    </row>
    <row r="538" spans="1:90">
      <c r="A538" s="2" t="s">
        <v>71</v>
      </c>
      <c r="B538" s="2" t="s">
        <v>72</v>
      </c>
      <c r="C538" s="2" t="s">
        <v>73</v>
      </c>
      <c r="E538" s="2" t="str">
        <f>"FES1162593210"</f>
        <v>FES1162593210</v>
      </c>
      <c r="F538" s="3">
        <v>43070</v>
      </c>
      <c r="G538" s="2">
        <v>201806</v>
      </c>
      <c r="H538" s="2" t="s">
        <v>74</v>
      </c>
      <c r="I538" s="2" t="s">
        <v>75</v>
      </c>
      <c r="J538" s="2" t="s">
        <v>97</v>
      </c>
      <c r="K538" s="2" t="s">
        <v>77</v>
      </c>
      <c r="L538" s="2" t="s">
        <v>136</v>
      </c>
      <c r="M538" s="2" t="s">
        <v>137</v>
      </c>
      <c r="N538" s="2" t="s">
        <v>823</v>
      </c>
      <c r="O538" s="2" t="s">
        <v>101</v>
      </c>
      <c r="P538" s="2" t="str">
        <f>"2170603921                    "</f>
        <v xml:space="preserve">2170603921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5.65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</v>
      </c>
      <c r="BJ538" s="2">
        <v>0.2</v>
      </c>
      <c r="BK538" s="2">
        <v>1</v>
      </c>
      <c r="BL538" s="2">
        <v>45.15</v>
      </c>
      <c r="BM538" s="2">
        <v>6.32</v>
      </c>
      <c r="BN538" s="2">
        <v>51.47</v>
      </c>
      <c r="BO538" s="2">
        <v>51.47</v>
      </c>
      <c r="BQ538" s="2" t="s">
        <v>924</v>
      </c>
      <c r="BR538" s="2" t="s">
        <v>103</v>
      </c>
      <c r="BS538" s="3">
        <v>43073</v>
      </c>
      <c r="BT538" s="4">
        <v>0.48958333333333331</v>
      </c>
      <c r="BU538" s="2" t="s">
        <v>1031</v>
      </c>
      <c r="BV538" s="2" t="s">
        <v>89</v>
      </c>
      <c r="BW538" s="2" t="s">
        <v>156</v>
      </c>
      <c r="BX538" s="2" t="s">
        <v>314</v>
      </c>
      <c r="BY538" s="2">
        <v>1200</v>
      </c>
      <c r="BZ538" s="2" t="s">
        <v>27</v>
      </c>
      <c r="CA538" s="2" t="s">
        <v>180</v>
      </c>
      <c r="CC538" s="2" t="s">
        <v>137</v>
      </c>
      <c r="CD538" s="2">
        <v>6001</v>
      </c>
      <c r="CE538" s="2" t="s">
        <v>120</v>
      </c>
      <c r="CF538" s="3">
        <v>43074</v>
      </c>
      <c r="CI538" s="2">
        <v>1</v>
      </c>
      <c r="CJ538" s="2">
        <v>1</v>
      </c>
      <c r="CK538" s="2">
        <v>21</v>
      </c>
      <c r="CL538" s="2" t="s">
        <v>89</v>
      </c>
    </row>
    <row r="539" spans="1:90">
      <c r="A539" s="2" t="s">
        <v>71</v>
      </c>
      <c r="B539" s="2" t="s">
        <v>72</v>
      </c>
      <c r="C539" s="2" t="s">
        <v>73</v>
      </c>
      <c r="E539" s="2" t="str">
        <f>"FES1162593314"</f>
        <v>FES1162593314</v>
      </c>
      <c r="F539" s="3">
        <v>43073</v>
      </c>
      <c r="G539" s="2">
        <v>201806</v>
      </c>
      <c r="H539" s="2" t="s">
        <v>74</v>
      </c>
      <c r="I539" s="2" t="s">
        <v>75</v>
      </c>
      <c r="J539" s="2" t="s">
        <v>97</v>
      </c>
      <c r="K539" s="2" t="s">
        <v>77</v>
      </c>
      <c r="L539" s="2" t="s">
        <v>98</v>
      </c>
      <c r="M539" s="2" t="s">
        <v>99</v>
      </c>
      <c r="N539" s="2" t="s">
        <v>1032</v>
      </c>
      <c r="O539" s="2" t="s">
        <v>101</v>
      </c>
      <c r="P539" s="2" t="str">
        <f>"2170601823                    "</f>
        <v xml:space="preserve">2170601823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5.65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</v>
      </c>
      <c r="BJ539" s="2">
        <v>0.2</v>
      </c>
      <c r="BK539" s="2">
        <v>1</v>
      </c>
      <c r="BL539" s="2">
        <v>45.15</v>
      </c>
      <c r="BM539" s="2">
        <v>6.32</v>
      </c>
      <c r="BN539" s="2">
        <v>51.47</v>
      </c>
      <c r="BO539" s="2">
        <v>51.47</v>
      </c>
      <c r="BQ539" s="2" t="s">
        <v>102</v>
      </c>
      <c r="BR539" s="2" t="s">
        <v>103</v>
      </c>
      <c r="BS539" s="3">
        <v>43074</v>
      </c>
      <c r="BT539" s="4">
        <v>0.3888888888888889</v>
      </c>
      <c r="BU539" s="2" t="s">
        <v>1033</v>
      </c>
      <c r="BV539" s="2" t="s">
        <v>85</v>
      </c>
      <c r="BY539" s="2">
        <v>1200</v>
      </c>
      <c r="BZ539" s="2" t="s">
        <v>27</v>
      </c>
      <c r="CA539" s="2" t="s">
        <v>497</v>
      </c>
      <c r="CC539" s="2" t="s">
        <v>99</v>
      </c>
      <c r="CD539" s="2">
        <v>3201</v>
      </c>
      <c r="CE539" s="2" t="s">
        <v>120</v>
      </c>
      <c r="CF539" s="3">
        <v>43076</v>
      </c>
      <c r="CI539" s="2">
        <v>1</v>
      </c>
      <c r="CJ539" s="2">
        <v>1</v>
      </c>
      <c r="CK539" s="2">
        <v>21</v>
      </c>
      <c r="CL539" s="2" t="s">
        <v>89</v>
      </c>
    </row>
    <row r="540" spans="1:90">
      <c r="A540" s="2" t="s">
        <v>71</v>
      </c>
      <c r="B540" s="2" t="s">
        <v>72</v>
      </c>
      <c r="C540" s="2" t="s">
        <v>73</v>
      </c>
      <c r="E540" s="2" t="str">
        <f>"FES1162593199"</f>
        <v>FES1162593199</v>
      </c>
      <c r="F540" s="3">
        <v>43070</v>
      </c>
      <c r="G540" s="2">
        <v>201806</v>
      </c>
      <c r="H540" s="2" t="s">
        <v>74</v>
      </c>
      <c r="I540" s="2" t="s">
        <v>75</v>
      </c>
      <c r="J540" s="2" t="s">
        <v>97</v>
      </c>
      <c r="K540" s="2" t="s">
        <v>77</v>
      </c>
      <c r="L540" s="2" t="s">
        <v>173</v>
      </c>
      <c r="M540" s="2" t="s">
        <v>174</v>
      </c>
      <c r="N540" s="2" t="s">
        <v>376</v>
      </c>
      <c r="O540" s="2" t="s">
        <v>101</v>
      </c>
      <c r="P540" s="2" t="str">
        <f>"2170603258                    "</f>
        <v xml:space="preserve">2170603258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5.65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1</v>
      </c>
      <c r="BJ540" s="2">
        <v>0.2</v>
      </c>
      <c r="BK540" s="2">
        <v>1</v>
      </c>
      <c r="BL540" s="2">
        <v>45.15</v>
      </c>
      <c r="BM540" s="2">
        <v>6.32</v>
      </c>
      <c r="BN540" s="2">
        <v>51.47</v>
      </c>
      <c r="BO540" s="2">
        <v>51.47</v>
      </c>
      <c r="BQ540" s="2" t="s">
        <v>102</v>
      </c>
      <c r="BR540" s="2" t="s">
        <v>103</v>
      </c>
      <c r="BS540" s="3">
        <v>43073</v>
      </c>
      <c r="BT540" s="4">
        <v>0.41180555555555554</v>
      </c>
      <c r="BU540" s="2" t="s">
        <v>1018</v>
      </c>
      <c r="BV540" s="2" t="s">
        <v>85</v>
      </c>
      <c r="BY540" s="2">
        <v>1200</v>
      </c>
      <c r="BZ540" s="2" t="s">
        <v>27</v>
      </c>
      <c r="CA540" s="2" t="s">
        <v>378</v>
      </c>
      <c r="CC540" s="2" t="s">
        <v>174</v>
      </c>
      <c r="CD540" s="2">
        <v>7490</v>
      </c>
      <c r="CE540" s="2" t="s">
        <v>120</v>
      </c>
      <c r="CF540" s="3">
        <v>43074</v>
      </c>
      <c r="CI540" s="2">
        <v>1</v>
      </c>
      <c r="CJ540" s="2">
        <v>1</v>
      </c>
      <c r="CK540" s="2">
        <v>21</v>
      </c>
      <c r="CL540" s="2" t="s">
        <v>89</v>
      </c>
    </row>
    <row r="541" spans="1:90">
      <c r="A541" s="2" t="s">
        <v>71</v>
      </c>
      <c r="B541" s="2" t="s">
        <v>72</v>
      </c>
      <c r="C541" s="2" t="s">
        <v>73</v>
      </c>
      <c r="E541" s="2" t="str">
        <f>"FES1162593366"</f>
        <v>FES1162593366</v>
      </c>
      <c r="F541" s="3">
        <v>43073</v>
      </c>
      <c r="G541" s="2">
        <v>201806</v>
      </c>
      <c r="H541" s="2" t="s">
        <v>74</v>
      </c>
      <c r="I541" s="2" t="s">
        <v>75</v>
      </c>
      <c r="J541" s="2" t="s">
        <v>97</v>
      </c>
      <c r="K541" s="2" t="s">
        <v>77</v>
      </c>
      <c r="L541" s="2" t="s">
        <v>125</v>
      </c>
      <c r="M541" s="2" t="s">
        <v>126</v>
      </c>
      <c r="N541" s="2" t="s">
        <v>1034</v>
      </c>
      <c r="O541" s="2" t="s">
        <v>101</v>
      </c>
      <c r="P541" s="2" t="str">
        <f>"2170602630                    "</f>
        <v xml:space="preserve">2170602630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5.65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1</v>
      </c>
      <c r="BJ541" s="2">
        <v>0.2</v>
      </c>
      <c r="BK541" s="2">
        <v>1</v>
      </c>
      <c r="BL541" s="2">
        <v>45.15</v>
      </c>
      <c r="BM541" s="2">
        <v>6.32</v>
      </c>
      <c r="BN541" s="2">
        <v>51.47</v>
      </c>
      <c r="BO541" s="2">
        <v>51.47</v>
      </c>
      <c r="BQ541" s="2" t="s">
        <v>128</v>
      </c>
      <c r="BR541" s="2" t="s">
        <v>103</v>
      </c>
      <c r="BS541" s="3">
        <v>43074</v>
      </c>
      <c r="BT541" s="4">
        <v>0.4513888888888889</v>
      </c>
      <c r="BU541" s="2" t="s">
        <v>1035</v>
      </c>
      <c r="BV541" s="2" t="s">
        <v>85</v>
      </c>
      <c r="BY541" s="2">
        <v>1200</v>
      </c>
      <c r="BZ541" s="2" t="s">
        <v>27</v>
      </c>
      <c r="CA541" s="2" t="s">
        <v>225</v>
      </c>
      <c r="CC541" s="2" t="s">
        <v>126</v>
      </c>
      <c r="CD541" s="2">
        <v>4001</v>
      </c>
      <c r="CE541" s="2" t="s">
        <v>383</v>
      </c>
      <c r="CF541" s="3">
        <v>43075</v>
      </c>
      <c r="CI541" s="2">
        <v>1</v>
      </c>
      <c r="CJ541" s="2">
        <v>1</v>
      </c>
      <c r="CK541" s="2">
        <v>21</v>
      </c>
      <c r="CL541" s="2" t="s">
        <v>89</v>
      </c>
    </row>
    <row r="542" spans="1:90">
      <c r="A542" s="2" t="s">
        <v>71</v>
      </c>
      <c r="B542" s="2" t="s">
        <v>72</v>
      </c>
      <c r="C542" s="2" t="s">
        <v>73</v>
      </c>
      <c r="E542" s="2" t="str">
        <f>"FES1162593121"</f>
        <v>FES1162593121</v>
      </c>
      <c r="F542" s="3">
        <v>43070</v>
      </c>
      <c r="G542" s="2">
        <v>201806</v>
      </c>
      <c r="H542" s="2" t="s">
        <v>74</v>
      </c>
      <c r="I542" s="2" t="s">
        <v>75</v>
      </c>
      <c r="J542" s="2" t="s">
        <v>97</v>
      </c>
      <c r="K542" s="2" t="s">
        <v>77</v>
      </c>
      <c r="L542" s="2" t="s">
        <v>212</v>
      </c>
      <c r="M542" s="2" t="s">
        <v>212</v>
      </c>
      <c r="N542" s="2" t="s">
        <v>370</v>
      </c>
      <c r="O542" s="2" t="s">
        <v>101</v>
      </c>
      <c r="P542" s="2" t="str">
        <f>"2170602827                    "</f>
        <v xml:space="preserve">2170602827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5.65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</v>
      </c>
      <c r="BJ542" s="2">
        <v>0.2</v>
      </c>
      <c r="BK542" s="2">
        <v>1</v>
      </c>
      <c r="BL542" s="2">
        <v>45.15</v>
      </c>
      <c r="BM542" s="2">
        <v>6.32</v>
      </c>
      <c r="BN542" s="2">
        <v>51.47</v>
      </c>
      <c r="BO542" s="2">
        <v>51.47</v>
      </c>
      <c r="BQ542" s="2" t="s">
        <v>102</v>
      </c>
      <c r="BR542" s="2" t="s">
        <v>103</v>
      </c>
      <c r="BS542" s="3">
        <v>43073</v>
      </c>
      <c r="BT542" s="4">
        <v>0.58333333333333337</v>
      </c>
      <c r="BU542" s="2" t="s">
        <v>538</v>
      </c>
      <c r="BV542" s="2" t="s">
        <v>89</v>
      </c>
      <c r="BW542" s="2" t="s">
        <v>313</v>
      </c>
      <c r="BX542" s="2" t="s">
        <v>368</v>
      </c>
      <c r="BY542" s="2">
        <v>1200</v>
      </c>
      <c r="BZ542" s="2" t="s">
        <v>27</v>
      </c>
      <c r="CA542" s="2" t="s">
        <v>532</v>
      </c>
      <c r="CC542" s="2" t="s">
        <v>212</v>
      </c>
      <c r="CD542" s="2">
        <v>7646</v>
      </c>
      <c r="CE542" s="2" t="s">
        <v>120</v>
      </c>
      <c r="CF542" s="3">
        <v>43074</v>
      </c>
      <c r="CI542" s="2">
        <v>1</v>
      </c>
      <c r="CJ542" s="2">
        <v>1</v>
      </c>
      <c r="CK542" s="2">
        <v>21</v>
      </c>
      <c r="CL542" s="2" t="s">
        <v>89</v>
      </c>
    </row>
    <row r="543" spans="1:90">
      <c r="A543" s="2" t="s">
        <v>71</v>
      </c>
      <c r="B543" s="2" t="s">
        <v>72</v>
      </c>
      <c r="C543" s="2" t="s">
        <v>73</v>
      </c>
      <c r="E543" s="2" t="str">
        <f>"FES1162593321"</f>
        <v>FES1162593321</v>
      </c>
      <c r="F543" s="3">
        <v>43073</v>
      </c>
      <c r="G543" s="2">
        <v>201806</v>
      </c>
      <c r="H543" s="2" t="s">
        <v>74</v>
      </c>
      <c r="I543" s="2" t="s">
        <v>75</v>
      </c>
      <c r="J543" s="2" t="s">
        <v>97</v>
      </c>
      <c r="K543" s="2" t="s">
        <v>77</v>
      </c>
      <c r="L543" s="2" t="s">
        <v>262</v>
      </c>
      <c r="M543" s="2" t="s">
        <v>263</v>
      </c>
      <c r="N543" s="2" t="s">
        <v>609</v>
      </c>
      <c r="O543" s="2" t="s">
        <v>101</v>
      </c>
      <c r="P543" s="2" t="str">
        <f>"2170602026                    "</f>
        <v xml:space="preserve">2170602026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5.65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45.15</v>
      </c>
      <c r="BM543" s="2">
        <v>6.32</v>
      </c>
      <c r="BN543" s="2">
        <v>51.47</v>
      </c>
      <c r="BO543" s="2">
        <v>51.47</v>
      </c>
      <c r="BQ543" s="2" t="s">
        <v>82</v>
      </c>
      <c r="BR543" s="2" t="s">
        <v>103</v>
      </c>
      <c r="BS543" s="3">
        <v>43074</v>
      </c>
      <c r="BT543" s="4">
        <v>0.31319444444444444</v>
      </c>
      <c r="BU543" s="2" t="s">
        <v>610</v>
      </c>
      <c r="BV543" s="2" t="s">
        <v>85</v>
      </c>
      <c r="BY543" s="2">
        <v>1200</v>
      </c>
      <c r="BZ543" s="2" t="s">
        <v>27</v>
      </c>
      <c r="CA543" s="2" t="s">
        <v>611</v>
      </c>
      <c r="CC543" s="2" t="s">
        <v>263</v>
      </c>
      <c r="CD543" s="2">
        <v>6229</v>
      </c>
      <c r="CE543" s="2" t="s">
        <v>120</v>
      </c>
      <c r="CF543" s="3">
        <v>43075</v>
      </c>
      <c r="CI543" s="2">
        <v>1</v>
      </c>
      <c r="CJ543" s="2">
        <v>1</v>
      </c>
      <c r="CK543" s="2">
        <v>21</v>
      </c>
      <c r="CL543" s="2" t="s">
        <v>89</v>
      </c>
    </row>
    <row r="544" spans="1:90">
      <c r="A544" s="2" t="s">
        <v>71</v>
      </c>
      <c r="B544" s="2" t="s">
        <v>72</v>
      </c>
      <c r="C544" s="2" t="s">
        <v>73</v>
      </c>
      <c r="E544" s="2" t="str">
        <f>"FES1162593128"</f>
        <v>FES1162593128</v>
      </c>
      <c r="F544" s="3">
        <v>43070</v>
      </c>
      <c r="G544" s="2">
        <v>201806</v>
      </c>
      <c r="H544" s="2" t="s">
        <v>74</v>
      </c>
      <c r="I544" s="2" t="s">
        <v>75</v>
      </c>
      <c r="J544" s="2" t="s">
        <v>97</v>
      </c>
      <c r="K544" s="2" t="s">
        <v>77</v>
      </c>
      <c r="L544" s="2" t="s">
        <v>173</v>
      </c>
      <c r="M544" s="2" t="s">
        <v>174</v>
      </c>
      <c r="N544" s="2" t="s">
        <v>349</v>
      </c>
      <c r="O544" s="2" t="s">
        <v>101</v>
      </c>
      <c r="P544" s="2" t="str">
        <f>"2170602972                    "</f>
        <v xml:space="preserve">2170602972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5.65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1</v>
      </c>
      <c r="BJ544" s="2">
        <v>0.2</v>
      </c>
      <c r="BK544" s="2">
        <v>1</v>
      </c>
      <c r="BL544" s="2">
        <v>45.15</v>
      </c>
      <c r="BM544" s="2">
        <v>6.32</v>
      </c>
      <c r="BN544" s="2">
        <v>51.47</v>
      </c>
      <c r="BO544" s="2">
        <v>51.47</v>
      </c>
      <c r="BQ544" s="2" t="s">
        <v>879</v>
      </c>
      <c r="BR544" s="2" t="s">
        <v>103</v>
      </c>
      <c r="BS544" s="3">
        <v>43073</v>
      </c>
      <c r="BT544" s="4">
        <v>0.41666666666666669</v>
      </c>
      <c r="BU544" s="2" t="s">
        <v>1036</v>
      </c>
      <c r="BV544" s="2" t="s">
        <v>85</v>
      </c>
      <c r="BY544" s="2">
        <v>1200</v>
      </c>
      <c r="BZ544" s="2" t="s">
        <v>27</v>
      </c>
      <c r="CA544" s="2" t="s">
        <v>1037</v>
      </c>
      <c r="CC544" s="2" t="s">
        <v>174</v>
      </c>
      <c r="CD544" s="2">
        <v>7800</v>
      </c>
      <c r="CE544" s="2" t="s">
        <v>120</v>
      </c>
      <c r="CF544" s="3">
        <v>43074</v>
      </c>
      <c r="CI544" s="2">
        <v>1</v>
      </c>
      <c r="CJ544" s="2">
        <v>1</v>
      </c>
      <c r="CK544" s="2">
        <v>21</v>
      </c>
      <c r="CL544" s="2" t="s">
        <v>89</v>
      </c>
    </row>
    <row r="545" spans="1:90">
      <c r="A545" s="2" t="s">
        <v>71</v>
      </c>
      <c r="B545" s="2" t="s">
        <v>72</v>
      </c>
      <c r="C545" s="2" t="s">
        <v>73</v>
      </c>
      <c r="E545" s="2" t="str">
        <f>"FES1162593618"</f>
        <v>FES1162593618</v>
      </c>
      <c r="F545" s="3">
        <v>43073</v>
      </c>
      <c r="G545" s="2">
        <v>201806</v>
      </c>
      <c r="H545" s="2" t="s">
        <v>74</v>
      </c>
      <c r="I545" s="2" t="s">
        <v>75</v>
      </c>
      <c r="J545" s="2" t="s">
        <v>97</v>
      </c>
      <c r="K545" s="2" t="s">
        <v>77</v>
      </c>
      <c r="L545" s="2" t="s">
        <v>111</v>
      </c>
      <c r="M545" s="2" t="s">
        <v>112</v>
      </c>
      <c r="N545" s="2" t="s">
        <v>694</v>
      </c>
      <c r="O545" s="2" t="s">
        <v>101</v>
      </c>
      <c r="P545" s="2" t="str">
        <f>"2170605731                    "</f>
        <v xml:space="preserve">2170605731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5.65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45.15</v>
      </c>
      <c r="BM545" s="2">
        <v>6.32</v>
      </c>
      <c r="BN545" s="2">
        <v>51.47</v>
      </c>
      <c r="BO545" s="2">
        <v>51.47</v>
      </c>
      <c r="BQ545" s="2" t="s">
        <v>102</v>
      </c>
      <c r="BR545" s="2" t="s">
        <v>103</v>
      </c>
      <c r="BS545" s="3">
        <v>43074</v>
      </c>
      <c r="BT545" s="4">
        <v>0.34027777777777773</v>
      </c>
      <c r="BU545" s="2" t="s">
        <v>114</v>
      </c>
      <c r="BV545" s="2" t="s">
        <v>85</v>
      </c>
      <c r="BY545" s="2">
        <v>1200</v>
      </c>
      <c r="BZ545" s="2" t="s">
        <v>27</v>
      </c>
      <c r="CA545" s="2" t="s">
        <v>605</v>
      </c>
      <c r="CC545" s="2" t="s">
        <v>112</v>
      </c>
      <c r="CD545" s="2">
        <v>6220</v>
      </c>
      <c r="CE545" s="2" t="s">
        <v>120</v>
      </c>
      <c r="CF545" s="3">
        <v>43075</v>
      </c>
      <c r="CI545" s="2">
        <v>1</v>
      </c>
      <c r="CJ545" s="2">
        <v>1</v>
      </c>
      <c r="CK545" s="2">
        <v>21</v>
      </c>
      <c r="CL545" s="2" t="s">
        <v>89</v>
      </c>
    </row>
    <row r="546" spans="1:90">
      <c r="A546" s="2" t="s">
        <v>71</v>
      </c>
      <c r="B546" s="2" t="s">
        <v>72</v>
      </c>
      <c r="C546" s="2" t="s">
        <v>73</v>
      </c>
      <c r="E546" s="2" t="str">
        <f>"FES1162593200"</f>
        <v>FES1162593200</v>
      </c>
      <c r="F546" s="3">
        <v>43070</v>
      </c>
      <c r="G546" s="2">
        <v>201806</v>
      </c>
      <c r="H546" s="2" t="s">
        <v>74</v>
      </c>
      <c r="I546" s="2" t="s">
        <v>75</v>
      </c>
      <c r="J546" s="2" t="s">
        <v>97</v>
      </c>
      <c r="K546" s="2" t="s">
        <v>77</v>
      </c>
      <c r="L546" s="2" t="s">
        <v>173</v>
      </c>
      <c r="M546" s="2" t="s">
        <v>174</v>
      </c>
      <c r="N546" s="2" t="s">
        <v>876</v>
      </c>
      <c r="O546" s="2" t="s">
        <v>101</v>
      </c>
      <c r="P546" s="2" t="str">
        <f>"2170603314                    "</f>
        <v xml:space="preserve">2170603314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5.65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1</v>
      </c>
      <c r="BJ546" s="2">
        <v>0.2</v>
      </c>
      <c r="BK546" s="2">
        <v>1</v>
      </c>
      <c r="BL546" s="2">
        <v>45.15</v>
      </c>
      <c r="BM546" s="2">
        <v>6.32</v>
      </c>
      <c r="BN546" s="2">
        <v>51.47</v>
      </c>
      <c r="BO546" s="2">
        <v>51.47</v>
      </c>
      <c r="BQ546" s="2" t="s">
        <v>128</v>
      </c>
      <c r="BR546" s="2" t="s">
        <v>103</v>
      </c>
      <c r="BS546" s="3">
        <v>43073</v>
      </c>
      <c r="BT546" s="4">
        <v>0.38958333333333334</v>
      </c>
      <c r="BU546" s="2" t="s">
        <v>1038</v>
      </c>
      <c r="BV546" s="2" t="s">
        <v>85</v>
      </c>
      <c r="BY546" s="2">
        <v>1200</v>
      </c>
      <c r="BZ546" s="2" t="s">
        <v>27</v>
      </c>
      <c r="CC546" s="2" t="s">
        <v>174</v>
      </c>
      <c r="CD546" s="2">
        <v>7441</v>
      </c>
      <c r="CE546" s="2" t="s">
        <v>120</v>
      </c>
      <c r="CF546" s="3">
        <v>43074</v>
      </c>
      <c r="CI546" s="2">
        <v>1</v>
      </c>
      <c r="CJ546" s="2">
        <v>1</v>
      </c>
      <c r="CK546" s="2">
        <v>21</v>
      </c>
      <c r="CL546" s="2" t="s">
        <v>89</v>
      </c>
    </row>
    <row r="547" spans="1:90">
      <c r="A547" s="2" t="s">
        <v>71</v>
      </c>
      <c r="B547" s="2" t="s">
        <v>72</v>
      </c>
      <c r="C547" s="2" t="s">
        <v>73</v>
      </c>
      <c r="E547" s="2" t="str">
        <f>"FES1162593449"</f>
        <v>FES1162593449</v>
      </c>
      <c r="F547" s="3">
        <v>43073</v>
      </c>
      <c r="G547" s="2">
        <v>201806</v>
      </c>
      <c r="H547" s="2" t="s">
        <v>74</v>
      </c>
      <c r="I547" s="2" t="s">
        <v>75</v>
      </c>
      <c r="J547" s="2" t="s">
        <v>97</v>
      </c>
      <c r="K547" s="2" t="s">
        <v>77</v>
      </c>
      <c r="L547" s="2" t="s">
        <v>74</v>
      </c>
      <c r="M547" s="2" t="s">
        <v>75</v>
      </c>
      <c r="N547" s="2" t="s">
        <v>596</v>
      </c>
      <c r="O547" s="2" t="s">
        <v>101</v>
      </c>
      <c r="P547" s="2" t="str">
        <f>"2170604346                    "</f>
        <v xml:space="preserve">2170604346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4.41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1</v>
      </c>
      <c r="BJ547" s="2">
        <v>0.2</v>
      </c>
      <c r="BK547" s="2">
        <v>1</v>
      </c>
      <c r="BL547" s="2">
        <v>35.270000000000003</v>
      </c>
      <c r="BM547" s="2">
        <v>4.9400000000000004</v>
      </c>
      <c r="BN547" s="2">
        <v>40.21</v>
      </c>
      <c r="BO547" s="2">
        <v>40.21</v>
      </c>
      <c r="BQ547" s="2" t="s">
        <v>82</v>
      </c>
      <c r="BR547" s="2" t="s">
        <v>103</v>
      </c>
      <c r="BS547" s="3">
        <v>43074</v>
      </c>
      <c r="BT547" s="4">
        <v>0.4375</v>
      </c>
      <c r="BU547" s="2" t="s">
        <v>597</v>
      </c>
      <c r="BV547" s="2" t="s">
        <v>85</v>
      </c>
      <c r="BY547" s="2">
        <v>1200</v>
      </c>
      <c r="BZ547" s="2" t="s">
        <v>27</v>
      </c>
      <c r="CA547" s="2" t="s">
        <v>203</v>
      </c>
      <c r="CC547" s="2" t="s">
        <v>75</v>
      </c>
      <c r="CD547" s="2">
        <v>1665</v>
      </c>
      <c r="CE547" s="2" t="s">
        <v>120</v>
      </c>
      <c r="CF547" s="3">
        <v>43077</v>
      </c>
      <c r="CI547" s="2">
        <v>1</v>
      </c>
      <c r="CJ547" s="2">
        <v>1</v>
      </c>
      <c r="CK547" s="2">
        <v>22</v>
      </c>
      <c r="CL547" s="2" t="s">
        <v>89</v>
      </c>
    </row>
    <row r="548" spans="1:90">
      <c r="A548" s="2" t="s">
        <v>71</v>
      </c>
      <c r="B548" s="2" t="s">
        <v>72</v>
      </c>
      <c r="C548" s="2" t="s">
        <v>73</v>
      </c>
      <c r="E548" s="2" t="str">
        <f>"FES1162593169"</f>
        <v>FES1162593169</v>
      </c>
      <c r="F548" s="3">
        <v>43070</v>
      </c>
      <c r="G548" s="2">
        <v>201806</v>
      </c>
      <c r="H548" s="2" t="s">
        <v>74</v>
      </c>
      <c r="I548" s="2" t="s">
        <v>75</v>
      </c>
      <c r="J548" s="2" t="s">
        <v>97</v>
      </c>
      <c r="K548" s="2" t="s">
        <v>77</v>
      </c>
      <c r="L548" s="2" t="s">
        <v>173</v>
      </c>
      <c r="M548" s="2" t="s">
        <v>174</v>
      </c>
      <c r="N548" s="2" t="s">
        <v>1039</v>
      </c>
      <c r="O548" s="2" t="s">
        <v>101</v>
      </c>
      <c r="P548" s="2" t="str">
        <f>"2170605495                    "</f>
        <v xml:space="preserve">2170605495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5.65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</v>
      </c>
      <c r="BJ548" s="2">
        <v>0.2</v>
      </c>
      <c r="BK548" s="2">
        <v>1</v>
      </c>
      <c r="BL548" s="2">
        <v>45.15</v>
      </c>
      <c r="BM548" s="2">
        <v>6.32</v>
      </c>
      <c r="BN548" s="2">
        <v>51.47</v>
      </c>
      <c r="BO548" s="2">
        <v>51.47</v>
      </c>
      <c r="BQ548" s="2" t="s">
        <v>1040</v>
      </c>
      <c r="BR548" s="2" t="s">
        <v>103</v>
      </c>
      <c r="BS548" s="3">
        <v>43073</v>
      </c>
      <c r="BT548" s="4">
        <v>0.30486111111111108</v>
      </c>
      <c r="BU548" s="2" t="s">
        <v>1041</v>
      </c>
      <c r="BV548" s="2" t="s">
        <v>85</v>
      </c>
      <c r="BY548" s="2">
        <v>1200</v>
      </c>
      <c r="BZ548" s="2" t="s">
        <v>27</v>
      </c>
      <c r="CA548" s="2" t="s">
        <v>234</v>
      </c>
      <c r="CC548" s="2" t="s">
        <v>174</v>
      </c>
      <c r="CD548" s="2">
        <v>7530</v>
      </c>
      <c r="CE548" s="2" t="s">
        <v>120</v>
      </c>
      <c r="CF548" s="3">
        <v>43074</v>
      </c>
      <c r="CI548" s="2">
        <v>1</v>
      </c>
      <c r="CJ548" s="2">
        <v>1</v>
      </c>
      <c r="CK548" s="2">
        <v>21</v>
      </c>
      <c r="CL548" s="2" t="s">
        <v>89</v>
      </c>
    </row>
    <row r="549" spans="1:90">
      <c r="A549" s="2" t="s">
        <v>71</v>
      </c>
      <c r="B549" s="2" t="s">
        <v>72</v>
      </c>
      <c r="C549" s="2" t="s">
        <v>73</v>
      </c>
      <c r="E549" s="2" t="str">
        <f>"FES1162593358"</f>
        <v>FES1162593358</v>
      </c>
      <c r="F549" s="3">
        <v>43073</v>
      </c>
      <c r="G549" s="2">
        <v>201806</v>
      </c>
      <c r="H549" s="2" t="s">
        <v>74</v>
      </c>
      <c r="I549" s="2" t="s">
        <v>75</v>
      </c>
      <c r="J549" s="2" t="s">
        <v>97</v>
      </c>
      <c r="K549" s="2" t="s">
        <v>77</v>
      </c>
      <c r="L549" s="2" t="s">
        <v>136</v>
      </c>
      <c r="M549" s="2" t="s">
        <v>137</v>
      </c>
      <c r="N549" s="2" t="s">
        <v>1042</v>
      </c>
      <c r="O549" s="2" t="s">
        <v>101</v>
      </c>
      <c r="P549" s="2" t="str">
        <f>"21760241                      "</f>
        <v xml:space="preserve">21760241  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5.65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1.9</v>
      </c>
      <c r="BJ549" s="2">
        <v>1.7</v>
      </c>
      <c r="BK549" s="2">
        <v>2</v>
      </c>
      <c r="BL549" s="2">
        <v>45.15</v>
      </c>
      <c r="BM549" s="2">
        <v>6.32</v>
      </c>
      <c r="BN549" s="2">
        <v>51.47</v>
      </c>
      <c r="BO549" s="2">
        <v>51.47</v>
      </c>
      <c r="BQ549" s="2" t="s">
        <v>1043</v>
      </c>
      <c r="BR549" s="2" t="s">
        <v>103</v>
      </c>
      <c r="BS549" s="3">
        <v>43074</v>
      </c>
      <c r="BT549" s="4">
        <v>0.3</v>
      </c>
      <c r="BU549" s="2" t="s">
        <v>1044</v>
      </c>
      <c r="BV549" s="2" t="s">
        <v>85</v>
      </c>
      <c r="BY549" s="2">
        <v>8687.56</v>
      </c>
      <c r="BZ549" s="2" t="s">
        <v>27</v>
      </c>
      <c r="CA549" s="2" t="s">
        <v>448</v>
      </c>
      <c r="CC549" s="2" t="s">
        <v>137</v>
      </c>
      <c r="CD549" s="2">
        <v>6012</v>
      </c>
      <c r="CE549" s="2" t="s">
        <v>95</v>
      </c>
      <c r="CF549" s="3">
        <v>43075</v>
      </c>
      <c r="CI549" s="2">
        <v>1</v>
      </c>
      <c r="CJ549" s="2">
        <v>1</v>
      </c>
      <c r="CK549" s="2">
        <v>21</v>
      </c>
      <c r="CL549" s="2" t="s">
        <v>89</v>
      </c>
    </row>
    <row r="550" spans="1:90">
      <c r="A550" s="2" t="s">
        <v>71</v>
      </c>
      <c r="B550" s="2" t="s">
        <v>72</v>
      </c>
      <c r="C550" s="2" t="s">
        <v>73</v>
      </c>
      <c r="E550" s="2" t="str">
        <f>"FES1162593193"</f>
        <v>FES1162593193</v>
      </c>
      <c r="F550" s="3">
        <v>43070</v>
      </c>
      <c r="G550" s="2">
        <v>201806</v>
      </c>
      <c r="H550" s="2" t="s">
        <v>74</v>
      </c>
      <c r="I550" s="2" t="s">
        <v>75</v>
      </c>
      <c r="J550" s="2" t="s">
        <v>97</v>
      </c>
      <c r="K550" s="2" t="s">
        <v>77</v>
      </c>
      <c r="L550" s="2" t="s">
        <v>173</v>
      </c>
      <c r="M550" s="2" t="s">
        <v>174</v>
      </c>
      <c r="N550" s="2" t="s">
        <v>376</v>
      </c>
      <c r="O550" s="2" t="s">
        <v>101</v>
      </c>
      <c r="P550" s="2" t="str">
        <f>"2170603134                    "</f>
        <v xml:space="preserve">2170603134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5.65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</v>
      </c>
      <c r="BJ550" s="2">
        <v>0.2</v>
      </c>
      <c r="BK550" s="2">
        <v>1</v>
      </c>
      <c r="BL550" s="2">
        <v>45.15</v>
      </c>
      <c r="BM550" s="2">
        <v>6.32</v>
      </c>
      <c r="BN550" s="2">
        <v>51.47</v>
      </c>
      <c r="BO550" s="2">
        <v>51.47</v>
      </c>
      <c r="BQ550" s="2" t="s">
        <v>102</v>
      </c>
      <c r="BR550" s="2" t="s">
        <v>103</v>
      </c>
      <c r="BS550" s="3">
        <v>43073</v>
      </c>
      <c r="BT550" s="4">
        <v>0.41180555555555554</v>
      </c>
      <c r="BU550" s="2" t="s">
        <v>1018</v>
      </c>
      <c r="BV550" s="2" t="s">
        <v>85</v>
      </c>
      <c r="BY550" s="2">
        <v>1200</v>
      </c>
      <c r="BZ550" s="2" t="s">
        <v>27</v>
      </c>
      <c r="CA550" s="2" t="s">
        <v>378</v>
      </c>
      <c r="CC550" s="2" t="s">
        <v>174</v>
      </c>
      <c r="CD550" s="2">
        <v>7490</v>
      </c>
      <c r="CE550" s="2" t="s">
        <v>120</v>
      </c>
      <c r="CF550" s="3">
        <v>43074</v>
      </c>
      <c r="CI550" s="2">
        <v>1</v>
      </c>
      <c r="CJ550" s="2">
        <v>1</v>
      </c>
      <c r="CK550" s="2">
        <v>21</v>
      </c>
      <c r="CL550" s="2" t="s">
        <v>89</v>
      </c>
    </row>
    <row r="551" spans="1:90">
      <c r="A551" s="2" t="s">
        <v>71</v>
      </c>
      <c r="B551" s="2" t="s">
        <v>72</v>
      </c>
      <c r="C551" s="2" t="s">
        <v>73</v>
      </c>
      <c r="E551" s="2" t="str">
        <f>"FES1162593613"</f>
        <v>FES1162593613</v>
      </c>
      <c r="F551" s="3">
        <v>43073</v>
      </c>
      <c r="G551" s="2">
        <v>201806</v>
      </c>
      <c r="H551" s="2" t="s">
        <v>74</v>
      </c>
      <c r="I551" s="2" t="s">
        <v>75</v>
      </c>
      <c r="J551" s="2" t="s">
        <v>97</v>
      </c>
      <c r="K551" s="2" t="s">
        <v>77</v>
      </c>
      <c r="L551" s="2" t="s">
        <v>111</v>
      </c>
      <c r="M551" s="2" t="s">
        <v>112</v>
      </c>
      <c r="N551" s="2" t="s">
        <v>694</v>
      </c>
      <c r="O551" s="2" t="s">
        <v>101</v>
      </c>
      <c r="P551" s="2" t="str">
        <f>"2170605726                    "</f>
        <v xml:space="preserve">2170605726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12.71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4.2</v>
      </c>
      <c r="BJ551" s="2">
        <v>1.7</v>
      </c>
      <c r="BK551" s="2">
        <v>4.5</v>
      </c>
      <c r="BL551" s="2">
        <v>101.56</v>
      </c>
      <c r="BM551" s="2">
        <v>14.22</v>
      </c>
      <c r="BN551" s="2">
        <v>115.78</v>
      </c>
      <c r="BO551" s="2">
        <v>115.78</v>
      </c>
      <c r="BQ551" s="2" t="s">
        <v>102</v>
      </c>
      <c r="BR551" s="2" t="s">
        <v>103</v>
      </c>
      <c r="BS551" s="3">
        <v>43074</v>
      </c>
      <c r="BT551" s="4">
        <v>0.34027777777777773</v>
      </c>
      <c r="BU551" s="2" t="s">
        <v>114</v>
      </c>
      <c r="BV551" s="2" t="s">
        <v>85</v>
      </c>
      <c r="BY551" s="2">
        <v>8636.26</v>
      </c>
      <c r="BZ551" s="2" t="s">
        <v>27</v>
      </c>
      <c r="CA551" s="2" t="s">
        <v>605</v>
      </c>
      <c r="CC551" s="2" t="s">
        <v>112</v>
      </c>
      <c r="CD551" s="2">
        <v>6220</v>
      </c>
      <c r="CE551" s="2" t="s">
        <v>95</v>
      </c>
      <c r="CF551" s="3">
        <v>43075</v>
      </c>
      <c r="CI551" s="2">
        <v>1</v>
      </c>
      <c r="CJ551" s="2">
        <v>1</v>
      </c>
      <c r="CK551" s="2">
        <v>21</v>
      </c>
      <c r="CL551" s="2" t="s">
        <v>89</v>
      </c>
    </row>
    <row r="552" spans="1:90">
      <c r="A552" s="2" t="s">
        <v>71</v>
      </c>
      <c r="B552" s="2" t="s">
        <v>72</v>
      </c>
      <c r="C552" s="2" t="s">
        <v>73</v>
      </c>
      <c r="E552" s="2" t="str">
        <f>"FES1162593249"</f>
        <v>FES1162593249</v>
      </c>
      <c r="F552" s="3">
        <v>43070</v>
      </c>
      <c r="G552" s="2">
        <v>201806</v>
      </c>
      <c r="H552" s="2" t="s">
        <v>74</v>
      </c>
      <c r="I552" s="2" t="s">
        <v>75</v>
      </c>
      <c r="J552" s="2" t="s">
        <v>97</v>
      </c>
      <c r="K552" s="2" t="s">
        <v>77</v>
      </c>
      <c r="L552" s="2" t="s">
        <v>173</v>
      </c>
      <c r="M552" s="2" t="s">
        <v>174</v>
      </c>
      <c r="N552" s="2" t="s">
        <v>1045</v>
      </c>
      <c r="O552" s="2" t="s">
        <v>101</v>
      </c>
      <c r="P552" s="2" t="str">
        <f>"2170605546                    "</f>
        <v xml:space="preserve">2170605546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5.65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0.2</v>
      </c>
      <c r="BK552" s="2">
        <v>1</v>
      </c>
      <c r="BL552" s="2">
        <v>45.15</v>
      </c>
      <c r="BM552" s="2">
        <v>6.32</v>
      </c>
      <c r="BN552" s="2">
        <v>51.47</v>
      </c>
      <c r="BO552" s="2">
        <v>51.47</v>
      </c>
      <c r="BQ552" s="2" t="s">
        <v>142</v>
      </c>
      <c r="BR552" s="2" t="s">
        <v>103</v>
      </c>
      <c r="BS552" s="3">
        <v>43075</v>
      </c>
      <c r="BT552" s="4">
        <v>0.61111111111111105</v>
      </c>
      <c r="BU552" s="2" t="s">
        <v>1046</v>
      </c>
      <c r="BV552" s="2" t="s">
        <v>89</v>
      </c>
      <c r="BW552" s="2" t="s">
        <v>156</v>
      </c>
      <c r="BX552" s="2" t="s">
        <v>839</v>
      </c>
      <c r="BY552" s="2">
        <v>1200</v>
      </c>
      <c r="CC552" s="2" t="s">
        <v>174</v>
      </c>
      <c r="CD552" s="2">
        <v>7441</v>
      </c>
      <c r="CE552" s="2" t="s">
        <v>120</v>
      </c>
      <c r="CF552" s="3">
        <v>43076</v>
      </c>
      <c r="CI552" s="2">
        <v>1</v>
      </c>
      <c r="CJ552" s="2">
        <v>3</v>
      </c>
      <c r="CK552" s="2">
        <v>21</v>
      </c>
      <c r="CL552" s="2" t="s">
        <v>89</v>
      </c>
    </row>
    <row r="553" spans="1:90">
      <c r="A553" s="2" t="s">
        <v>71</v>
      </c>
      <c r="B553" s="2" t="s">
        <v>72</v>
      </c>
      <c r="C553" s="2" t="s">
        <v>73</v>
      </c>
      <c r="E553" s="2" t="str">
        <f>"FES1162593324"</f>
        <v>FES1162593324</v>
      </c>
      <c r="F553" s="3">
        <v>43073</v>
      </c>
      <c r="G553" s="2">
        <v>201806</v>
      </c>
      <c r="H553" s="2" t="s">
        <v>74</v>
      </c>
      <c r="I553" s="2" t="s">
        <v>75</v>
      </c>
      <c r="J553" s="2" t="s">
        <v>97</v>
      </c>
      <c r="K553" s="2" t="s">
        <v>77</v>
      </c>
      <c r="L553" s="2" t="s">
        <v>136</v>
      </c>
      <c r="M553" s="2" t="s">
        <v>137</v>
      </c>
      <c r="N553" s="2" t="s">
        <v>1042</v>
      </c>
      <c r="O553" s="2" t="s">
        <v>101</v>
      </c>
      <c r="P553" s="2" t="str">
        <f>"217060007000                  "</f>
        <v xml:space="preserve">217060007000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12.71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4.0999999999999996</v>
      </c>
      <c r="BJ553" s="2">
        <v>4.5</v>
      </c>
      <c r="BK553" s="2">
        <v>4.5</v>
      </c>
      <c r="BL553" s="2">
        <v>101.56</v>
      </c>
      <c r="BM553" s="2">
        <v>14.22</v>
      </c>
      <c r="BN553" s="2">
        <v>115.78</v>
      </c>
      <c r="BO553" s="2">
        <v>115.78</v>
      </c>
      <c r="BQ553" s="2" t="s">
        <v>1043</v>
      </c>
      <c r="BR553" s="2" t="s">
        <v>103</v>
      </c>
      <c r="BS553" s="3">
        <v>43074</v>
      </c>
      <c r="BT553" s="4">
        <v>0.3</v>
      </c>
      <c r="BU553" s="2" t="s">
        <v>1047</v>
      </c>
      <c r="BV553" s="2" t="s">
        <v>85</v>
      </c>
      <c r="BY553" s="2">
        <v>22530.2</v>
      </c>
      <c r="BZ553" s="2" t="s">
        <v>27</v>
      </c>
      <c r="CA553" s="2" t="s">
        <v>448</v>
      </c>
      <c r="CC553" s="2" t="s">
        <v>137</v>
      </c>
      <c r="CD553" s="2">
        <v>6012</v>
      </c>
      <c r="CE553" s="2" t="s">
        <v>87</v>
      </c>
      <c r="CF553" s="3">
        <v>43075</v>
      </c>
      <c r="CI553" s="2">
        <v>1</v>
      </c>
      <c r="CJ553" s="2">
        <v>1</v>
      </c>
      <c r="CK553" s="2">
        <v>21</v>
      </c>
      <c r="CL553" s="2" t="s">
        <v>89</v>
      </c>
    </row>
    <row r="554" spans="1:90">
      <c r="A554" s="2" t="s">
        <v>71</v>
      </c>
      <c r="B554" s="2" t="s">
        <v>72</v>
      </c>
      <c r="C554" s="2" t="s">
        <v>73</v>
      </c>
      <c r="E554" s="2" t="str">
        <f>"FES1162593186"</f>
        <v>FES1162593186</v>
      </c>
      <c r="F554" s="3">
        <v>43070</v>
      </c>
      <c r="G554" s="2">
        <v>201806</v>
      </c>
      <c r="H554" s="2" t="s">
        <v>74</v>
      </c>
      <c r="I554" s="2" t="s">
        <v>75</v>
      </c>
      <c r="J554" s="2" t="s">
        <v>97</v>
      </c>
      <c r="K554" s="2" t="s">
        <v>77</v>
      </c>
      <c r="L554" s="2" t="s">
        <v>125</v>
      </c>
      <c r="M554" s="2" t="s">
        <v>126</v>
      </c>
      <c r="N554" s="2" t="s">
        <v>1048</v>
      </c>
      <c r="O554" s="2" t="s">
        <v>101</v>
      </c>
      <c r="P554" s="2" t="str">
        <f>"2170603061                    "</f>
        <v xml:space="preserve">2170603061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5.65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</v>
      </c>
      <c r="BJ554" s="2">
        <v>0.2</v>
      </c>
      <c r="BK554" s="2">
        <v>1</v>
      </c>
      <c r="BL554" s="2">
        <v>45.15</v>
      </c>
      <c r="BM554" s="2">
        <v>6.32</v>
      </c>
      <c r="BN554" s="2">
        <v>51.47</v>
      </c>
      <c r="BO554" s="2">
        <v>51.47</v>
      </c>
      <c r="BQ554" s="2">
        <v>1162593186</v>
      </c>
      <c r="BR554" s="2" t="s">
        <v>103</v>
      </c>
      <c r="BS554" s="3">
        <v>43074</v>
      </c>
      <c r="BT554" s="4">
        <v>0.375</v>
      </c>
      <c r="BU554" s="2" t="s">
        <v>1049</v>
      </c>
      <c r="BV554" s="2" t="s">
        <v>89</v>
      </c>
      <c r="BY554" s="2">
        <v>1200</v>
      </c>
      <c r="CA554" s="2" t="s">
        <v>1050</v>
      </c>
      <c r="CC554" s="2" t="s">
        <v>126</v>
      </c>
      <c r="CD554" s="2">
        <v>4001</v>
      </c>
      <c r="CE554" s="2" t="s">
        <v>120</v>
      </c>
      <c r="CF554" s="3">
        <v>43077</v>
      </c>
      <c r="CI554" s="2">
        <v>1</v>
      </c>
      <c r="CJ554" s="2">
        <v>2</v>
      </c>
      <c r="CK554" s="2">
        <v>21</v>
      </c>
      <c r="CL554" s="2" t="s">
        <v>89</v>
      </c>
    </row>
    <row r="555" spans="1:90">
      <c r="A555" s="2" t="s">
        <v>71</v>
      </c>
      <c r="B555" s="2" t="s">
        <v>72</v>
      </c>
      <c r="C555" s="2" t="s">
        <v>73</v>
      </c>
      <c r="E555" s="2" t="str">
        <f>"FES1162593615"</f>
        <v>FES1162593615</v>
      </c>
      <c r="F555" s="3">
        <v>43073</v>
      </c>
      <c r="G555" s="2">
        <v>201806</v>
      </c>
      <c r="H555" s="2" t="s">
        <v>74</v>
      </c>
      <c r="I555" s="2" t="s">
        <v>75</v>
      </c>
      <c r="J555" s="2" t="s">
        <v>97</v>
      </c>
      <c r="K555" s="2" t="s">
        <v>77</v>
      </c>
      <c r="L555" s="2" t="s">
        <v>111</v>
      </c>
      <c r="M555" s="2" t="s">
        <v>112</v>
      </c>
      <c r="N555" s="2" t="s">
        <v>694</v>
      </c>
      <c r="O555" s="2" t="s">
        <v>101</v>
      </c>
      <c r="P555" s="2" t="str">
        <f>"2170605728                    "</f>
        <v xml:space="preserve">2170605728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5.65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1</v>
      </c>
      <c r="BJ555" s="2">
        <v>0.2</v>
      </c>
      <c r="BK555" s="2">
        <v>1</v>
      </c>
      <c r="BL555" s="2">
        <v>45.15</v>
      </c>
      <c r="BM555" s="2">
        <v>6.32</v>
      </c>
      <c r="BN555" s="2">
        <v>51.47</v>
      </c>
      <c r="BO555" s="2">
        <v>51.47</v>
      </c>
      <c r="BQ555" s="2" t="s">
        <v>102</v>
      </c>
      <c r="BR555" s="2" t="s">
        <v>103</v>
      </c>
      <c r="BS555" s="3">
        <v>43074</v>
      </c>
      <c r="BT555" s="4">
        <v>0.34027777777777773</v>
      </c>
      <c r="BU555" s="2" t="s">
        <v>114</v>
      </c>
      <c r="BV555" s="2" t="s">
        <v>85</v>
      </c>
      <c r="BY555" s="2">
        <v>1200</v>
      </c>
      <c r="BZ555" s="2" t="s">
        <v>27</v>
      </c>
      <c r="CA555" s="2" t="s">
        <v>605</v>
      </c>
      <c r="CC555" s="2" t="s">
        <v>112</v>
      </c>
      <c r="CD555" s="2">
        <v>6220</v>
      </c>
      <c r="CE555" s="2" t="s">
        <v>120</v>
      </c>
      <c r="CF555" s="3">
        <v>43075</v>
      </c>
      <c r="CI555" s="2">
        <v>1</v>
      </c>
      <c r="CJ555" s="2">
        <v>1</v>
      </c>
      <c r="CK555" s="2">
        <v>21</v>
      </c>
      <c r="CL555" s="2" t="s">
        <v>89</v>
      </c>
    </row>
    <row r="556" spans="1:90">
      <c r="A556" s="2" t="s">
        <v>71</v>
      </c>
      <c r="B556" s="2" t="s">
        <v>72</v>
      </c>
      <c r="C556" s="2" t="s">
        <v>73</v>
      </c>
      <c r="E556" s="2" t="str">
        <f>"FES1162593204"</f>
        <v>FES1162593204</v>
      </c>
      <c r="F556" s="3">
        <v>43070</v>
      </c>
      <c r="G556" s="2">
        <v>201806</v>
      </c>
      <c r="H556" s="2" t="s">
        <v>74</v>
      </c>
      <c r="I556" s="2" t="s">
        <v>75</v>
      </c>
      <c r="J556" s="2" t="s">
        <v>97</v>
      </c>
      <c r="K556" s="2" t="s">
        <v>77</v>
      </c>
      <c r="L556" s="2" t="s">
        <v>1051</v>
      </c>
      <c r="M556" s="2" t="s">
        <v>1052</v>
      </c>
      <c r="N556" s="2" t="s">
        <v>1053</v>
      </c>
      <c r="O556" s="2" t="s">
        <v>101</v>
      </c>
      <c r="P556" s="2" t="str">
        <f>"2170603444                    "</f>
        <v xml:space="preserve">2170603444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10.94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</v>
      </c>
      <c r="BJ556" s="2">
        <v>0.2</v>
      </c>
      <c r="BK556" s="2">
        <v>1</v>
      </c>
      <c r="BL556" s="2">
        <v>87.47</v>
      </c>
      <c r="BM556" s="2">
        <v>12.25</v>
      </c>
      <c r="BN556" s="2">
        <v>99.72</v>
      </c>
      <c r="BO556" s="2">
        <v>99.72</v>
      </c>
      <c r="BQ556" s="2" t="s">
        <v>82</v>
      </c>
      <c r="BR556" s="2" t="s">
        <v>103</v>
      </c>
      <c r="BS556" s="3">
        <v>43074</v>
      </c>
      <c r="BT556" s="4">
        <v>0.52083333333333337</v>
      </c>
      <c r="BU556" s="2" t="s">
        <v>1054</v>
      </c>
      <c r="BV556" s="2" t="s">
        <v>85</v>
      </c>
      <c r="BY556" s="2">
        <v>1200</v>
      </c>
      <c r="CC556" s="2" t="s">
        <v>1052</v>
      </c>
      <c r="CD556" s="2">
        <v>3370</v>
      </c>
      <c r="CE556" s="2" t="s">
        <v>120</v>
      </c>
      <c r="CF556" s="3">
        <v>43077</v>
      </c>
      <c r="CI556" s="2">
        <v>3</v>
      </c>
      <c r="CJ556" s="2">
        <v>2</v>
      </c>
      <c r="CK556" s="2">
        <v>23</v>
      </c>
      <c r="CL556" s="2" t="s">
        <v>89</v>
      </c>
    </row>
    <row r="557" spans="1:90">
      <c r="A557" s="2" t="s">
        <v>71</v>
      </c>
      <c r="B557" s="2" t="s">
        <v>72</v>
      </c>
      <c r="C557" s="2" t="s">
        <v>73</v>
      </c>
      <c r="E557" s="2" t="str">
        <f>"FES1162593384"</f>
        <v>FES1162593384</v>
      </c>
      <c r="F557" s="3">
        <v>43073</v>
      </c>
      <c r="G557" s="2">
        <v>201806</v>
      </c>
      <c r="H557" s="2" t="s">
        <v>74</v>
      </c>
      <c r="I557" s="2" t="s">
        <v>75</v>
      </c>
      <c r="J557" s="2" t="s">
        <v>97</v>
      </c>
      <c r="K557" s="2" t="s">
        <v>77</v>
      </c>
      <c r="L557" s="2" t="s">
        <v>850</v>
      </c>
      <c r="M557" s="2" t="s">
        <v>851</v>
      </c>
      <c r="N557" s="2" t="s">
        <v>1055</v>
      </c>
      <c r="O557" s="2" t="s">
        <v>101</v>
      </c>
      <c r="P557" s="2" t="str">
        <f>"2170602982                    "</f>
        <v xml:space="preserve">2170602982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14.12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4.5999999999999996</v>
      </c>
      <c r="BJ557" s="2">
        <v>1.8</v>
      </c>
      <c r="BK557" s="2">
        <v>5</v>
      </c>
      <c r="BL557" s="2">
        <v>112.84</v>
      </c>
      <c r="BM557" s="2">
        <v>15.8</v>
      </c>
      <c r="BN557" s="2">
        <v>128.63999999999999</v>
      </c>
      <c r="BO557" s="2">
        <v>128.63999999999999</v>
      </c>
      <c r="BQ557" s="2" t="s">
        <v>102</v>
      </c>
      <c r="BR557" s="2" t="s">
        <v>103</v>
      </c>
      <c r="BS557" s="3">
        <v>43074</v>
      </c>
      <c r="BT557" s="4">
        <v>0.41666666666666669</v>
      </c>
      <c r="BU557" s="2" t="s">
        <v>1056</v>
      </c>
      <c r="BV557" s="2" t="s">
        <v>85</v>
      </c>
      <c r="BY557" s="2">
        <v>9036.2099999999991</v>
      </c>
      <c r="BZ557" s="2" t="s">
        <v>27</v>
      </c>
      <c r="CA557" s="2" t="s">
        <v>1057</v>
      </c>
      <c r="CC557" s="2" t="s">
        <v>851</v>
      </c>
      <c r="CD557" s="2">
        <v>3290</v>
      </c>
      <c r="CE557" s="2" t="s">
        <v>95</v>
      </c>
      <c r="CF557" s="3">
        <v>43076</v>
      </c>
      <c r="CI557" s="2">
        <v>1</v>
      </c>
      <c r="CJ557" s="2">
        <v>1</v>
      </c>
      <c r="CK557" s="2">
        <v>21</v>
      </c>
      <c r="CL557" s="2" t="s">
        <v>89</v>
      </c>
    </row>
    <row r="558" spans="1:90">
      <c r="A558" s="2" t="s">
        <v>71</v>
      </c>
      <c r="B558" s="2" t="s">
        <v>72</v>
      </c>
      <c r="C558" s="2" t="s">
        <v>73</v>
      </c>
      <c r="E558" s="2" t="str">
        <f>"FES1162593269"</f>
        <v>FES1162593269</v>
      </c>
      <c r="F558" s="3">
        <v>43070</v>
      </c>
      <c r="G558" s="2">
        <v>201806</v>
      </c>
      <c r="H558" s="2" t="s">
        <v>74</v>
      </c>
      <c r="I558" s="2" t="s">
        <v>75</v>
      </c>
      <c r="J558" s="2" t="s">
        <v>97</v>
      </c>
      <c r="K558" s="2" t="s">
        <v>77</v>
      </c>
      <c r="L558" s="2" t="s">
        <v>145</v>
      </c>
      <c r="M558" s="2" t="s">
        <v>146</v>
      </c>
      <c r="N558" s="2" t="s">
        <v>1058</v>
      </c>
      <c r="O558" s="2" t="s">
        <v>101</v>
      </c>
      <c r="P558" s="2" t="str">
        <f>"2170605566                    "</f>
        <v xml:space="preserve">2170605566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5.65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45.15</v>
      </c>
      <c r="BM558" s="2">
        <v>6.32</v>
      </c>
      <c r="BN558" s="2">
        <v>51.47</v>
      </c>
      <c r="BO558" s="2">
        <v>51.47</v>
      </c>
      <c r="BQ558" s="2" t="s">
        <v>82</v>
      </c>
      <c r="BR558" s="2" t="s">
        <v>103</v>
      </c>
      <c r="BS558" s="3">
        <v>43073</v>
      </c>
      <c r="BT558" s="4">
        <v>0.44930555555555557</v>
      </c>
      <c r="BU558" s="2" t="s">
        <v>1059</v>
      </c>
      <c r="BV558" s="2" t="s">
        <v>85</v>
      </c>
      <c r="BY558" s="2">
        <v>1200</v>
      </c>
      <c r="BZ558" s="2" t="s">
        <v>27</v>
      </c>
      <c r="CA558" s="2" t="s">
        <v>629</v>
      </c>
      <c r="CC558" s="2" t="s">
        <v>146</v>
      </c>
      <c r="CD558" s="2">
        <v>5201</v>
      </c>
      <c r="CE558" s="2" t="s">
        <v>120</v>
      </c>
      <c r="CF558" s="3">
        <v>43074</v>
      </c>
      <c r="CI558" s="2">
        <v>1</v>
      </c>
      <c r="CJ558" s="2">
        <v>1</v>
      </c>
      <c r="CK558" s="2">
        <v>21</v>
      </c>
      <c r="CL558" s="2" t="s">
        <v>89</v>
      </c>
    </row>
    <row r="559" spans="1:90">
      <c r="A559" s="2" t="s">
        <v>71</v>
      </c>
      <c r="B559" s="2" t="s">
        <v>72</v>
      </c>
      <c r="C559" s="2" t="s">
        <v>73</v>
      </c>
      <c r="E559" s="2" t="str">
        <f>"FES1162593670"</f>
        <v>FES1162593670</v>
      </c>
      <c r="F559" s="3">
        <v>43073</v>
      </c>
      <c r="G559" s="2">
        <v>201806</v>
      </c>
      <c r="H559" s="2" t="s">
        <v>74</v>
      </c>
      <c r="I559" s="2" t="s">
        <v>75</v>
      </c>
      <c r="J559" s="2" t="s">
        <v>97</v>
      </c>
      <c r="K559" s="2" t="s">
        <v>77</v>
      </c>
      <c r="L559" s="2" t="s">
        <v>212</v>
      </c>
      <c r="M559" s="2" t="s">
        <v>212</v>
      </c>
      <c r="N559" s="2" t="s">
        <v>213</v>
      </c>
      <c r="O559" s="2" t="s">
        <v>101</v>
      </c>
      <c r="P559" s="2" t="str">
        <f>"210605106                     "</f>
        <v xml:space="preserve">210605106 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26.82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4.3</v>
      </c>
      <c r="BJ559" s="2">
        <v>9.5</v>
      </c>
      <c r="BK559" s="2">
        <v>9.5</v>
      </c>
      <c r="BL559" s="2">
        <v>214.37</v>
      </c>
      <c r="BM559" s="2">
        <v>30.01</v>
      </c>
      <c r="BN559" s="2">
        <v>244.38</v>
      </c>
      <c r="BO559" s="2">
        <v>244.38</v>
      </c>
      <c r="BQ559" s="2" t="s">
        <v>102</v>
      </c>
      <c r="BR559" s="2" t="s">
        <v>103</v>
      </c>
      <c r="BS559" s="3">
        <v>43074</v>
      </c>
      <c r="BT559" s="4">
        <v>0.57291666666666663</v>
      </c>
      <c r="BU559" s="2" t="s">
        <v>1060</v>
      </c>
      <c r="BV559" s="2" t="s">
        <v>85</v>
      </c>
      <c r="BY559" s="2">
        <v>47605.5</v>
      </c>
      <c r="BZ559" s="2" t="s">
        <v>27</v>
      </c>
      <c r="CC559" s="2" t="s">
        <v>212</v>
      </c>
      <c r="CD559" s="2">
        <v>7646</v>
      </c>
      <c r="CE559" s="2" t="s">
        <v>356</v>
      </c>
      <c r="CF559" s="3">
        <v>43074</v>
      </c>
      <c r="CI559" s="2">
        <v>1</v>
      </c>
      <c r="CJ559" s="2">
        <v>1</v>
      </c>
      <c r="CK559" s="2">
        <v>21</v>
      </c>
      <c r="CL559" s="2" t="s">
        <v>89</v>
      </c>
    </row>
    <row r="560" spans="1:90">
      <c r="A560" s="2" t="s">
        <v>71</v>
      </c>
      <c r="B560" s="2" t="s">
        <v>72</v>
      </c>
      <c r="C560" s="2" t="s">
        <v>73</v>
      </c>
      <c r="E560" s="2" t="str">
        <f>"FES1162593239"</f>
        <v>FES1162593239</v>
      </c>
      <c r="F560" s="3">
        <v>43070</v>
      </c>
      <c r="G560" s="2">
        <v>201806</v>
      </c>
      <c r="H560" s="2" t="s">
        <v>74</v>
      </c>
      <c r="I560" s="2" t="s">
        <v>75</v>
      </c>
      <c r="J560" s="2" t="s">
        <v>97</v>
      </c>
      <c r="K560" s="2" t="s">
        <v>77</v>
      </c>
      <c r="L560" s="2" t="s">
        <v>136</v>
      </c>
      <c r="M560" s="2" t="s">
        <v>137</v>
      </c>
      <c r="N560" s="2" t="s">
        <v>178</v>
      </c>
      <c r="O560" s="2" t="s">
        <v>101</v>
      </c>
      <c r="P560" s="2" t="str">
        <f>"2170605537                    "</f>
        <v xml:space="preserve">2170605537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16.940000000000001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6</v>
      </c>
      <c r="BJ560" s="2">
        <v>1.8</v>
      </c>
      <c r="BK560" s="2">
        <v>6</v>
      </c>
      <c r="BL560" s="2">
        <v>135.4</v>
      </c>
      <c r="BM560" s="2">
        <v>18.96</v>
      </c>
      <c r="BN560" s="2">
        <v>154.36000000000001</v>
      </c>
      <c r="BO560" s="2">
        <v>154.36000000000001</v>
      </c>
      <c r="BQ560" s="2" t="s">
        <v>102</v>
      </c>
      <c r="BR560" s="2" t="s">
        <v>103</v>
      </c>
      <c r="BS560" s="3">
        <v>43073</v>
      </c>
      <c r="BT560" s="4">
        <v>0.41666666666666669</v>
      </c>
      <c r="BU560" s="2" t="s">
        <v>179</v>
      </c>
      <c r="BV560" s="2" t="s">
        <v>85</v>
      </c>
      <c r="BY560" s="2">
        <v>9061.2999999999993</v>
      </c>
      <c r="BZ560" s="2" t="s">
        <v>27</v>
      </c>
      <c r="CA560" s="2" t="s">
        <v>180</v>
      </c>
      <c r="CC560" s="2" t="s">
        <v>137</v>
      </c>
      <c r="CD560" s="2">
        <v>6001</v>
      </c>
      <c r="CE560" s="2" t="s">
        <v>95</v>
      </c>
      <c r="CF560" s="3">
        <v>43074</v>
      </c>
      <c r="CI560" s="2">
        <v>1</v>
      </c>
      <c r="CJ560" s="2">
        <v>1</v>
      </c>
      <c r="CK560" s="2">
        <v>21</v>
      </c>
      <c r="CL560" s="2" t="s">
        <v>89</v>
      </c>
    </row>
    <row r="561" spans="1:90">
      <c r="A561" s="2" t="s">
        <v>71</v>
      </c>
      <c r="B561" s="2" t="s">
        <v>72</v>
      </c>
      <c r="C561" s="2" t="s">
        <v>73</v>
      </c>
      <c r="E561" s="2" t="str">
        <f>"FES1162593082"</f>
        <v>FES1162593082</v>
      </c>
      <c r="F561" s="3">
        <v>43070</v>
      </c>
      <c r="G561" s="2">
        <v>201806</v>
      </c>
      <c r="H561" s="2" t="s">
        <v>74</v>
      </c>
      <c r="I561" s="2" t="s">
        <v>75</v>
      </c>
      <c r="J561" s="2" t="s">
        <v>97</v>
      </c>
      <c r="K561" s="2" t="s">
        <v>77</v>
      </c>
      <c r="L561" s="2" t="s">
        <v>125</v>
      </c>
      <c r="M561" s="2" t="s">
        <v>126</v>
      </c>
      <c r="N561" s="2" t="s">
        <v>1061</v>
      </c>
      <c r="O561" s="2" t="s">
        <v>101</v>
      </c>
      <c r="P561" s="2" t="str">
        <f>"2170605400                    "</f>
        <v xml:space="preserve">2170605400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5.65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45.15</v>
      </c>
      <c r="BM561" s="2">
        <v>6.32</v>
      </c>
      <c r="BN561" s="2">
        <v>51.47</v>
      </c>
      <c r="BO561" s="2">
        <v>51.47</v>
      </c>
      <c r="BQ561" s="2" t="s">
        <v>82</v>
      </c>
      <c r="BR561" s="2" t="s">
        <v>103</v>
      </c>
      <c r="BS561" s="3">
        <v>43073</v>
      </c>
      <c r="BT561" s="4">
        <v>0.33194444444444443</v>
      </c>
      <c r="BU561" s="2" t="s">
        <v>1062</v>
      </c>
      <c r="BV561" s="2" t="s">
        <v>85</v>
      </c>
      <c r="BY561" s="2">
        <v>1200</v>
      </c>
      <c r="BZ561" s="2" t="s">
        <v>27</v>
      </c>
      <c r="CA561" s="2" t="s">
        <v>130</v>
      </c>
      <c r="CC561" s="2" t="s">
        <v>126</v>
      </c>
      <c r="CD561" s="2">
        <v>4052</v>
      </c>
      <c r="CE561" s="2" t="s">
        <v>120</v>
      </c>
      <c r="CF561" s="3">
        <v>43074</v>
      </c>
      <c r="CI561" s="2">
        <v>1</v>
      </c>
      <c r="CJ561" s="2">
        <v>1</v>
      </c>
      <c r="CK561" s="2">
        <v>21</v>
      </c>
      <c r="CL561" s="2" t="s">
        <v>89</v>
      </c>
    </row>
    <row r="562" spans="1:90">
      <c r="A562" s="2" t="s">
        <v>71</v>
      </c>
      <c r="B562" s="2" t="s">
        <v>72</v>
      </c>
      <c r="C562" s="2" t="s">
        <v>73</v>
      </c>
      <c r="E562" s="2" t="str">
        <f>"FES1162593379"</f>
        <v>FES1162593379</v>
      </c>
      <c r="F562" s="3">
        <v>43073</v>
      </c>
      <c r="G562" s="2">
        <v>201806</v>
      </c>
      <c r="H562" s="2" t="s">
        <v>74</v>
      </c>
      <c r="I562" s="2" t="s">
        <v>75</v>
      </c>
      <c r="J562" s="2" t="s">
        <v>97</v>
      </c>
      <c r="K562" s="2" t="s">
        <v>77</v>
      </c>
      <c r="L562" s="2" t="s">
        <v>272</v>
      </c>
      <c r="M562" s="2" t="s">
        <v>272</v>
      </c>
      <c r="N562" s="2" t="s">
        <v>938</v>
      </c>
      <c r="O562" s="2" t="s">
        <v>101</v>
      </c>
      <c r="P562" s="2" t="str">
        <f>"2170602880                    "</f>
        <v xml:space="preserve">2170602880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7.94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0.2</v>
      </c>
      <c r="BK562" s="2">
        <v>1</v>
      </c>
      <c r="BL562" s="2">
        <v>63.49</v>
      </c>
      <c r="BM562" s="2">
        <v>8.89</v>
      </c>
      <c r="BN562" s="2">
        <v>72.38</v>
      </c>
      <c r="BO562" s="2">
        <v>72.38</v>
      </c>
      <c r="BQ562" s="2" t="s">
        <v>229</v>
      </c>
      <c r="BR562" s="2" t="s">
        <v>103</v>
      </c>
      <c r="BS562" s="3">
        <v>43074</v>
      </c>
      <c r="BT562" s="4">
        <v>0.41666666666666669</v>
      </c>
      <c r="BU562" s="2" t="s">
        <v>1063</v>
      </c>
      <c r="BV562" s="2" t="s">
        <v>85</v>
      </c>
      <c r="BY562" s="2">
        <v>1200</v>
      </c>
      <c r="BZ562" s="2" t="s">
        <v>27</v>
      </c>
      <c r="CC562" s="2" t="s">
        <v>272</v>
      </c>
      <c r="CD562" s="2">
        <v>1490</v>
      </c>
      <c r="CE562" s="2" t="s">
        <v>120</v>
      </c>
      <c r="CF562" s="3">
        <v>43075</v>
      </c>
      <c r="CI562" s="2">
        <v>1</v>
      </c>
      <c r="CJ562" s="2">
        <v>1</v>
      </c>
      <c r="CK562" s="2">
        <v>24</v>
      </c>
      <c r="CL562" s="2" t="s">
        <v>89</v>
      </c>
    </row>
    <row r="563" spans="1:90">
      <c r="A563" s="2" t="s">
        <v>71</v>
      </c>
      <c r="B563" s="2" t="s">
        <v>72</v>
      </c>
      <c r="C563" s="2" t="s">
        <v>73</v>
      </c>
      <c r="E563" s="2" t="str">
        <f>"FES1162593196"</f>
        <v>FES1162593196</v>
      </c>
      <c r="F563" s="3">
        <v>43070</v>
      </c>
      <c r="G563" s="2">
        <v>201806</v>
      </c>
      <c r="H563" s="2" t="s">
        <v>74</v>
      </c>
      <c r="I563" s="2" t="s">
        <v>75</v>
      </c>
      <c r="J563" s="2" t="s">
        <v>97</v>
      </c>
      <c r="K563" s="2" t="s">
        <v>77</v>
      </c>
      <c r="L563" s="2" t="s">
        <v>106</v>
      </c>
      <c r="M563" s="2" t="s">
        <v>107</v>
      </c>
      <c r="N563" s="2" t="s">
        <v>108</v>
      </c>
      <c r="O563" s="2" t="s">
        <v>101</v>
      </c>
      <c r="P563" s="2" t="str">
        <f>"21706030207                   "</f>
        <v xml:space="preserve">21706030207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4.41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1</v>
      </c>
      <c r="BJ563" s="2">
        <v>0.2</v>
      </c>
      <c r="BK563" s="2">
        <v>1</v>
      </c>
      <c r="BL563" s="2">
        <v>35.270000000000003</v>
      </c>
      <c r="BM563" s="2">
        <v>4.9400000000000004</v>
      </c>
      <c r="BN563" s="2">
        <v>40.21</v>
      </c>
      <c r="BO563" s="2">
        <v>40.21</v>
      </c>
      <c r="BQ563" s="2" t="s">
        <v>82</v>
      </c>
      <c r="BR563" s="2" t="s">
        <v>103</v>
      </c>
      <c r="BS563" s="3">
        <v>43073</v>
      </c>
      <c r="BT563" s="4">
        <v>0.39305555555555555</v>
      </c>
      <c r="BU563" s="2" t="s">
        <v>643</v>
      </c>
      <c r="BV563" s="2" t="s">
        <v>85</v>
      </c>
      <c r="BY563" s="2">
        <v>1200</v>
      </c>
      <c r="CA563" s="2" t="s">
        <v>644</v>
      </c>
      <c r="CC563" s="2" t="s">
        <v>107</v>
      </c>
      <c r="CD563" s="2">
        <v>2094</v>
      </c>
      <c r="CE563" s="2" t="s">
        <v>120</v>
      </c>
      <c r="CF563" s="3">
        <v>43075</v>
      </c>
      <c r="CI563" s="2">
        <v>1</v>
      </c>
      <c r="CJ563" s="2">
        <v>1</v>
      </c>
      <c r="CK563" s="2">
        <v>22</v>
      </c>
      <c r="CL563" s="2" t="s">
        <v>89</v>
      </c>
    </row>
    <row r="564" spans="1:90">
      <c r="A564" s="2" t="s">
        <v>71</v>
      </c>
      <c r="B564" s="2" t="s">
        <v>72</v>
      </c>
      <c r="C564" s="2" t="s">
        <v>73</v>
      </c>
      <c r="E564" s="2" t="str">
        <f>"FES1162593510"</f>
        <v>FES1162593510</v>
      </c>
      <c r="F564" s="3">
        <v>43073</v>
      </c>
      <c r="G564" s="2">
        <v>201806</v>
      </c>
      <c r="H564" s="2" t="s">
        <v>74</v>
      </c>
      <c r="I564" s="2" t="s">
        <v>75</v>
      </c>
      <c r="J564" s="2" t="s">
        <v>97</v>
      </c>
      <c r="K564" s="2" t="s">
        <v>77</v>
      </c>
      <c r="L564" s="2" t="s">
        <v>74</v>
      </c>
      <c r="M564" s="2" t="s">
        <v>75</v>
      </c>
      <c r="N564" s="2" t="s">
        <v>925</v>
      </c>
      <c r="O564" s="2" t="s">
        <v>101</v>
      </c>
      <c r="P564" s="2" t="str">
        <f>"2170605531                    "</f>
        <v xml:space="preserve">2170605531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4.41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35.270000000000003</v>
      </c>
      <c r="BM564" s="2">
        <v>4.9400000000000004</v>
      </c>
      <c r="BN564" s="2">
        <v>40.21</v>
      </c>
      <c r="BO564" s="2">
        <v>40.21</v>
      </c>
      <c r="BQ564" s="2" t="s">
        <v>926</v>
      </c>
      <c r="BR564" s="2" t="s">
        <v>103</v>
      </c>
      <c r="BS564" s="3">
        <v>43074</v>
      </c>
      <c r="BT564" s="4">
        <v>0.37916666666666665</v>
      </c>
      <c r="BU564" s="2" t="s">
        <v>1064</v>
      </c>
      <c r="BV564" s="2" t="s">
        <v>85</v>
      </c>
      <c r="BY564" s="2">
        <v>1200</v>
      </c>
      <c r="BZ564" s="2" t="s">
        <v>27</v>
      </c>
      <c r="CA564" s="2" t="s">
        <v>355</v>
      </c>
      <c r="CC564" s="2" t="s">
        <v>75</v>
      </c>
      <c r="CD564" s="2">
        <v>1600</v>
      </c>
      <c r="CE564" s="2" t="s">
        <v>120</v>
      </c>
      <c r="CF564" s="3">
        <v>43077</v>
      </c>
      <c r="CI564" s="2">
        <v>1</v>
      </c>
      <c r="CJ564" s="2">
        <v>1</v>
      </c>
      <c r="CK564" s="2">
        <v>22</v>
      </c>
      <c r="CL564" s="2" t="s">
        <v>89</v>
      </c>
    </row>
    <row r="565" spans="1:90">
      <c r="A565" s="2" t="s">
        <v>71</v>
      </c>
      <c r="B565" s="2" t="s">
        <v>72</v>
      </c>
      <c r="C565" s="2" t="s">
        <v>73</v>
      </c>
      <c r="E565" s="2" t="str">
        <f>"FES1162593132"</f>
        <v>FES1162593132</v>
      </c>
      <c r="F565" s="3">
        <v>43070</v>
      </c>
      <c r="G565" s="2">
        <v>201806</v>
      </c>
      <c r="H565" s="2" t="s">
        <v>74</v>
      </c>
      <c r="I565" s="2" t="s">
        <v>75</v>
      </c>
      <c r="J565" s="2" t="s">
        <v>97</v>
      </c>
      <c r="K565" s="2" t="s">
        <v>77</v>
      </c>
      <c r="L565" s="2" t="s">
        <v>828</v>
      </c>
      <c r="M565" s="2" t="s">
        <v>829</v>
      </c>
      <c r="N565" s="2" t="s">
        <v>830</v>
      </c>
      <c r="O565" s="2" t="s">
        <v>101</v>
      </c>
      <c r="P565" s="2" t="str">
        <f>"2170603514                    "</f>
        <v xml:space="preserve">2170603514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5.65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45.15</v>
      </c>
      <c r="BM565" s="2">
        <v>6.32</v>
      </c>
      <c r="BN565" s="2">
        <v>51.47</v>
      </c>
      <c r="BO565" s="2">
        <v>51.47</v>
      </c>
      <c r="BQ565" s="2" t="s">
        <v>128</v>
      </c>
      <c r="BR565" s="2" t="s">
        <v>103</v>
      </c>
      <c r="BS565" s="3">
        <v>43073</v>
      </c>
      <c r="BT565" s="4">
        <v>0.3743055555555555</v>
      </c>
      <c r="BU565" s="2" t="s">
        <v>831</v>
      </c>
      <c r="BV565" s="2" t="s">
        <v>85</v>
      </c>
      <c r="BY565" s="2">
        <v>1200</v>
      </c>
      <c r="BZ565" s="2" t="s">
        <v>27</v>
      </c>
      <c r="CA565" s="2" t="s">
        <v>832</v>
      </c>
      <c r="CC565" s="2" t="s">
        <v>829</v>
      </c>
      <c r="CD565" s="2">
        <v>9300</v>
      </c>
      <c r="CE565" s="2" t="s">
        <v>120</v>
      </c>
      <c r="CF565" s="3">
        <v>43075</v>
      </c>
      <c r="CI565" s="2">
        <v>1</v>
      </c>
      <c r="CJ565" s="2">
        <v>1</v>
      </c>
      <c r="CK565" s="2">
        <v>21</v>
      </c>
      <c r="CL565" s="2" t="s">
        <v>89</v>
      </c>
    </row>
    <row r="566" spans="1:90">
      <c r="A566" s="2" t="s">
        <v>71</v>
      </c>
      <c r="B566" s="2" t="s">
        <v>72</v>
      </c>
      <c r="C566" s="2" t="s">
        <v>73</v>
      </c>
      <c r="E566" s="2" t="str">
        <f>"FES1162593435"</f>
        <v>FES1162593435</v>
      </c>
      <c r="F566" s="3">
        <v>43073</v>
      </c>
      <c r="G566" s="2">
        <v>201806</v>
      </c>
      <c r="H566" s="2" t="s">
        <v>74</v>
      </c>
      <c r="I566" s="2" t="s">
        <v>75</v>
      </c>
      <c r="J566" s="2" t="s">
        <v>97</v>
      </c>
      <c r="K566" s="2" t="s">
        <v>77</v>
      </c>
      <c r="L566" s="2" t="s">
        <v>115</v>
      </c>
      <c r="M566" s="2" t="s">
        <v>116</v>
      </c>
      <c r="N566" s="2" t="s">
        <v>1065</v>
      </c>
      <c r="O566" s="2" t="s">
        <v>101</v>
      </c>
      <c r="P566" s="2" t="str">
        <f>"2170604067                    "</f>
        <v xml:space="preserve">2170604067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4.41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</v>
      </c>
      <c r="BJ566" s="2">
        <v>0.2</v>
      </c>
      <c r="BK566" s="2">
        <v>1</v>
      </c>
      <c r="BL566" s="2">
        <v>35.270000000000003</v>
      </c>
      <c r="BM566" s="2">
        <v>4.9400000000000004</v>
      </c>
      <c r="BN566" s="2">
        <v>40.21</v>
      </c>
      <c r="BO566" s="2">
        <v>40.21</v>
      </c>
      <c r="BQ566" s="2" t="s">
        <v>1066</v>
      </c>
      <c r="BR566" s="2" t="s">
        <v>103</v>
      </c>
      <c r="BS566" s="3">
        <v>43074</v>
      </c>
      <c r="BT566" s="4">
        <v>0.40625</v>
      </c>
      <c r="BU566" s="2" t="s">
        <v>1067</v>
      </c>
      <c r="BV566" s="2" t="s">
        <v>85</v>
      </c>
      <c r="BY566" s="2">
        <v>1200</v>
      </c>
      <c r="BZ566" s="2" t="s">
        <v>27</v>
      </c>
      <c r="CA566" s="2" t="s">
        <v>1068</v>
      </c>
      <c r="CC566" s="2" t="s">
        <v>116</v>
      </c>
      <c r="CD566" s="2">
        <v>1459</v>
      </c>
      <c r="CE566" s="2" t="s">
        <v>120</v>
      </c>
      <c r="CF566" s="3">
        <v>43077</v>
      </c>
      <c r="CI566" s="2">
        <v>1</v>
      </c>
      <c r="CJ566" s="2">
        <v>1</v>
      </c>
      <c r="CK566" s="2">
        <v>22</v>
      </c>
      <c r="CL566" s="2" t="s">
        <v>89</v>
      </c>
    </row>
    <row r="567" spans="1:90">
      <c r="A567" s="2" t="s">
        <v>71</v>
      </c>
      <c r="B567" s="2" t="s">
        <v>72</v>
      </c>
      <c r="C567" s="2" t="s">
        <v>73</v>
      </c>
      <c r="E567" s="2" t="str">
        <f>"FES1162593065"</f>
        <v>FES1162593065</v>
      </c>
      <c r="F567" s="3">
        <v>43070</v>
      </c>
      <c r="G567" s="2">
        <v>201806</v>
      </c>
      <c r="H567" s="2" t="s">
        <v>74</v>
      </c>
      <c r="I567" s="2" t="s">
        <v>75</v>
      </c>
      <c r="J567" s="2" t="s">
        <v>97</v>
      </c>
      <c r="K567" s="2" t="s">
        <v>77</v>
      </c>
      <c r="L567" s="2" t="s">
        <v>158</v>
      </c>
      <c r="M567" s="2" t="s">
        <v>159</v>
      </c>
      <c r="N567" s="2" t="s">
        <v>588</v>
      </c>
      <c r="O567" s="2" t="s">
        <v>101</v>
      </c>
      <c r="P567" s="2" t="str">
        <f>"2170604196                    "</f>
        <v xml:space="preserve">2170604196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5.65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0.2</v>
      </c>
      <c r="BK567" s="2">
        <v>1</v>
      </c>
      <c r="BL567" s="2">
        <v>45.15</v>
      </c>
      <c r="BM567" s="2">
        <v>6.32</v>
      </c>
      <c r="BN567" s="2">
        <v>51.47</v>
      </c>
      <c r="BO567" s="2">
        <v>51.47</v>
      </c>
      <c r="BQ567" s="2" t="s">
        <v>102</v>
      </c>
      <c r="BR567" s="2" t="s">
        <v>103</v>
      </c>
      <c r="BS567" s="3">
        <v>43073</v>
      </c>
      <c r="BT567" s="4">
        <v>0.52777777777777779</v>
      </c>
      <c r="BU567" s="2" t="s">
        <v>636</v>
      </c>
      <c r="BV567" s="2" t="s">
        <v>85</v>
      </c>
      <c r="BY567" s="2">
        <v>1200</v>
      </c>
      <c r="BZ567" s="2" t="s">
        <v>27</v>
      </c>
      <c r="CA567" s="2" t="s">
        <v>590</v>
      </c>
      <c r="CC567" s="2" t="s">
        <v>159</v>
      </c>
      <c r="CD567" s="2">
        <v>40</v>
      </c>
      <c r="CE567" s="2" t="s">
        <v>120</v>
      </c>
      <c r="CF567" s="3">
        <v>43075</v>
      </c>
      <c r="CI567" s="2">
        <v>1</v>
      </c>
      <c r="CJ567" s="2">
        <v>1</v>
      </c>
      <c r="CK567" s="2">
        <v>21</v>
      </c>
      <c r="CL567" s="2" t="s">
        <v>89</v>
      </c>
    </row>
    <row r="568" spans="1:90">
      <c r="A568" s="2" t="s">
        <v>71</v>
      </c>
      <c r="B568" s="2" t="s">
        <v>72</v>
      </c>
      <c r="C568" s="2" t="s">
        <v>73</v>
      </c>
      <c r="E568" s="2" t="str">
        <f>"FES1162593499"</f>
        <v>FES1162593499</v>
      </c>
      <c r="F568" s="3">
        <v>43073</v>
      </c>
      <c r="G568" s="2">
        <v>201806</v>
      </c>
      <c r="H568" s="2" t="s">
        <v>74</v>
      </c>
      <c r="I568" s="2" t="s">
        <v>75</v>
      </c>
      <c r="J568" s="2" t="s">
        <v>97</v>
      </c>
      <c r="K568" s="2" t="s">
        <v>77</v>
      </c>
      <c r="L568" s="2" t="s">
        <v>162</v>
      </c>
      <c r="M568" s="2" t="s">
        <v>163</v>
      </c>
      <c r="N568" s="2" t="s">
        <v>642</v>
      </c>
      <c r="O568" s="2" t="s">
        <v>101</v>
      </c>
      <c r="P568" s="2" t="str">
        <f>"2170605382                    "</f>
        <v xml:space="preserve">2170605382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4.41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0.2</v>
      </c>
      <c r="BK568" s="2">
        <v>1</v>
      </c>
      <c r="BL568" s="2">
        <v>35.270000000000003</v>
      </c>
      <c r="BM568" s="2">
        <v>4.9400000000000004</v>
      </c>
      <c r="BN568" s="2">
        <v>40.21</v>
      </c>
      <c r="BO568" s="2">
        <v>40.21</v>
      </c>
      <c r="BQ568" s="2" t="s">
        <v>142</v>
      </c>
      <c r="BR568" s="2" t="s">
        <v>103</v>
      </c>
      <c r="BS568" s="3">
        <v>43074</v>
      </c>
      <c r="BT568" s="4">
        <v>0.41666666666666669</v>
      </c>
      <c r="BU568" s="2" t="s">
        <v>205</v>
      </c>
      <c r="BV568" s="2" t="s">
        <v>85</v>
      </c>
      <c r="BY568" s="2">
        <v>1200</v>
      </c>
      <c r="BZ568" s="2" t="s">
        <v>27</v>
      </c>
      <c r="CC568" s="2" t="s">
        <v>163</v>
      </c>
      <c r="CD568" s="2">
        <v>1451</v>
      </c>
      <c r="CE568" s="2" t="s">
        <v>120</v>
      </c>
      <c r="CF568" s="3">
        <v>43075</v>
      </c>
      <c r="CI568" s="2">
        <v>1</v>
      </c>
      <c r="CJ568" s="2">
        <v>1</v>
      </c>
      <c r="CK568" s="2">
        <v>22</v>
      </c>
      <c r="CL568" s="2" t="s">
        <v>89</v>
      </c>
    </row>
    <row r="569" spans="1:90">
      <c r="A569" s="2" t="s">
        <v>71</v>
      </c>
      <c r="B569" s="2" t="s">
        <v>72</v>
      </c>
      <c r="C569" s="2" t="s">
        <v>73</v>
      </c>
      <c r="E569" s="2" t="str">
        <f>"FES1162593172"</f>
        <v>FES1162593172</v>
      </c>
      <c r="F569" s="3">
        <v>43070</v>
      </c>
      <c r="G569" s="2">
        <v>201806</v>
      </c>
      <c r="H569" s="2" t="s">
        <v>74</v>
      </c>
      <c r="I569" s="2" t="s">
        <v>75</v>
      </c>
      <c r="J569" s="2" t="s">
        <v>97</v>
      </c>
      <c r="K569" s="2" t="s">
        <v>77</v>
      </c>
      <c r="L569" s="2" t="s">
        <v>152</v>
      </c>
      <c r="M569" s="2" t="s">
        <v>153</v>
      </c>
      <c r="N569" s="2" t="s">
        <v>309</v>
      </c>
      <c r="O569" s="2" t="s">
        <v>101</v>
      </c>
      <c r="P569" s="2" t="str">
        <f>"2170605507                    "</f>
        <v xml:space="preserve">2170605507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4.41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</v>
      </c>
      <c r="BJ569" s="2">
        <v>0.2</v>
      </c>
      <c r="BK569" s="2">
        <v>1</v>
      </c>
      <c r="BL569" s="2">
        <v>35.270000000000003</v>
      </c>
      <c r="BM569" s="2">
        <v>4.9400000000000004</v>
      </c>
      <c r="BN569" s="2">
        <v>40.21</v>
      </c>
      <c r="BO569" s="2">
        <v>40.21</v>
      </c>
      <c r="BQ569" s="2" t="s">
        <v>102</v>
      </c>
      <c r="BR569" s="2" t="s">
        <v>103</v>
      </c>
      <c r="BS569" s="3">
        <v>43073</v>
      </c>
      <c r="BT569" s="4">
        <v>0.38263888888888892</v>
      </c>
      <c r="BU569" s="2" t="s">
        <v>687</v>
      </c>
      <c r="BV569" s="2" t="s">
        <v>85</v>
      </c>
      <c r="BY569" s="2">
        <v>1200</v>
      </c>
      <c r="BZ569" s="2" t="s">
        <v>27</v>
      </c>
      <c r="CA569" s="2" t="s">
        <v>392</v>
      </c>
      <c r="CC569" s="2" t="s">
        <v>153</v>
      </c>
      <c r="CD569" s="2">
        <v>1406</v>
      </c>
      <c r="CE569" s="2" t="s">
        <v>120</v>
      </c>
      <c r="CF569" s="3">
        <v>43074</v>
      </c>
      <c r="CI569" s="2">
        <v>1</v>
      </c>
      <c r="CJ569" s="2">
        <v>1</v>
      </c>
      <c r="CK569" s="2">
        <v>22</v>
      </c>
      <c r="CL569" s="2" t="s">
        <v>89</v>
      </c>
    </row>
    <row r="570" spans="1:90">
      <c r="A570" s="2" t="s">
        <v>71</v>
      </c>
      <c r="B570" s="2" t="s">
        <v>72</v>
      </c>
      <c r="C570" s="2" t="s">
        <v>73</v>
      </c>
      <c r="E570" s="2" t="str">
        <f>"FES1162593707"</f>
        <v>FES1162593707</v>
      </c>
      <c r="F570" s="3">
        <v>43073</v>
      </c>
      <c r="G570" s="2">
        <v>201806</v>
      </c>
      <c r="H570" s="2" t="s">
        <v>74</v>
      </c>
      <c r="I570" s="2" t="s">
        <v>75</v>
      </c>
      <c r="J570" s="2" t="s">
        <v>97</v>
      </c>
      <c r="K570" s="2" t="s">
        <v>77</v>
      </c>
      <c r="L570" s="2" t="s">
        <v>173</v>
      </c>
      <c r="M570" s="2" t="s">
        <v>174</v>
      </c>
      <c r="N570" s="2" t="s">
        <v>419</v>
      </c>
      <c r="O570" s="2" t="s">
        <v>101</v>
      </c>
      <c r="P570" s="2" t="str">
        <f>"2170605618                    "</f>
        <v xml:space="preserve">2170605618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5.65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1</v>
      </c>
      <c r="BJ570" s="2">
        <v>0.2</v>
      </c>
      <c r="BK570" s="2">
        <v>1</v>
      </c>
      <c r="BL570" s="2">
        <v>45.15</v>
      </c>
      <c r="BM570" s="2">
        <v>6.32</v>
      </c>
      <c r="BN570" s="2">
        <v>51.47</v>
      </c>
      <c r="BO570" s="2">
        <v>51.47</v>
      </c>
      <c r="BQ570" s="2" t="s">
        <v>102</v>
      </c>
      <c r="BR570" s="2" t="s">
        <v>103</v>
      </c>
      <c r="BS570" s="3">
        <v>43074</v>
      </c>
      <c r="BT570" s="4">
        <v>0.41666666666666669</v>
      </c>
      <c r="BU570" s="2" t="s">
        <v>420</v>
      </c>
      <c r="BV570" s="2" t="s">
        <v>85</v>
      </c>
      <c r="BY570" s="2">
        <v>1200</v>
      </c>
      <c r="BZ570" s="2" t="s">
        <v>27</v>
      </c>
      <c r="CA570" s="2" t="s">
        <v>421</v>
      </c>
      <c r="CC570" s="2" t="s">
        <v>174</v>
      </c>
      <c r="CD570" s="2">
        <v>7945</v>
      </c>
      <c r="CE570" s="2" t="s">
        <v>120</v>
      </c>
      <c r="CF570" s="3">
        <v>43074</v>
      </c>
      <c r="CI570" s="2">
        <v>1</v>
      </c>
      <c r="CJ570" s="2">
        <v>1</v>
      </c>
      <c r="CK570" s="2">
        <v>21</v>
      </c>
      <c r="CL570" s="2" t="s">
        <v>89</v>
      </c>
    </row>
    <row r="571" spans="1:90">
      <c r="A571" s="2" t="s">
        <v>71</v>
      </c>
      <c r="B571" s="2" t="s">
        <v>72</v>
      </c>
      <c r="C571" s="2" t="s">
        <v>73</v>
      </c>
      <c r="E571" s="2" t="str">
        <f>"FES1162593173"</f>
        <v>FES1162593173</v>
      </c>
      <c r="F571" s="3">
        <v>43070</v>
      </c>
      <c r="G571" s="2">
        <v>201806</v>
      </c>
      <c r="H571" s="2" t="s">
        <v>74</v>
      </c>
      <c r="I571" s="2" t="s">
        <v>75</v>
      </c>
      <c r="J571" s="2" t="s">
        <v>97</v>
      </c>
      <c r="K571" s="2" t="s">
        <v>77</v>
      </c>
      <c r="L571" s="2" t="s">
        <v>131</v>
      </c>
      <c r="M571" s="2" t="s">
        <v>132</v>
      </c>
      <c r="N571" s="2" t="s">
        <v>133</v>
      </c>
      <c r="O571" s="2" t="s">
        <v>101</v>
      </c>
      <c r="P571" s="2" t="str">
        <f>"2170605510                    "</f>
        <v xml:space="preserve">2170605510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5.65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1</v>
      </c>
      <c r="BJ571" s="2">
        <v>0.2</v>
      </c>
      <c r="BK571" s="2">
        <v>1</v>
      </c>
      <c r="BL571" s="2">
        <v>45.15</v>
      </c>
      <c r="BM571" s="2">
        <v>6.32</v>
      </c>
      <c r="BN571" s="2">
        <v>51.47</v>
      </c>
      <c r="BO571" s="2">
        <v>51.47</v>
      </c>
      <c r="BQ571" s="2" t="s">
        <v>102</v>
      </c>
      <c r="BR571" s="2" t="s">
        <v>103</v>
      </c>
      <c r="BS571" s="3">
        <v>43073</v>
      </c>
      <c r="BT571" s="4">
        <v>0.38611111111111113</v>
      </c>
      <c r="BU571" s="2" t="s">
        <v>1069</v>
      </c>
      <c r="BV571" s="2" t="s">
        <v>85</v>
      </c>
      <c r="BY571" s="2">
        <v>1200</v>
      </c>
      <c r="BZ571" s="2" t="s">
        <v>27</v>
      </c>
      <c r="CA571" s="2" t="s">
        <v>135</v>
      </c>
      <c r="CC571" s="2" t="s">
        <v>132</v>
      </c>
      <c r="CD571" s="2">
        <v>4302</v>
      </c>
      <c r="CE571" s="2" t="s">
        <v>120</v>
      </c>
      <c r="CF571" s="3">
        <v>43074</v>
      </c>
      <c r="CI571" s="2">
        <v>1</v>
      </c>
      <c r="CJ571" s="2">
        <v>1</v>
      </c>
      <c r="CK571" s="2">
        <v>21</v>
      </c>
      <c r="CL571" s="2" t="s">
        <v>89</v>
      </c>
    </row>
    <row r="572" spans="1:90">
      <c r="A572" s="2" t="s">
        <v>71</v>
      </c>
      <c r="B572" s="2" t="s">
        <v>72</v>
      </c>
      <c r="C572" s="2" t="s">
        <v>73</v>
      </c>
      <c r="E572" s="2" t="str">
        <f>"FES1162593447"</f>
        <v>FES1162593447</v>
      </c>
      <c r="F572" s="3">
        <v>43073</v>
      </c>
      <c r="G572" s="2">
        <v>201806</v>
      </c>
      <c r="H572" s="2" t="s">
        <v>74</v>
      </c>
      <c r="I572" s="2" t="s">
        <v>75</v>
      </c>
      <c r="J572" s="2" t="s">
        <v>97</v>
      </c>
      <c r="K572" s="2" t="s">
        <v>77</v>
      </c>
      <c r="L572" s="2" t="s">
        <v>173</v>
      </c>
      <c r="M572" s="2" t="s">
        <v>174</v>
      </c>
      <c r="N572" s="2" t="s">
        <v>815</v>
      </c>
      <c r="O572" s="2" t="s">
        <v>101</v>
      </c>
      <c r="P572" s="2" t="str">
        <f>"2170604326                    "</f>
        <v xml:space="preserve">2170604326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15.53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5.0999999999999996</v>
      </c>
      <c r="BJ572" s="2">
        <v>2.1</v>
      </c>
      <c r="BK572" s="2">
        <v>5.5</v>
      </c>
      <c r="BL572" s="2">
        <v>124.12</v>
      </c>
      <c r="BM572" s="2">
        <v>17.38</v>
      </c>
      <c r="BN572" s="2">
        <v>141.5</v>
      </c>
      <c r="BO572" s="2">
        <v>141.5</v>
      </c>
      <c r="BQ572" s="2" t="s">
        <v>102</v>
      </c>
      <c r="BR572" s="2" t="s">
        <v>103</v>
      </c>
      <c r="BS572" s="3">
        <v>43074</v>
      </c>
      <c r="BT572" s="4">
        <v>0.41666666666666669</v>
      </c>
      <c r="BU572" s="2" t="s">
        <v>903</v>
      </c>
      <c r="BV572" s="2" t="s">
        <v>85</v>
      </c>
      <c r="BY572" s="2">
        <v>10470.049999999999</v>
      </c>
      <c r="BZ572" s="2" t="s">
        <v>27</v>
      </c>
      <c r="CA572" s="2" t="s">
        <v>421</v>
      </c>
      <c r="CC572" s="2" t="s">
        <v>174</v>
      </c>
      <c r="CD572" s="2">
        <v>7945</v>
      </c>
      <c r="CE572" s="2" t="s">
        <v>95</v>
      </c>
      <c r="CF572" s="3">
        <v>43074</v>
      </c>
      <c r="CI572" s="2">
        <v>1</v>
      </c>
      <c r="CJ572" s="2">
        <v>1</v>
      </c>
      <c r="CK572" s="2">
        <v>21</v>
      </c>
      <c r="CL572" s="2" t="s">
        <v>89</v>
      </c>
    </row>
    <row r="573" spans="1:90">
      <c r="A573" s="2" t="s">
        <v>71</v>
      </c>
      <c r="B573" s="2" t="s">
        <v>72</v>
      </c>
      <c r="C573" s="2" t="s">
        <v>73</v>
      </c>
      <c r="E573" s="2" t="str">
        <f>"FES1162593022"</f>
        <v>FES1162593022</v>
      </c>
      <c r="F573" s="3">
        <v>43070</v>
      </c>
      <c r="G573" s="2">
        <v>201806</v>
      </c>
      <c r="H573" s="2" t="s">
        <v>74</v>
      </c>
      <c r="I573" s="2" t="s">
        <v>75</v>
      </c>
      <c r="J573" s="2" t="s">
        <v>97</v>
      </c>
      <c r="K573" s="2" t="s">
        <v>77</v>
      </c>
      <c r="L573" s="2" t="s">
        <v>158</v>
      </c>
      <c r="M573" s="2" t="s">
        <v>159</v>
      </c>
      <c r="N573" s="2" t="s">
        <v>786</v>
      </c>
      <c r="O573" s="2" t="s">
        <v>101</v>
      </c>
      <c r="P573" s="2" t="str">
        <f>"2170602214                    "</f>
        <v xml:space="preserve">2170602214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5.65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1</v>
      </c>
      <c r="BJ573" s="2">
        <v>0.2</v>
      </c>
      <c r="BK573" s="2">
        <v>1</v>
      </c>
      <c r="BL573" s="2">
        <v>45.15</v>
      </c>
      <c r="BM573" s="2">
        <v>6.32</v>
      </c>
      <c r="BN573" s="2">
        <v>51.47</v>
      </c>
      <c r="BO573" s="2">
        <v>51.47</v>
      </c>
      <c r="BR573" s="2" t="s">
        <v>103</v>
      </c>
      <c r="BS573" s="3">
        <v>43073</v>
      </c>
      <c r="BT573" s="4">
        <v>0.54166666666666663</v>
      </c>
      <c r="BU573" s="2" t="s">
        <v>1070</v>
      </c>
      <c r="BV573" s="2" t="s">
        <v>85</v>
      </c>
      <c r="BY573" s="2">
        <v>1200</v>
      </c>
      <c r="BZ573" s="2" t="s">
        <v>27</v>
      </c>
      <c r="CC573" s="2" t="s">
        <v>159</v>
      </c>
      <c r="CD573" s="2">
        <v>82</v>
      </c>
      <c r="CE573" s="2" t="s">
        <v>120</v>
      </c>
      <c r="CF573" s="3">
        <v>43075</v>
      </c>
      <c r="CI573" s="2">
        <v>1</v>
      </c>
      <c r="CJ573" s="2">
        <v>1</v>
      </c>
      <c r="CK573" s="2">
        <v>21</v>
      </c>
      <c r="CL573" s="2" t="s">
        <v>89</v>
      </c>
    </row>
    <row r="574" spans="1:90">
      <c r="A574" s="2" t="s">
        <v>71</v>
      </c>
      <c r="B574" s="2" t="s">
        <v>72</v>
      </c>
      <c r="C574" s="2" t="s">
        <v>73</v>
      </c>
      <c r="E574" s="2" t="str">
        <f>"FES1162593473"</f>
        <v>FES1162593473</v>
      </c>
      <c r="F574" s="3">
        <v>43073</v>
      </c>
      <c r="G574" s="2">
        <v>201806</v>
      </c>
      <c r="H574" s="2" t="s">
        <v>74</v>
      </c>
      <c r="I574" s="2" t="s">
        <v>75</v>
      </c>
      <c r="J574" s="2" t="s">
        <v>97</v>
      </c>
      <c r="K574" s="2" t="s">
        <v>77</v>
      </c>
      <c r="L574" s="2" t="s">
        <v>462</v>
      </c>
      <c r="M574" s="2" t="s">
        <v>463</v>
      </c>
      <c r="N574" s="2" t="s">
        <v>464</v>
      </c>
      <c r="O574" s="2" t="s">
        <v>101</v>
      </c>
      <c r="P574" s="2" t="str">
        <f>"2170604918                    "</f>
        <v xml:space="preserve">2170604918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21.17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7.3</v>
      </c>
      <c r="BJ574" s="2">
        <v>3.4</v>
      </c>
      <c r="BK574" s="2">
        <v>7.5</v>
      </c>
      <c r="BL574" s="2">
        <v>169.24</v>
      </c>
      <c r="BM574" s="2">
        <v>23.69</v>
      </c>
      <c r="BN574" s="2">
        <v>192.93</v>
      </c>
      <c r="BO574" s="2">
        <v>192.93</v>
      </c>
      <c r="BQ574" s="2" t="s">
        <v>102</v>
      </c>
      <c r="BR574" s="2" t="s">
        <v>103</v>
      </c>
      <c r="BS574" s="3">
        <v>43074</v>
      </c>
      <c r="BT574" s="4">
        <v>0.76041666666666663</v>
      </c>
      <c r="BU574" s="2" t="s">
        <v>466</v>
      </c>
      <c r="BV574" s="2" t="s">
        <v>89</v>
      </c>
      <c r="BW574" s="2" t="s">
        <v>471</v>
      </c>
      <c r="BX574" s="2" t="s">
        <v>246</v>
      </c>
      <c r="BY574" s="2">
        <v>17097.12</v>
      </c>
      <c r="BZ574" s="2" t="s">
        <v>27</v>
      </c>
      <c r="CA574" s="2" t="s">
        <v>542</v>
      </c>
      <c r="CC574" s="2" t="s">
        <v>463</v>
      </c>
      <c r="CD574" s="2">
        <v>7130</v>
      </c>
      <c r="CE574" s="2" t="s">
        <v>95</v>
      </c>
      <c r="CF574" s="3">
        <v>43075</v>
      </c>
      <c r="CI574" s="2">
        <v>1</v>
      </c>
      <c r="CJ574" s="2">
        <v>1</v>
      </c>
      <c r="CK574" s="2">
        <v>21</v>
      </c>
      <c r="CL574" s="2" t="s">
        <v>89</v>
      </c>
    </row>
    <row r="575" spans="1:90">
      <c r="A575" s="2" t="s">
        <v>71</v>
      </c>
      <c r="B575" s="2" t="s">
        <v>72</v>
      </c>
      <c r="C575" s="2" t="s">
        <v>73</v>
      </c>
      <c r="E575" s="2" t="str">
        <f>"FES1162593183"</f>
        <v>FES1162593183</v>
      </c>
      <c r="F575" s="3">
        <v>43070</v>
      </c>
      <c r="G575" s="2">
        <v>201806</v>
      </c>
      <c r="H575" s="2" t="s">
        <v>74</v>
      </c>
      <c r="I575" s="2" t="s">
        <v>75</v>
      </c>
      <c r="J575" s="2" t="s">
        <v>97</v>
      </c>
      <c r="K575" s="2" t="s">
        <v>77</v>
      </c>
      <c r="L575" s="2" t="s">
        <v>106</v>
      </c>
      <c r="M575" s="2" t="s">
        <v>107</v>
      </c>
      <c r="N575" s="2" t="s">
        <v>768</v>
      </c>
      <c r="O575" s="2" t="s">
        <v>101</v>
      </c>
      <c r="P575" s="2" t="str">
        <f>"2170602742                    "</f>
        <v xml:space="preserve">2170602742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4.41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35.270000000000003</v>
      </c>
      <c r="BM575" s="2">
        <v>4.9400000000000004</v>
      </c>
      <c r="BN575" s="2">
        <v>40.21</v>
      </c>
      <c r="BO575" s="2">
        <v>40.21</v>
      </c>
      <c r="BQ575" s="2" t="s">
        <v>769</v>
      </c>
      <c r="BR575" s="2" t="s">
        <v>103</v>
      </c>
      <c r="BS575" s="3">
        <v>43073</v>
      </c>
      <c r="BT575" s="4">
        <v>0.33055555555555555</v>
      </c>
      <c r="BU575" s="2" t="s">
        <v>770</v>
      </c>
      <c r="BV575" s="2" t="s">
        <v>85</v>
      </c>
      <c r="BY575" s="2">
        <v>1200</v>
      </c>
      <c r="CA575" s="2" t="s">
        <v>644</v>
      </c>
      <c r="CC575" s="2" t="s">
        <v>107</v>
      </c>
      <c r="CD575" s="2">
        <v>2094</v>
      </c>
      <c r="CE575" s="2" t="s">
        <v>120</v>
      </c>
      <c r="CF575" s="3">
        <v>43075</v>
      </c>
      <c r="CI575" s="2">
        <v>1</v>
      </c>
      <c r="CJ575" s="2">
        <v>1</v>
      </c>
      <c r="CK575" s="2">
        <v>22</v>
      </c>
      <c r="CL575" s="2" t="s">
        <v>89</v>
      </c>
    </row>
    <row r="576" spans="1:90">
      <c r="A576" s="2" t="s">
        <v>71</v>
      </c>
      <c r="B576" s="2" t="s">
        <v>72</v>
      </c>
      <c r="C576" s="2" t="s">
        <v>73</v>
      </c>
      <c r="E576" s="2" t="str">
        <f>"FES1162593388"</f>
        <v>FES1162593388</v>
      </c>
      <c r="F576" s="3">
        <v>43073</v>
      </c>
      <c r="G576" s="2">
        <v>201806</v>
      </c>
      <c r="H576" s="2" t="s">
        <v>74</v>
      </c>
      <c r="I576" s="2" t="s">
        <v>75</v>
      </c>
      <c r="J576" s="2" t="s">
        <v>97</v>
      </c>
      <c r="K576" s="2" t="s">
        <v>77</v>
      </c>
      <c r="L576" s="2" t="s">
        <v>462</v>
      </c>
      <c r="M576" s="2" t="s">
        <v>463</v>
      </c>
      <c r="N576" s="2" t="s">
        <v>464</v>
      </c>
      <c r="O576" s="2" t="s">
        <v>101</v>
      </c>
      <c r="P576" s="2" t="str">
        <f>"2170602999                    "</f>
        <v xml:space="preserve">2170602999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28.23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9.6</v>
      </c>
      <c r="BJ576" s="2">
        <v>3.4</v>
      </c>
      <c r="BK576" s="2">
        <v>10</v>
      </c>
      <c r="BL576" s="2">
        <v>225.65</v>
      </c>
      <c r="BM576" s="2">
        <v>31.59</v>
      </c>
      <c r="BN576" s="2">
        <v>257.24</v>
      </c>
      <c r="BO576" s="2">
        <v>257.24</v>
      </c>
      <c r="BQ576" s="2" t="s">
        <v>102</v>
      </c>
      <c r="BR576" s="2" t="s">
        <v>103</v>
      </c>
      <c r="BS576" s="3">
        <v>43074</v>
      </c>
      <c r="BT576" s="4">
        <v>0.76041666666666663</v>
      </c>
      <c r="BU576" s="2" t="s">
        <v>466</v>
      </c>
      <c r="BV576" s="2" t="s">
        <v>89</v>
      </c>
      <c r="BW576" s="2" t="s">
        <v>471</v>
      </c>
      <c r="BX576" s="2" t="s">
        <v>246</v>
      </c>
      <c r="BY576" s="2">
        <v>16778.46</v>
      </c>
      <c r="BZ576" s="2" t="s">
        <v>27</v>
      </c>
      <c r="CA576" s="2" t="s">
        <v>542</v>
      </c>
      <c r="CC576" s="2" t="s">
        <v>463</v>
      </c>
      <c r="CD576" s="2">
        <v>7130</v>
      </c>
      <c r="CE576" s="2" t="s">
        <v>95</v>
      </c>
      <c r="CF576" s="3">
        <v>43075</v>
      </c>
      <c r="CI576" s="2">
        <v>1</v>
      </c>
      <c r="CJ576" s="2">
        <v>1</v>
      </c>
      <c r="CK576" s="2">
        <v>21</v>
      </c>
      <c r="CL576" s="2" t="s">
        <v>89</v>
      </c>
    </row>
    <row r="577" spans="1:90">
      <c r="A577" s="2" t="s">
        <v>71</v>
      </c>
      <c r="B577" s="2" t="s">
        <v>72</v>
      </c>
      <c r="C577" s="2" t="s">
        <v>73</v>
      </c>
      <c r="E577" s="2" t="str">
        <f>"FES1162593137"</f>
        <v>FES1162593137</v>
      </c>
      <c r="F577" s="3">
        <v>43070</v>
      </c>
      <c r="G577" s="2">
        <v>201806</v>
      </c>
      <c r="H577" s="2" t="s">
        <v>74</v>
      </c>
      <c r="I577" s="2" t="s">
        <v>75</v>
      </c>
      <c r="J577" s="2" t="s">
        <v>97</v>
      </c>
      <c r="K577" s="2" t="s">
        <v>77</v>
      </c>
      <c r="L577" s="2" t="s">
        <v>1071</v>
      </c>
      <c r="M577" s="2" t="s">
        <v>1072</v>
      </c>
      <c r="N577" s="2" t="s">
        <v>1073</v>
      </c>
      <c r="O577" s="2" t="s">
        <v>101</v>
      </c>
      <c r="P577" s="2" t="str">
        <f>"2170605464                    "</f>
        <v xml:space="preserve">2170605464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10.94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87.47</v>
      </c>
      <c r="BM577" s="2">
        <v>12.25</v>
      </c>
      <c r="BN577" s="2">
        <v>99.72</v>
      </c>
      <c r="BO577" s="2">
        <v>99.72</v>
      </c>
      <c r="BQ577" s="2" t="s">
        <v>128</v>
      </c>
      <c r="BR577" s="2" t="s">
        <v>103</v>
      </c>
      <c r="BS577" s="3">
        <v>43073</v>
      </c>
      <c r="BT577" s="4">
        <v>0.60763888888888895</v>
      </c>
      <c r="BU577" s="2" t="s">
        <v>114</v>
      </c>
      <c r="BV577" s="2" t="s">
        <v>85</v>
      </c>
      <c r="BY577" s="2">
        <v>1200</v>
      </c>
      <c r="CA577" s="2" t="s">
        <v>602</v>
      </c>
      <c r="CC577" s="2" t="s">
        <v>1072</v>
      </c>
      <c r="CD577" s="2">
        <v>9650</v>
      </c>
      <c r="CE577" s="2" t="s">
        <v>120</v>
      </c>
      <c r="CF577" s="3">
        <v>43077</v>
      </c>
      <c r="CI577" s="2">
        <v>1</v>
      </c>
      <c r="CJ577" s="2">
        <v>1</v>
      </c>
      <c r="CK577" s="2">
        <v>23</v>
      </c>
      <c r="CL577" s="2" t="s">
        <v>89</v>
      </c>
    </row>
    <row r="578" spans="1:90">
      <c r="A578" s="2" t="s">
        <v>71</v>
      </c>
      <c r="B578" s="2" t="s">
        <v>72</v>
      </c>
      <c r="C578" s="2" t="s">
        <v>73</v>
      </c>
      <c r="E578" s="2" t="str">
        <f>"FES1162593386"</f>
        <v>FES1162593386</v>
      </c>
      <c r="F578" s="3">
        <v>43073</v>
      </c>
      <c r="G578" s="2">
        <v>201806</v>
      </c>
      <c r="H578" s="2" t="s">
        <v>74</v>
      </c>
      <c r="I578" s="2" t="s">
        <v>75</v>
      </c>
      <c r="J578" s="2" t="s">
        <v>97</v>
      </c>
      <c r="K578" s="2" t="s">
        <v>77</v>
      </c>
      <c r="L578" s="2" t="s">
        <v>462</v>
      </c>
      <c r="M578" s="2" t="s">
        <v>463</v>
      </c>
      <c r="N578" s="2" t="s">
        <v>464</v>
      </c>
      <c r="O578" s="2" t="s">
        <v>101</v>
      </c>
      <c r="P578" s="2" t="str">
        <f>"2170602988                    "</f>
        <v xml:space="preserve">2170602988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25.41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8.6999999999999993</v>
      </c>
      <c r="BJ578" s="2">
        <v>3.6</v>
      </c>
      <c r="BK578" s="2">
        <v>9</v>
      </c>
      <c r="BL578" s="2">
        <v>203.09</v>
      </c>
      <c r="BM578" s="2">
        <v>28.43</v>
      </c>
      <c r="BN578" s="2">
        <v>231.52</v>
      </c>
      <c r="BO578" s="2">
        <v>231.52</v>
      </c>
      <c r="BQ578" s="2" t="s">
        <v>102</v>
      </c>
      <c r="BR578" s="2" t="s">
        <v>103</v>
      </c>
      <c r="BS578" s="3">
        <v>43074</v>
      </c>
      <c r="BT578" s="4">
        <v>0.76180555555555562</v>
      </c>
      <c r="BU578" s="2" t="s">
        <v>466</v>
      </c>
      <c r="BV578" s="2" t="s">
        <v>89</v>
      </c>
      <c r="BW578" s="2" t="s">
        <v>471</v>
      </c>
      <c r="BX578" s="2" t="s">
        <v>246</v>
      </c>
      <c r="BY578" s="2">
        <v>18104.25</v>
      </c>
      <c r="BZ578" s="2" t="s">
        <v>27</v>
      </c>
      <c r="CA578" s="2" t="s">
        <v>542</v>
      </c>
      <c r="CC578" s="2" t="s">
        <v>463</v>
      </c>
      <c r="CD578" s="2">
        <v>7130</v>
      </c>
      <c r="CE578" s="2" t="s">
        <v>95</v>
      </c>
      <c r="CF578" s="3">
        <v>43075</v>
      </c>
      <c r="CI578" s="2">
        <v>1</v>
      </c>
      <c r="CJ578" s="2">
        <v>1</v>
      </c>
      <c r="CK578" s="2">
        <v>21</v>
      </c>
      <c r="CL578" s="2" t="s">
        <v>89</v>
      </c>
    </row>
    <row r="579" spans="1:90">
      <c r="A579" s="2" t="s">
        <v>71</v>
      </c>
      <c r="B579" s="2" t="s">
        <v>72</v>
      </c>
      <c r="C579" s="2" t="s">
        <v>73</v>
      </c>
      <c r="E579" s="2" t="str">
        <f>"FES1162593197"</f>
        <v>FES1162593197</v>
      </c>
      <c r="F579" s="3">
        <v>43070</v>
      </c>
      <c r="G579" s="2">
        <v>201806</v>
      </c>
      <c r="H579" s="2" t="s">
        <v>74</v>
      </c>
      <c r="I579" s="2" t="s">
        <v>75</v>
      </c>
      <c r="J579" s="2" t="s">
        <v>97</v>
      </c>
      <c r="K579" s="2" t="s">
        <v>77</v>
      </c>
      <c r="L579" s="2" t="s">
        <v>173</v>
      </c>
      <c r="M579" s="2" t="s">
        <v>174</v>
      </c>
      <c r="N579" s="2" t="s">
        <v>376</v>
      </c>
      <c r="O579" s="2" t="s">
        <v>101</v>
      </c>
      <c r="P579" s="2" t="str">
        <f>"2170603241                    "</f>
        <v xml:space="preserve">2170603241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5.65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2</v>
      </c>
      <c r="BJ579" s="2">
        <v>0.9</v>
      </c>
      <c r="BK579" s="2">
        <v>2</v>
      </c>
      <c r="BL579" s="2">
        <v>45.15</v>
      </c>
      <c r="BM579" s="2">
        <v>6.32</v>
      </c>
      <c r="BN579" s="2">
        <v>51.47</v>
      </c>
      <c r="BO579" s="2">
        <v>51.47</v>
      </c>
      <c r="BQ579" s="2" t="s">
        <v>102</v>
      </c>
      <c r="BR579" s="2" t="s">
        <v>103</v>
      </c>
      <c r="BS579" s="3">
        <v>43073</v>
      </c>
      <c r="BT579" s="4">
        <v>0.41180555555555554</v>
      </c>
      <c r="BU579" s="2" t="s">
        <v>536</v>
      </c>
      <c r="BV579" s="2" t="s">
        <v>85</v>
      </c>
      <c r="BY579" s="2">
        <v>4500</v>
      </c>
      <c r="BZ579" s="2" t="s">
        <v>27</v>
      </c>
      <c r="CA579" s="2" t="s">
        <v>378</v>
      </c>
      <c r="CC579" s="2" t="s">
        <v>174</v>
      </c>
      <c r="CD579" s="2">
        <v>7490</v>
      </c>
      <c r="CE579" s="2" t="s">
        <v>87</v>
      </c>
      <c r="CF579" s="3">
        <v>43074</v>
      </c>
      <c r="CI579" s="2">
        <v>1</v>
      </c>
      <c r="CJ579" s="2">
        <v>1</v>
      </c>
      <c r="CK579" s="2">
        <v>21</v>
      </c>
      <c r="CL579" s="2" t="s">
        <v>89</v>
      </c>
    </row>
    <row r="580" spans="1:90">
      <c r="A580" s="2" t="s">
        <v>71</v>
      </c>
      <c r="B580" s="2" t="s">
        <v>72</v>
      </c>
      <c r="C580" s="2" t="s">
        <v>73</v>
      </c>
      <c r="E580" s="2" t="str">
        <f>"FES1162593255"</f>
        <v>FES1162593255</v>
      </c>
      <c r="F580" s="3">
        <v>43070</v>
      </c>
      <c r="G580" s="2">
        <v>201806</v>
      </c>
      <c r="H580" s="2" t="s">
        <v>74</v>
      </c>
      <c r="I580" s="2" t="s">
        <v>75</v>
      </c>
      <c r="J580" s="2" t="s">
        <v>97</v>
      </c>
      <c r="K580" s="2" t="s">
        <v>77</v>
      </c>
      <c r="L580" s="2" t="s">
        <v>173</v>
      </c>
      <c r="M580" s="2" t="s">
        <v>174</v>
      </c>
      <c r="N580" s="2" t="s">
        <v>747</v>
      </c>
      <c r="O580" s="2" t="s">
        <v>101</v>
      </c>
      <c r="P580" s="2" t="str">
        <f>"21706067170                   "</f>
        <v xml:space="preserve">21706067170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5.65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1.1000000000000001</v>
      </c>
      <c r="BJ580" s="2">
        <v>1.1000000000000001</v>
      </c>
      <c r="BK580" s="2">
        <v>1.5</v>
      </c>
      <c r="BL580" s="2">
        <v>45.15</v>
      </c>
      <c r="BM580" s="2">
        <v>6.32</v>
      </c>
      <c r="BN580" s="2">
        <v>51.47</v>
      </c>
      <c r="BO580" s="2">
        <v>51.47</v>
      </c>
      <c r="BQ580" s="2" t="s">
        <v>142</v>
      </c>
      <c r="BR580" s="2" t="s">
        <v>103</v>
      </c>
      <c r="BS580" s="3">
        <v>43075</v>
      </c>
      <c r="BT580" s="4">
        <v>0.46597222222222223</v>
      </c>
      <c r="BU580" s="2" t="s">
        <v>1074</v>
      </c>
      <c r="BV580" s="2" t="s">
        <v>89</v>
      </c>
      <c r="BW580" s="2" t="s">
        <v>149</v>
      </c>
      <c r="BX580" s="2" t="s">
        <v>411</v>
      </c>
      <c r="BY580" s="2">
        <v>5394.48</v>
      </c>
      <c r="CA580" s="2" t="s">
        <v>1075</v>
      </c>
      <c r="CC580" s="2" t="s">
        <v>174</v>
      </c>
      <c r="CD580" s="2">
        <v>7580</v>
      </c>
      <c r="CE580" s="2" t="s">
        <v>87</v>
      </c>
      <c r="CF580" s="3">
        <v>43076</v>
      </c>
      <c r="CI580" s="2">
        <v>1</v>
      </c>
      <c r="CJ580" s="2">
        <v>3</v>
      </c>
      <c r="CK580" s="2">
        <v>21</v>
      </c>
      <c r="CL580" s="2" t="s">
        <v>89</v>
      </c>
    </row>
    <row r="581" spans="1:90">
      <c r="A581" s="2" t="s">
        <v>71</v>
      </c>
      <c r="B581" s="2" t="s">
        <v>72</v>
      </c>
      <c r="C581" s="2" t="s">
        <v>73</v>
      </c>
      <c r="E581" s="2" t="str">
        <f>"Rfes1162592620"</f>
        <v>Rfes1162592620</v>
      </c>
      <c r="F581" s="3">
        <v>43073</v>
      </c>
      <c r="G581" s="2">
        <v>201806</v>
      </c>
      <c r="H581" s="2" t="s">
        <v>136</v>
      </c>
      <c r="I581" s="2" t="s">
        <v>137</v>
      </c>
      <c r="J581" s="2" t="s">
        <v>823</v>
      </c>
      <c r="K581" s="2" t="s">
        <v>77</v>
      </c>
      <c r="L581" s="2" t="s">
        <v>74</v>
      </c>
      <c r="M581" s="2" t="s">
        <v>75</v>
      </c>
      <c r="N581" s="2" t="s">
        <v>97</v>
      </c>
      <c r="O581" s="2" t="s">
        <v>81</v>
      </c>
      <c r="P581" s="2" t="str">
        <f>"2170601953                    "</f>
        <v xml:space="preserve">2170601953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11.56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</v>
      </c>
      <c r="BJ581" s="2">
        <v>0.2</v>
      </c>
      <c r="BK581" s="2">
        <v>1</v>
      </c>
      <c r="BL581" s="2">
        <v>97.42</v>
      </c>
      <c r="BM581" s="2">
        <v>13.64</v>
      </c>
      <c r="BN581" s="2">
        <v>111.06</v>
      </c>
      <c r="BO581" s="2">
        <v>111.06</v>
      </c>
      <c r="BQ581" s="2" t="s">
        <v>103</v>
      </c>
      <c r="BR581" s="2" t="s">
        <v>82</v>
      </c>
      <c r="BS581" s="3">
        <v>43075</v>
      </c>
      <c r="BT581" s="4">
        <v>0.40625</v>
      </c>
      <c r="BU581" s="2" t="s">
        <v>1076</v>
      </c>
      <c r="BV581" s="2" t="s">
        <v>85</v>
      </c>
      <c r="BY581" s="2">
        <v>1200</v>
      </c>
      <c r="CA581" s="2" t="s">
        <v>366</v>
      </c>
      <c r="CC581" s="2" t="s">
        <v>75</v>
      </c>
      <c r="CD581" s="2">
        <v>1600</v>
      </c>
      <c r="CE581" s="2" t="s">
        <v>95</v>
      </c>
      <c r="CF581" s="3">
        <v>43077</v>
      </c>
      <c r="CI581" s="2">
        <v>2</v>
      </c>
      <c r="CJ581" s="2">
        <v>2</v>
      </c>
      <c r="CK581" s="2" t="s">
        <v>271</v>
      </c>
      <c r="CL581" s="2" t="s">
        <v>89</v>
      </c>
    </row>
    <row r="582" spans="1:90">
      <c r="A582" s="2" t="s">
        <v>71</v>
      </c>
      <c r="B582" s="2" t="s">
        <v>72</v>
      </c>
      <c r="C582" s="2" t="s">
        <v>73</v>
      </c>
      <c r="E582" s="2" t="str">
        <f>"FES1162592050"</f>
        <v>FES1162592050</v>
      </c>
      <c r="F582" s="3">
        <v>43068</v>
      </c>
      <c r="G582" s="2">
        <v>201806</v>
      </c>
      <c r="H582" s="2" t="s">
        <v>74</v>
      </c>
      <c r="I582" s="2" t="s">
        <v>75</v>
      </c>
      <c r="J582" s="2" t="s">
        <v>97</v>
      </c>
      <c r="K582" s="2" t="s">
        <v>77</v>
      </c>
      <c r="L582" s="2" t="s">
        <v>168</v>
      </c>
      <c r="M582" s="2" t="s">
        <v>169</v>
      </c>
      <c r="N582" s="2" t="s">
        <v>1077</v>
      </c>
      <c r="O582" s="2" t="s">
        <v>81</v>
      </c>
      <c r="P582" s="2" t="str">
        <f>"2170602095                    "</f>
        <v xml:space="preserve">2170602095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15.31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22</v>
      </c>
      <c r="BJ582" s="2">
        <v>36.4</v>
      </c>
      <c r="BK582" s="2">
        <v>37</v>
      </c>
      <c r="BL582" s="2">
        <v>127.34</v>
      </c>
      <c r="BM582" s="2">
        <v>17.829999999999998</v>
      </c>
      <c r="BN582" s="2">
        <v>145.16999999999999</v>
      </c>
      <c r="BO582" s="2">
        <v>145.16999999999999</v>
      </c>
      <c r="BQ582" s="2" t="s">
        <v>82</v>
      </c>
      <c r="BR582" s="2" t="s">
        <v>103</v>
      </c>
      <c r="BS582" s="3">
        <v>43070</v>
      </c>
      <c r="BT582" s="4">
        <v>0.5</v>
      </c>
      <c r="BU582" s="2" t="s">
        <v>114</v>
      </c>
      <c r="BV582" s="2" t="s">
        <v>85</v>
      </c>
      <c r="BY582" s="2">
        <v>181972.73</v>
      </c>
      <c r="CC582" s="2" t="s">
        <v>169</v>
      </c>
      <c r="CD582" s="2">
        <v>3610</v>
      </c>
      <c r="CE582" s="2" t="s">
        <v>288</v>
      </c>
      <c r="CF582" s="3">
        <v>43074</v>
      </c>
      <c r="CI582" s="2">
        <v>6</v>
      </c>
      <c r="CJ582" s="2">
        <v>2</v>
      </c>
      <c r="CK582" s="2" t="s">
        <v>352</v>
      </c>
      <c r="CL582" s="2" t="s">
        <v>89</v>
      </c>
    </row>
    <row r="583" spans="1:90">
      <c r="A583" s="2" t="s">
        <v>71</v>
      </c>
      <c r="B583" s="2" t="s">
        <v>72</v>
      </c>
      <c r="C583" s="2" t="s">
        <v>73</v>
      </c>
      <c r="E583" s="2" t="str">
        <f>"FES1162593354"</f>
        <v>FES1162593354</v>
      </c>
      <c r="F583" s="3">
        <v>43073</v>
      </c>
      <c r="G583" s="2">
        <v>201806</v>
      </c>
      <c r="H583" s="2" t="s">
        <v>74</v>
      </c>
      <c r="I583" s="2" t="s">
        <v>75</v>
      </c>
      <c r="J583" s="2" t="s">
        <v>97</v>
      </c>
      <c r="K583" s="2" t="s">
        <v>77</v>
      </c>
      <c r="L583" s="2" t="s">
        <v>189</v>
      </c>
      <c r="M583" s="2" t="s">
        <v>190</v>
      </c>
      <c r="N583" s="2" t="s">
        <v>574</v>
      </c>
      <c r="O583" s="2" t="s">
        <v>81</v>
      </c>
      <c r="P583" s="2" t="str">
        <f>"2170601838                    "</f>
        <v xml:space="preserve">2170601838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9.7100000000000009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11</v>
      </c>
      <c r="BJ583" s="2">
        <v>3.7</v>
      </c>
      <c r="BK583" s="2">
        <v>11</v>
      </c>
      <c r="BL583" s="2">
        <v>82.6</v>
      </c>
      <c r="BM583" s="2">
        <v>11.56</v>
      </c>
      <c r="BN583" s="2">
        <v>94.16</v>
      </c>
      <c r="BO583" s="2">
        <v>94.16</v>
      </c>
      <c r="BQ583" s="2" t="s">
        <v>102</v>
      </c>
      <c r="BR583" s="2" t="s">
        <v>103</v>
      </c>
      <c r="BS583" s="3">
        <v>43074</v>
      </c>
      <c r="BT583" s="4">
        <v>0.42708333333333331</v>
      </c>
      <c r="BU583" s="2" t="s">
        <v>575</v>
      </c>
      <c r="BY583" s="2">
        <v>18259</v>
      </c>
      <c r="CC583" s="2" t="s">
        <v>190</v>
      </c>
      <c r="CD583" s="2">
        <v>157</v>
      </c>
      <c r="CE583" s="2" t="s">
        <v>282</v>
      </c>
      <c r="CF583" s="3">
        <v>43076</v>
      </c>
      <c r="CI583" s="2">
        <v>0</v>
      </c>
      <c r="CJ583" s="2">
        <v>0</v>
      </c>
      <c r="CK583" s="2" t="s">
        <v>289</v>
      </c>
      <c r="CL583" s="2" t="s">
        <v>89</v>
      </c>
    </row>
    <row r="584" spans="1:90">
      <c r="A584" s="2" t="s">
        <v>71</v>
      </c>
      <c r="B584" s="2" t="s">
        <v>72</v>
      </c>
      <c r="C584" s="2" t="s">
        <v>73</v>
      </c>
      <c r="E584" s="2" t="str">
        <f>"FES1162592093"</f>
        <v>FES1162592093</v>
      </c>
      <c r="F584" s="3">
        <v>43068</v>
      </c>
      <c r="G584" s="2">
        <v>201806</v>
      </c>
      <c r="H584" s="2" t="s">
        <v>74</v>
      </c>
      <c r="I584" s="2" t="s">
        <v>75</v>
      </c>
      <c r="J584" s="2" t="s">
        <v>97</v>
      </c>
      <c r="K584" s="2" t="s">
        <v>77</v>
      </c>
      <c r="L584" s="2" t="s">
        <v>835</v>
      </c>
      <c r="M584" s="2" t="s">
        <v>836</v>
      </c>
      <c r="N584" s="2" t="s">
        <v>1078</v>
      </c>
      <c r="O584" s="2" t="s">
        <v>81</v>
      </c>
      <c r="P584" s="2" t="str">
        <f>"2170598433                    "</f>
        <v xml:space="preserve">2170598433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21.95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27</v>
      </c>
      <c r="BJ584" s="2">
        <v>35.5</v>
      </c>
      <c r="BK584" s="2">
        <v>36</v>
      </c>
      <c r="BL584" s="2">
        <v>180.47</v>
      </c>
      <c r="BM584" s="2">
        <v>25.27</v>
      </c>
      <c r="BN584" s="2">
        <v>205.74</v>
      </c>
      <c r="BO584" s="2">
        <v>205.74</v>
      </c>
      <c r="BQ584" s="2" t="s">
        <v>102</v>
      </c>
      <c r="BR584" s="2" t="s">
        <v>103</v>
      </c>
      <c r="BS584" s="3">
        <v>43070</v>
      </c>
      <c r="BT584" s="4">
        <v>0.41666666666666669</v>
      </c>
      <c r="BU584" s="2" t="s">
        <v>1079</v>
      </c>
      <c r="BV584" s="2" t="s">
        <v>85</v>
      </c>
      <c r="BY584" s="2">
        <v>177533.86</v>
      </c>
      <c r="CC584" s="2" t="s">
        <v>836</v>
      </c>
      <c r="CD584" s="2">
        <v>7349</v>
      </c>
      <c r="CE584" s="2" t="s">
        <v>288</v>
      </c>
      <c r="CF584" s="3">
        <v>43073</v>
      </c>
      <c r="CI584" s="2">
        <v>2</v>
      </c>
      <c r="CJ584" s="2">
        <v>2</v>
      </c>
      <c r="CK584" s="2" t="s">
        <v>271</v>
      </c>
      <c r="CL584" s="2" t="s">
        <v>89</v>
      </c>
    </row>
    <row r="585" spans="1:90">
      <c r="A585" s="2" t="s">
        <v>71</v>
      </c>
      <c r="B585" s="2" t="s">
        <v>72</v>
      </c>
      <c r="C585" s="2" t="s">
        <v>73</v>
      </c>
      <c r="E585" s="2" t="str">
        <f>"FES1162593490"</f>
        <v>FES1162593490</v>
      </c>
      <c r="F585" s="3">
        <v>43073</v>
      </c>
      <c r="G585" s="2">
        <v>201806</v>
      </c>
      <c r="H585" s="2" t="s">
        <v>74</v>
      </c>
      <c r="I585" s="2" t="s">
        <v>75</v>
      </c>
      <c r="J585" s="2" t="s">
        <v>97</v>
      </c>
      <c r="K585" s="2" t="s">
        <v>77</v>
      </c>
      <c r="L585" s="2" t="s">
        <v>422</v>
      </c>
      <c r="M585" s="2" t="s">
        <v>423</v>
      </c>
      <c r="N585" s="2" t="s">
        <v>1080</v>
      </c>
      <c r="O585" s="2" t="s">
        <v>81</v>
      </c>
      <c r="P585" s="2" t="str">
        <f>"2170605148                    "</f>
        <v xml:space="preserve">2170605148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7.94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</v>
      </c>
      <c r="BJ585" s="2">
        <v>0.2</v>
      </c>
      <c r="BK585" s="2">
        <v>1</v>
      </c>
      <c r="BL585" s="2">
        <v>68.489999999999995</v>
      </c>
      <c r="BM585" s="2">
        <v>9.59</v>
      </c>
      <c r="BN585" s="2">
        <v>78.08</v>
      </c>
      <c r="BO585" s="2">
        <v>78.08</v>
      </c>
      <c r="BP585" s="2" t="s">
        <v>1081</v>
      </c>
      <c r="BQ585" s="2" t="s">
        <v>1082</v>
      </c>
      <c r="BR585" s="2" t="s">
        <v>103</v>
      </c>
      <c r="BS585" s="3">
        <v>43075</v>
      </c>
      <c r="BT585" s="4">
        <v>0.62708333333333333</v>
      </c>
      <c r="BU585" s="2" t="s">
        <v>1083</v>
      </c>
      <c r="BV585" s="2" t="s">
        <v>89</v>
      </c>
      <c r="BW585" s="2" t="s">
        <v>149</v>
      </c>
      <c r="BX585" s="2" t="s">
        <v>276</v>
      </c>
      <c r="BY585" s="2">
        <v>1200</v>
      </c>
      <c r="CA585" s="2" t="s">
        <v>1084</v>
      </c>
      <c r="CC585" s="2" t="s">
        <v>423</v>
      </c>
      <c r="CD585" s="2">
        <v>1541</v>
      </c>
      <c r="CE585" s="2" t="s">
        <v>120</v>
      </c>
      <c r="CF585" s="3">
        <v>43077</v>
      </c>
      <c r="CI585" s="2">
        <v>1</v>
      </c>
      <c r="CJ585" s="2">
        <v>2</v>
      </c>
      <c r="CK585" s="2" t="s">
        <v>96</v>
      </c>
      <c r="CL585" s="2" t="s">
        <v>89</v>
      </c>
    </row>
    <row r="586" spans="1:90">
      <c r="A586" s="2" t="s">
        <v>71</v>
      </c>
      <c r="B586" s="2" t="s">
        <v>72</v>
      </c>
      <c r="C586" s="2" t="s">
        <v>73</v>
      </c>
      <c r="E586" s="2" t="str">
        <f>"FES1162592338"</f>
        <v>FES1162592338</v>
      </c>
      <c r="F586" s="3">
        <v>43068</v>
      </c>
      <c r="G586" s="2">
        <v>201806</v>
      </c>
      <c r="H586" s="2" t="s">
        <v>74</v>
      </c>
      <c r="I586" s="2" t="s">
        <v>75</v>
      </c>
      <c r="J586" s="2" t="s">
        <v>97</v>
      </c>
      <c r="K586" s="2" t="s">
        <v>77</v>
      </c>
      <c r="L586" s="2" t="s">
        <v>285</v>
      </c>
      <c r="M586" s="2" t="s">
        <v>159</v>
      </c>
      <c r="N586" s="2" t="s">
        <v>543</v>
      </c>
      <c r="O586" s="2" t="s">
        <v>81</v>
      </c>
      <c r="P586" s="2" t="str">
        <f>"2170602041                    "</f>
        <v xml:space="preserve">2170602041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14.81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28</v>
      </c>
      <c r="BJ586" s="2">
        <v>32</v>
      </c>
      <c r="BK586" s="2">
        <v>32</v>
      </c>
      <c r="BL586" s="2">
        <v>123.4</v>
      </c>
      <c r="BM586" s="2">
        <v>17.28</v>
      </c>
      <c r="BN586" s="2">
        <v>140.68</v>
      </c>
      <c r="BO586" s="2">
        <v>140.68</v>
      </c>
      <c r="BQ586" s="2" t="s">
        <v>82</v>
      </c>
      <c r="BR586" s="2" t="s">
        <v>103</v>
      </c>
      <c r="BS586" s="3">
        <v>43070</v>
      </c>
      <c r="BT586" s="4">
        <v>0.55555555555555558</v>
      </c>
      <c r="BU586" s="2" t="s">
        <v>539</v>
      </c>
      <c r="BY586" s="2">
        <v>159900</v>
      </c>
      <c r="CA586" s="2" t="s">
        <v>293</v>
      </c>
      <c r="CC586" s="2" t="s">
        <v>159</v>
      </c>
      <c r="CD586" s="2">
        <v>1</v>
      </c>
      <c r="CE586" s="2" t="s">
        <v>270</v>
      </c>
      <c r="CF586" s="3">
        <v>43073</v>
      </c>
      <c r="CI586" s="2">
        <v>0</v>
      </c>
      <c r="CJ586" s="2">
        <v>0</v>
      </c>
      <c r="CK586" s="2" t="s">
        <v>289</v>
      </c>
      <c r="CL586" s="2" t="s">
        <v>89</v>
      </c>
    </row>
    <row r="587" spans="1:90">
      <c r="A587" s="2" t="s">
        <v>71</v>
      </c>
      <c r="B587" s="2" t="s">
        <v>72</v>
      </c>
      <c r="C587" s="2" t="s">
        <v>73</v>
      </c>
      <c r="E587" s="2" t="str">
        <f>"FES1162592139"</f>
        <v>FES1162592139</v>
      </c>
      <c r="F587" s="3">
        <v>43068</v>
      </c>
      <c r="G587" s="2">
        <v>201806</v>
      </c>
      <c r="H587" s="2" t="s">
        <v>74</v>
      </c>
      <c r="I587" s="2" t="s">
        <v>75</v>
      </c>
      <c r="J587" s="2" t="s">
        <v>97</v>
      </c>
      <c r="K587" s="2" t="s">
        <v>77</v>
      </c>
      <c r="L587" s="2" t="s">
        <v>1085</v>
      </c>
      <c r="M587" s="2" t="s">
        <v>174</v>
      </c>
      <c r="N587" s="2" t="s">
        <v>175</v>
      </c>
      <c r="O587" s="2" t="s">
        <v>81</v>
      </c>
      <c r="P587" s="2" t="str">
        <f>"217601812                     "</f>
        <v xml:space="preserve">217601812 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27.4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47</v>
      </c>
      <c r="BJ587" s="2">
        <v>25.2</v>
      </c>
      <c r="BK587" s="2">
        <v>47</v>
      </c>
      <c r="BL587" s="2">
        <v>223.98</v>
      </c>
      <c r="BM587" s="2">
        <v>31.36</v>
      </c>
      <c r="BN587" s="2">
        <v>255.34</v>
      </c>
      <c r="BO587" s="2">
        <v>255.34</v>
      </c>
      <c r="BQ587" s="2" t="s">
        <v>102</v>
      </c>
      <c r="BR587" s="2" t="s">
        <v>103</v>
      </c>
      <c r="BS587" s="3">
        <v>43073</v>
      </c>
      <c r="BT587" s="4">
        <v>0.42083333333333334</v>
      </c>
      <c r="BU587" s="2" t="s">
        <v>176</v>
      </c>
      <c r="BV587" s="2" t="s">
        <v>89</v>
      </c>
      <c r="BW587" s="2" t="s">
        <v>313</v>
      </c>
      <c r="BX587" s="2" t="s">
        <v>368</v>
      </c>
      <c r="BY587" s="2">
        <v>125775</v>
      </c>
      <c r="CA587" s="2" t="s">
        <v>177</v>
      </c>
      <c r="CC587" s="2" t="s">
        <v>174</v>
      </c>
      <c r="CD587" s="2">
        <v>7405</v>
      </c>
      <c r="CE587" s="2" t="s">
        <v>282</v>
      </c>
      <c r="CF587" s="3">
        <v>43074</v>
      </c>
      <c r="CI587" s="2">
        <v>2</v>
      </c>
      <c r="CJ587" s="2">
        <v>3</v>
      </c>
      <c r="CK587" s="2" t="s">
        <v>271</v>
      </c>
      <c r="CL587" s="2" t="s">
        <v>89</v>
      </c>
    </row>
    <row r="588" spans="1:90">
      <c r="A588" s="2" t="s">
        <v>71</v>
      </c>
      <c r="B588" s="2" t="s">
        <v>72</v>
      </c>
      <c r="C588" s="2" t="s">
        <v>73</v>
      </c>
      <c r="E588" s="2" t="str">
        <f>"FES1162593545"</f>
        <v>FES1162593545</v>
      </c>
      <c r="F588" s="3">
        <v>43073</v>
      </c>
      <c r="G588" s="2">
        <v>201806</v>
      </c>
      <c r="H588" s="2" t="s">
        <v>74</v>
      </c>
      <c r="I588" s="2" t="s">
        <v>75</v>
      </c>
      <c r="J588" s="2" t="s">
        <v>97</v>
      </c>
      <c r="K588" s="2" t="s">
        <v>77</v>
      </c>
      <c r="L588" s="2" t="s">
        <v>115</v>
      </c>
      <c r="M588" s="2" t="s">
        <v>116</v>
      </c>
      <c r="N588" s="2" t="s">
        <v>1086</v>
      </c>
      <c r="O588" s="2" t="s">
        <v>81</v>
      </c>
      <c r="P588" s="2" t="str">
        <f>"217060904                     "</f>
        <v xml:space="preserve">217060904 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9.5399999999999991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20.2</v>
      </c>
      <c r="BJ588" s="2">
        <v>19.5</v>
      </c>
      <c r="BK588" s="2">
        <v>21</v>
      </c>
      <c r="BL588" s="2">
        <v>81.25</v>
      </c>
      <c r="BM588" s="2">
        <v>11.38</v>
      </c>
      <c r="BN588" s="2">
        <v>92.63</v>
      </c>
      <c r="BO588" s="2">
        <v>92.63</v>
      </c>
      <c r="BR588" s="2" t="s">
        <v>103</v>
      </c>
      <c r="BS588" s="3">
        <v>43081</v>
      </c>
      <c r="BT588" s="4">
        <v>0.4236111111111111</v>
      </c>
      <c r="BU588" s="2" t="s">
        <v>114</v>
      </c>
      <c r="BV588" s="2" t="s">
        <v>89</v>
      </c>
      <c r="BW588" s="2" t="s">
        <v>149</v>
      </c>
      <c r="BX588" s="2" t="s">
        <v>292</v>
      </c>
      <c r="BY588" s="2">
        <v>97395.77</v>
      </c>
      <c r="CC588" s="2" t="s">
        <v>116</v>
      </c>
      <c r="CD588" s="2">
        <v>1459</v>
      </c>
      <c r="CE588" s="2" t="s">
        <v>87</v>
      </c>
      <c r="CF588" s="3">
        <v>43082</v>
      </c>
      <c r="CI588" s="2">
        <v>1</v>
      </c>
      <c r="CJ588" s="2">
        <v>6</v>
      </c>
      <c r="CK588" s="2" t="s">
        <v>96</v>
      </c>
      <c r="CL588" s="2" t="s">
        <v>89</v>
      </c>
    </row>
    <row r="589" spans="1:90">
      <c r="A589" s="2" t="s">
        <v>71</v>
      </c>
      <c r="B589" s="2" t="s">
        <v>72</v>
      </c>
      <c r="C589" s="2" t="s">
        <v>73</v>
      </c>
      <c r="E589" s="2" t="str">
        <f>"009935791679"</f>
        <v>009935791679</v>
      </c>
      <c r="F589" s="3">
        <v>43070</v>
      </c>
      <c r="G589" s="2">
        <v>201806</v>
      </c>
      <c r="H589" s="2" t="s">
        <v>74</v>
      </c>
      <c r="I589" s="2" t="s">
        <v>75</v>
      </c>
      <c r="J589" s="2" t="s">
        <v>97</v>
      </c>
      <c r="K589" s="2" t="s">
        <v>77</v>
      </c>
      <c r="L589" s="2" t="s">
        <v>1085</v>
      </c>
      <c r="M589" s="2" t="s">
        <v>174</v>
      </c>
      <c r="N589" s="2" t="s">
        <v>381</v>
      </c>
      <c r="O589" s="2" t="s">
        <v>81</v>
      </c>
      <c r="P589" s="2" t="str">
        <f>"VILLY                         "</f>
        <v xml:space="preserve">VILLY     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20.96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34</v>
      </c>
      <c r="BJ589" s="2">
        <v>32.200000000000003</v>
      </c>
      <c r="BK589" s="2">
        <v>34</v>
      </c>
      <c r="BL589" s="2">
        <v>172.56</v>
      </c>
      <c r="BM589" s="2">
        <v>24.16</v>
      </c>
      <c r="BN589" s="2">
        <v>196.72</v>
      </c>
      <c r="BO589" s="2">
        <v>196.72</v>
      </c>
      <c r="BP589" s="2" t="s">
        <v>906</v>
      </c>
      <c r="BQ589" s="2" t="s">
        <v>102</v>
      </c>
      <c r="BR589" s="2" t="s">
        <v>103</v>
      </c>
      <c r="BS589" s="3">
        <v>43073</v>
      </c>
      <c r="BT589" s="4">
        <v>0.45347222222222222</v>
      </c>
      <c r="BU589" s="2" t="s">
        <v>1087</v>
      </c>
      <c r="BV589" s="2" t="s">
        <v>85</v>
      </c>
      <c r="BY589" s="2">
        <v>161028</v>
      </c>
      <c r="CA589" s="2" t="s">
        <v>1088</v>
      </c>
      <c r="CC589" s="2" t="s">
        <v>174</v>
      </c>
      <c r="CD589" s="2">
        <v>7405</v>
      </c>
      <c r="CE589" s="2" t="s">
        <v>95</v>
      </c>
      <c r="CF589" s="3">
        <v>43074</v>
      </c>
      <c r="CI589" s="2">
        <v>2</v>
      </c>
      <c r="CJ589" s="2">
        <v>1</v>
      </c>
      <c r="CK589" s="2" t="s">
        <v>271</v>
      </c>
      <c r="CL589" s="2" t="s">
        <v>89</v>
      </c>
    </row>
    <row r="590" spans="1:90">
      <c r="A590" s="2" t="s">
        <v>71</v>
      </c>
      <c r="B590" s="2" t="s">
        <v>72</v>
      </c>
      <c r="C590" s="2" t="s">
        <v>73</v>
      </c>
      <c r="E590" s="2" t="str">
        <f>"FES1162593359"</f>
        <v>FES1162593359</v>
      </c>
      <c r="F590" s="3">
        <v>43073</v>
      </c>
      <c r="G590" s="2">
        <v>201806</v>
      </c>
      <c r="H590" s="2" t="s">
        <v>74</v>
      </c>
      <c r="I590" s="2" t="s">
        <v>75</v>
      </c>
      <c r="J590" s="2" t="s">
        <v>97</v>
      </c>
      <c r="K590" s="2" t="s">
        <v>77</v>
      </c>
      <c r="L590" s="2" t="s">
        <v>189</v>
      </c>
      <c r="M590" s="2" t="s">
        <v>190</v>
      </c>
      <c r="N590" s="2" t="s">
        <v>574</v>
      </c>
      <c r="O590" s="2" t="s">
        <v>81</v>
      </c>
      <c r="P590" s="2" t="str">
        <f>"2170602532                    "</f>
        <v xml:space="preserve">2170602532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34.630000000000003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69</v>
      </c>
      <c r="BJ590" s="2">
        <v>97.8</v>
      </c>
      <c r="BK590" s="2">
        <v>98</v>
      </c>
      <c r="BL590" s="2">
        <v>281.82</v>
      </c>
      <c r="BM590" s="2">
        <v>39.450000000000003</v>
      </c>
      <c r="BN590" s="2">
        <v>321.27</v>
      </c>
      <c r="BO590" s="2">
        <v>321.27</v>
      </c>
      <c r="BQ590" s="2" t="s">
        <v>102</v>
      </c>
      <c r="BR590" s="2" t="s">
        <v>103</v>
      </c>
      <c r="BS590" s="3">
        <v>43075</v>
      </c>
      <c r="BT590" s="4">
        <v>0.62083333333333335</v>
      </c>
      <c r="BU590" s="2" t="s">
        <v>1089</v>
      </c>
      <c r="BW590" s="2" t="s">
        <v>156</v>
      </c>
      <c r="BX590" s="2" t="s">
        <v>668</v>
      </c>
      <c r="BY590" s="2">
        <v>488800</v>
      </c>
      <c r="CC590" s="2" t="s">
        <v>190</v>
      </c>
      <c r="CD590" s="2">
        <v>157</v>
      </c>
      <c r="CE590" s="2" t="s">
        <v>356</v>
      </c>
      <c r="CF590" s="3">
        <v>43077</v>
      </c>
      <c r="CI590" s="2">
        <v>0</v>
      </c>
      <c r="CJ590" s="2">
        <v>0</v>
      </c>
      <c r="CK590" s="2" t="s">
        <v>289</v>
      </c>
      <c r="CL590" s="2" t="s">
        <v>89</v>
      </c>
    </row>
    <row r="591" spans="1:90">
      <c r="A591" s="2" t="s">
        <v>71</v>
      </c>
      <c r="B591" s="2" t="s">
        <v>72</v>
      </c>
      <c r="C591" s="2" t="s">
        <v>73</v>
      </c>
      <c r="E591" s="2" t="str">
        <f>"FES1162592375"</f>
        <v>FES1162592375</v>
      </c>
      <c r="F591" s="3">
        <v>43068</v>
      </c>
      <c r="G591" s="2">
        <v>201806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74</v>
      </c>
      <c r="M591" s="2" t="s">
        <v>75</v>
      </c>
      <c r="N591" s="2" t="s">
        <v>1090</v>
      </c>
      <c r="O591" s="2" t="s">
        <v>81</v>
      </c>
      <c r="P591" s="2" t="str">
        <f>"2170600185                    "</f>
        <v xml:space="preserve">2170600185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14.59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2</v>
      </c>
      <c r="BI591" s="2">
        <v>16.7</v>
      </c>
      <c r="BJ591" s="2">
        <v>39.700000000000003</v>
      </c>
      <c r="BK591" s="2">
        <v>40</v>
      </c>
      <c r="BL591" s="2">
        <v>121.64</v>
      </c>
      <c r="BM591" s="2">
        <v>17.03</v>
      </c>
      <c r="BN591" s="2">
        <v>138.66999999999999</v>
      </c>
      <c r="BO591" s="2">
        <v>138.66999999999999</v>
      </c>
      <c r="BQ591" s="2" t="s">
        <v>82</v>
      </c>
      <c r="BR591" s="2" t="s">
        <v>83</v>
      </c>
      <c r="BS591" s="3">
        <v>43070</v>
      </c>
      <c r="BT591" s="4">
        <v>0.33124999999999999</v>
      </c>
      <c r="BU591" s="2" t="s">
        <v>1091</v>
      </c>
      <c r="BV591" s="2" t="s">
        <v>89</v>
      </c>
      <c r="BW591" s="2" t="s">
        <v>437</v>
      </c>
      <c r="BX591" s="2" t="s">
        <v>438</v>
      </c>
      <c r="BY591" s="2">
        <v>198341.23</v>
      </c>
      <c r="CA591" s="2" t="s">
        <v>392</v>
      </c>
      <c r="CC591" s="2" t="s">
        <v>75</v>
      </c>
      <c r="CD591" s="2">
        <v>1614</v>
      </c>
      <c r="CE591" s="2" t="s">
        <v>95</v>
      </c>
      <c r="CF591" s="3">
        <v>43074</v>
      </c>
      <c r="CI591" s="2">
        <v>1</v>
      </c>
      <c r="CJ591" s="2">
        <v>2</v>
      </c>
      <c r="CK591" s="2" t="s">
        <v>96</v>
      </c>
      <c r="CL591" s="2" t="s">
        <v>89</v>
      </c>
    </row>
    <row r="592" spans="1:90">
      <c r="A592" s="2" t="s">
        <v>71</v>
      </c>
      <c r="B592" s="2" t="s">
        <v>72</v>
      </c>
      <c r="C592" s="2" t="s">
        <v>73</v>
      </c>
      <c r="E592" s="2" t="str">
        <f>"FES1162593820"</f>
        <v>FES1162593820</v>
      </c>
      <c r="F592" s="3">
        <v>43074</v>
      </c>
      <c r="G592" s="2">
        <v>201806</v>
      </c>
      <c r="H592" s="2" t="s">
        <v>74</v>
      </c>
      <c r="I592" s="2" t="s">
        <v>75</v>
      </c>
      <c r="J592" s="2" t="s">
        <v>97</v>
      </c>
      <c r="K592" s="2" t="s">
        <v>77</v>
      </c>
      <c r="L592" s="2" t="s">
        <v>277</v>
      </c>
      <c r="M592" s="2" t="s">
        <v>278</v>
      </c>
      <c r="N592" s="2" t="s">
        <v>1092</v>
      </c>
      <c r="O592" s="2" t="s">
        <v>101</v>
      </c>
      <c r="P592" s="2" t="str">
        <f>"2170605867                    "</f>
        <v xml:space="preserve">2170605867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4.41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1</v>
      </c>
      <c r="BJ592" s="2">
        <v>0.2</v>
      </c>
      <c r="BK592" s="2">
        <v>1</v>
      </c>
      <c r="BL592" s="2">
        <v>35.270000000000003</v>
      </c>
      <c r="BM592" s="2">
        <v>4.9400000000000004</v>
      </c>
      <c r="BN592" s="2">
        <v>40.21</v>
      </c>
      <c r="BO592" s="2">
        <v>40.21</v>
      </c>
      <c r="BQ592" s="2" t="s">
        <v>102</v>
      </c>
      <c r="BR592" s="2" t="s">
        <v>103</v>
      </c>
      <c r="BS592" s="3">
        <v>43075</v>
      </c>
      <c r="BT592" s="4">
        <v>0.3576388888888889</v>
      </c>
      <c r="BU592" s="2" t="s">
        <v>1093</v>
      </c>
      <c r="BV592" s="2" t="s">
        <v>85</v>
      </c>
      <c r="BY592" s="2">
        <v>1200</v>
      </c>
      <c r="CA592" s="2" t="s">
        <v>320</v>
      </c>
      <c r="CC592" s="2" t="s">
        <v>278</v>
      </c>
      <c r="CD592" s="2">
        <v>2158</v>
      </c>
      <c r="CE592" s="2" t="s">
        <v>120</v>
      </c>
      <c r="CF592" s="3">
        <v>43077</v>
      </c>
      <c r="CI592" s="2">
        <v>1</v>
      </c>
      <c r="CJ592" s="2">
        <v>1</v>
      </c>
      <c r="CK592" s="2">
        <v>22</v>
      </c>
      <c r="CL592" s="2" t="s">
        <v>89</v>
      </c>
    </row>
    <row r="593" spans="1:90">
      <c r="A593" s="2" t="s">
        <v>71</v>
      </c>
      <c r="B593" s="2" t="s">
        <v>72</v>
      </c>
      <c r="C593" s="2" t="s">
        <v>73</v>
      </c>
      <c r="E593" s="2" t="str">
        <f>"FES1162594026"</f>
        <v>FES1162594026</v>
      </c>
      <c r="F593" s="3">
        <v>43074</v>
      </c>
      <c r="G593" s="2">
        <v>201806</v>
      </c>
      <c r="H593" s="2" t="s">
        <v>74</v>
      </c>
      <c r="I593" s="2" t="s">
        <v>75</v>
      </c>
      <c r="J593" s="2" t="s">
        <v>97</v>
      </c>
      <c r="K593" s="2" t="s">
        <v>77</v>
      </c>
      <c r="L593" s="2" t="s">
        <v>145</v>
      </c>
      <c r="M593" s="2" t="s">
        <v>146</v>
      </c>
      <c r="N593" s="2" t="s">
        <v>709</v>
      </c>
      <c r="O593" s="2" t="s">
        <v>101</v>
      </c>
      <c r="P593" s="2" t="str">
        <f>"2170606028                    "</f>
        <v xml:space="preserve">2170606028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5.65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1</v>
      </c>
      <c r="BJ593" s="2">
        <v>0.2</v>
      </c>
      <c r="BK593" s="2">
        <v>1</v>
      </c>
      <c r="BL593" s="2">
        <v>45.15</v>
      </c>
      <c r="BM593" s="2">
        <v>6.32</v>
      </c>
      <c r="BN593" s="2">
        <v>51.47</v>
      </c>
      <c r="BO593" s="2">
        <v>51.47</v>
      </c>
      <c r="BQ593" s="2" t="s">
        <v>102</v>
      </c>
      <c r="BR593" s="2" t="s">
        <v>103</v>
      </c>
      <c r="BS593" s="3">
        <v>43075</v>
      </c>
      <c r="BT593" s="4">
        <v>0.4375</v>
      </c>
      <c r="BU593" s="2" t="s">
        <v>929</v>
      </c>
      <c r="BV593" s="2" t="s">
        <v>85</v>
      </c>
      <c r="BY593" s="2">
        <v>1200</v>
      </c>
      <c r="CC593" s="2" t="s">
        <v>146</v>
      </c>
      <c r="CD593" s="2">
        <v>5201</v>
      </c>
      <c r="CE593" s="2" t="s">
        <v>120</v>
      </c>
      <c r="CF593" s="3">
        <v>43077</v>
      </c>
      <c r="CI593" s="2">
        <v>1</v>
      </c>
      <c r="CJ593" s="2">
        <v>1</v>
      </c>
      <c r="CK593" s="2">
        <v>21</v>
      </c>
      <c r="CL593" s="2" t="s">
        <v>89</v>
      </c>
    </row>
    <row r="594" spans="1:90">
      <c r="A594" s="2" t="s">
        <v>71</v>
      </c>
      <c r="B594" s="2" t="s">
        <v>72</v>
      </c>
      <c r="C594" s="2" t="s">
        <v>73</v>
      </c>
      <c r="E594" s="2" t="str">
        <f>"FES1162593969"</f>
        <v>FES1162593969</v>
      </c>
      <c r="F594" s="3">
        <v>43074</v>
      </c>
      <c r="G594" s="2">
        <v>201806</v>
      </c>
      <c r="H594" s="2" t="s">
        <v>74</v>
      </c>
      <c r="I594" s="2" t="s">
        <v>75</v>
      </c>
      <c r="J594" s="2" t="s">
        <v>97</v>
      </c>
      <c r="K594" s="2" t="s">
        <v>77</v>
      </c>
      <c r="L594" s="2" t="s">
        <v>136</v>
      </c>
      <c r="M594" s="2" t="s">
        <v>137</v>
      </c>
      <c r="N594" s="2" t="s">
        <v>138</v>
      </c>
      <c r="O594" s="2" t="s">
        <v>101</v>
      </c>
      <c r="P594" s="2" t="str">
        <f>"2170597645                    "</f>
        <v xml:space="preserve">2170597645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5.65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1</v>
      </c>
      <c r="BJ594" s="2">
        <v>0.2</v>
      </c>
      <c r="BK594" s="2">
        <v>1</v>
      </c>
      <c r="BL594" s="2">
        <v>45.15</v>
      </c>
      <c r="BM594" s="2">
        <v>6.32</v>
      </c>
      <c r="BN594" s="2">
        <v>51.47</v>
      </c>
      <c r="BO594" s="2">
        <v>51.47</v>
      </c>
      <c r="BQ594" s="2" t="s">
        <v>82</v>
      </c>
      <c r="BR594" s="2" t="s">
        <v>103</v>
      </c>
      <c r="BS594" s="3">
        <v>43075</v>
      </c>
      <c r="BT594" s="4">
        <v>0.41666666666666669</v>
      </c>
      <c r="BU594" s="2" t="s">
        <v>139</v>
      </c>
      <c r="BV594" s="2" t="s">
        <v>85</v>
      </c>
      <c r="BY594" s="2">
        <v>1200</v>
      </c>
      <c r="CA594" s="2" t="s">
        <v>140</v>
      </c>
      <c r="CC594" s="2" t="s">
        <v>137</v>
      </c>
      <c r="CD594" s="2">
        <v>6001</v>
      </c>
      <c r="CE594" s="2" t="s">
        <v>120</v>
      </c>
      <c r="CF594" s="3">
        <v>43076</v>
      </c>
      <c r="CI594" s="2">
        <v>1</v>
      </c>
      <c r="CJ594" s="2">
        <v>1</v>
      </c>
      <c r="CK594" s="2">
        <v>21</v>
      </c>
      <c r="CL594" s="2" t="s">
        <v>89</v>
      </c>
    </row>
    <row r="595" spans="1:90">
      <c r="A595" s="2" t="s">
        <v>71</v>
      </c>
      <c r="B595" s="2" t="s">
        <v>72</v>
      </c>
      <c r="C595" s="2" t="s">
        <v>73</v>
      </c>
      <c r="E595" s="2" t="str">
        <f>"FES1162593791"</f>
        <v>FES1162593791</v>
      </c>
      <c r="F595" s="3">
        <v>43074</v>
      </c>
      <c r="G595" s="2">
        <v>201806</v>
      </c>
      <c r="H595" s="2" t="s">
        <v>74</v>
      </c>
      <c r="I595" s="2" t="s">
        <v>75</v>
      </c>
      <c r="J595" s="2" t="s">
        <v>97</v>
      </c>
      <c r="K595" s="2" t="s">
        <v>77</v>
      </c>
      <c r="L595" s="2" t="s">
        <v>860</v>
      </c>
      <c r="M595" s="2" t="s">
        <v>861</v>
      </c>
      <c r="N595" s="2" t="s">
        <v>862</v>
      </c>
      <c r="O595" s="2" t="s">
        <v>101</v>
      </c>
      <c r="P595" s="2" t="str">
        <f>"217064563                     "</f>
        <v xml:space="preserve">217064563 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5.65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1.4</v>
      </c>
      <c r="BJ595" s="2">
        <v>1.9</v>
      </c>
      <c r="BK595" s="2">
        <v>2</v>
      </c>
      <c r="BL595" s="2">
        <v>45.15</v>
      </c>
      <c r="BM595" s="2">
        <v>6.32</v>
      </c>
      <c r="BN595" s="2">
        <v>51.47</v>
      </c>
      <c r="BO595" s="2">
        <v>51.47</v>
      </c>
      <c r="BQ595" s="2" t="s">
        <v>187</v>
      </c>
      <c r="BR595" s="2" t="s">
        <v>103</v>
      </c>
      <c r="BS595" s="3">
        <v>43075</v>
      </c>
      <c r="BT595" s="4">
        <v>0.41666666666666669</v>
      </c>
      <c r="BU595" s="2" t="s">
        <v>554</v>
      </c>
      <c r="BV595" s="2" t="s">
        <v>85</v>
      </c>
      <c r="BY595" s="2">
        <v>9387.9500000000007</v>
      </c>
      <c r="CC595" s="2" t="s">
        <v>861</v>
      </c>
      <c r="CD595" s="2">
        <v>7140</v>
      </c>
      <c r="CE595" s="2" t="s">
        <v>95</v>
      </c>
      <c r="CF595" s="3">
        <v>43076</v>
      </c>
      <c r="CI595" s="2">
        <v>1</v>
      </c>
      <c r="CJ595" s="2">
        <v>1</v>
      </c>
      <c r="CK595" s="2">
        <v>21</v>
      </c>
      <c r="CL595" s="2" t="s">
        <v>89</v>
      </c>
    </row>
    <row r="596" spans="1:90">
      <c r="A596" s="2" t="s">
        <v>71</v>
      </c>
      <c r="B596" s="2" t="s">
        <v>72</v>
      </c>
      <c r="C596" s="2" t="s">
        <v>73</v>
      </c>
      <c r="E596" s="2" t="str">
        <f>"FES1162593861"</f>
        <v>FES1162593861</v>
      </c>
      <c r="F596" s="3">
        <v>43074</v>
      </c>
      <c r="G596" s="2">
        <v>201806</v>
      </c>
      <c r="H596" s="2" t="s">
        <v>74</v>
      </c>
      <c r="I596" s="2" t="s">
        <v>75</v>
      </c>
      <c r="J596" s="2" t="s">
        <v>97</v>
      </c>
      <c r="K596" s="2" t="s">
        <v>77</v>
      </c>
      <c r="L596" s="2" t="s">
        <v>74</v>
      </c>
      <c r="M596" s="2" t="s">
        <v>75</v>
      </c>
      <c r="N596" s="2" t="s">
        <v>1094</v>
      </c>
      <c r="O596" s="2" t="s">
        <v>101</v>
      </c>
      <c r="P596" s="2" t="str">
        <f>"2170605325                    "</f>
        <v xml:space="preserve">2170605325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4.41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</v>
      </c>
      <c r="BJ596" s="2">
        <v>0.2</v>
      </c>
      <c r="BK596" s="2">
        <v>1</v>
      </c>
      <c r="BL596" s="2">
        <v>35.270000000000003</v>
      </c>
      <c r="BM596" s="2">
        <v>4.9400000000000004</v>
      </c>
      <c r="BN596" s="2">
        <v>40.21</v>
      </c>
      <c r="BO596" s="2">
        <v>40.21</v>
      </c>
      <c r="BQ596" s="2" t="s">
        <v>102</v>
      </c>
      <c r="BR596" s="2" t="s">
        <v>103</v>
      </c>
      <c r="BS596" s="3">
        <v>43075</v>
      </c>
      <c r="BT596" s="4">
        <v>0.41666666666666669</v>
      </c>
      <c r="BU596" s="2" t="s">
        <v>1095</v>
      </c>
      <c r="BV596" s="2" t="s">
        <v>85</v>
      </c>
      <c r="BY596" s="2">
        <v>1200</v>
      </c>
      <c r="CA596" s="2" t="s">
        <v>203</v>
      </c>
      <c r="CC596" s="2" t="s">
        <v>75</v>
      </c>
      <c r="CD596" s="2">
        <v>1666</v>
      </c>
      <c r="CE596" s="2" t="s">
        <v>120</v>
      </c>
      <c r="CF596" s="3">
        <v>43077</v>
      </c>
      <c r="CI596" s="2">
        <v>1</v>
      </c>
      <c r="CJ596" s="2">
        <v>1</v>
      </c>
      <c r="CK596" s="2">
        <v>22</v>
      </c>
      <c r="CL596" s="2" t="s">
        <v>89</v>
      </c>
    </row>
    <row r="597" spans="1:90">
      <c r="A597" s="2" t="s">
        <v>71</v>
      </c>
      <c r="B597" s="2" t="s">
        <v>72</v>
      </c>
      <c r="C597" s="2" t="s">
        <v>73</v>
      </c>
      <c r="E597" s="2" t="str">
        <f>"FES1162593983"</f>
        <v>FES1162593983</v>
      </c>
      <c r="F597" s="3">
        <v>43074</v>
      </c>
      <c r="G597" s="2">
        <v>201806</v>
      </c>
      <c r="H597" s="2" t="s">
        <v>74</v>
      </c>
      <c r="I597" s="2" t="s">
        <v>75</v>
      </c>
      <c r="J597" s="2" t="s">
        <v>97</v>
      </c>
      <c r="K597" s="2" t="s">
        <v>77</v>
      </c>
      <c r="L597" s="2" t="s">
        <v>136</v>
      </c>
      <c r="M597" s="2" t="s">
        <v>137</v>
      </c>
      <c r="N597" s="2" t="s">
        <v>147</v>
      </c>
      <c r="O597" s="2" t="s">
        <v>101</v>
      </c>
      <c r="P597" s="2" t="str">
        <f>"2170601846                    "</f>
        <v xml:space="preserve">2170601846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7.06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2.4</v>
      </c>
      <c r="BJ597" s="2">
        <v>1.7</v>
      </c>
      <c r="BK597" s="2">
        <v>2.5</v>
      </c>
      <c r="BL597" s="2">
        <v>56.43</v>
      </c>
      <c r="BM597" s="2">
        <v>7.9</v>
      </c>
      <c r="BN597" s="2">
        <v>64.33</v>
      </c>
      <c r="BO597" s="2">
        <v>64.33</v>
      </c>
      <c r="BQ597" s="2" t="s">
        <v>82</v>
      </c>
      <c r="BR597" s="2" t="s">
        <v>103</v>
      </c>
      <c r="BS597" s="3">
        <v>43075</v>
      </c>
      <c r="BT597" s="4">
        <v>0.375</v>
      </c>
      <c r="BU597" s="2" t="s">
        <v>1096</v>
      </c>
      <c r="BV597" s="2" t="s">
        <v>85</v>
      </c>
      <c r="BY597" s="2">
        <v>8519.2199999999993</v>
      </c>
      <c r="CA597" s="2" t="s">
        <v>180</v>
      </c>
      <c r="CC597" s="2" t="s">
        <v>137</v>
      </c>
      <c r="CD597" s="2">
        <v>6014</v>
      </c>
      <c r="CE597" s="2" t="s">
        <v>95</v>
      </c>
      <c r="CF597" s="3">
        <v>43077</v>
      </c>
      <c r="CI597" s="2">
        <v>1</v>
      </c>
      <c r="CJ597" s="2">
        <v>1</v>
      </c>
      <c r="CK597" s="2">
        <v>21</v>
      </c>
      <c r="CL597" s="2" t="s">
        <v>89</v>
      </c>
    </row>
    <row r="598" spans="1:90">
      <c r="A598" s="2" t="s">
        <v>71</v>
      </c>
      <c r="B598" s="2" t="s">
        <v>72</v>
      </c>
      <c r="C598" s="2" t="s">
        <v>73</v>
      </c>
      <c r="E598" s="2" t="str">
        <f>"FES1162593822"</f>
        <v>FES1162593822</v>
      </c>
      <c r="F598" s="3">
        <v>43074</v>
      </c>
      <c r="G598" s="2">
        <v>201806</v>
      </c>
      <c r="H598" s="2" t="s">
        <v>74</v>
      </c>
      <c r="I598" s="2" t="s">
        <v>75</v>
      </c>
      <c r="J598" s="2" t="s">
        <v>97</v>
      </c>
      <c r="K598" s="2" t="s">
        <v>77</v>
      </c>
      <c r="L598" s="2" t="s">
        <v>74</v>
      </c>
      <c r="M598" s="2" t="s">
        <v>75</v>
      </c>
      <c r="N598" s="2" t="s">
        <v>184</v>
      </c>
      <c r="O598" s="2" t="s">
        <v>101</v>
      </c>
      <c r="P598" s="2" t="str">
        <f>"2170605871                    "</f>
        <v xml:space="preserve">2170605871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4.41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0.2</v>
      </c>
      <c r="BK598" s="2">
        <v>1</v>
      </c>
      <c r="BL598" s="2">
        <v>35.270000000000003</v>
      </c>
      <c r="BM598" s="2">
        <v>4.9400000000000004</v>
      </c>
      <c r="BN598" s="2">
        <v>40.21</v>
      </c>
      <c r="BO598" s="2">
        <v>40.21</v>
      </c>
      <c r="BQ598" s="2" t="s">
        <v>82</v>
      </c>
      <c r="BR598" s="2" t="s">
        <v>103</v>
      </c>
      <c r="BS598" s="3">
        <v>43075</v>
      </c>
      <c r="BT598" s="4">
        <v>0.4375</v>
      </c>
      <c r="BU598" s="2" t="s">
        <v>1097</v>
      </c>
      <c r="BV598" s="2" t="s">
        <v>85</v>
      </c>
      <c r="BY598" s="2">
        <v>1200</v>
      </c>
      <c r="CA598" s="2" t="s">
        <v>355</v>
      </c>
      <c r="CC598" s="2" t="s">
        <v>75</v>
      </c>
      <c r="CD598" s="2">
        <v>1600</v>
      </c>
      <c r="CE598" s="2" t="s">
        <v>120</v>
      </c>
      <c r="CF598" s="3">
        <v>43077</v>
      </c>
      <c r="CI598" s="2">
        <v>1</v>
      </c>
      <c r="CJ598" s="2">
        <v>1</v>
      </c>
      <c r="CK598" s="2">
        <v>22</v>
      </c>
      <c r="CL598" s="2" t="s">
        <v>89</v>
      </c>
    </row>
    <row r="599" spans="1:90">
      <c r="A599" s="2" t="s">
        <v>71</v>
      </c>
      <c r="B599" s="2" t="s">
        <v>72</v>
      </c>
      <c r="C599" s="2" t="s">
        <v>73</v>
      </c>
      <c r="E599" s="2" t="str">
        <f>"FES1162593819"</f>
        <v>FES1162593819</v>
      </c>
      <c r="F599" s="3">
        <v>43074</v>
      </c>
      <c r="G599" s="2">
        <v>201806</v>
      </c>
      <c r="H599" s="2" t="s">
        <v>74</v>
      </c>
      <c r="I599" s="2" t="s">
        <v>75</v>
      </c>
      <c r="J599" s="2" t="s">
        <v>97</v>
      </c>
      <c r="K599" s="2" t="s">
        <v>77</v>
      </c>
      <c r="L599" s="2" t="s">
        <v>106</v>
      </c>
      <c r="M599" s="2" t="s">
        <v>107</v>
      </c>
      <c r="N599" s="2" t="s">
        <v>830</v>
      </c>
      <c r="O599" s="2" t="s">
        <v>101</v>
      </c>
      <c r="P599" s="2" t="str">
        <f>"2170605865                    "</f>
        <v xml:space="preserve">2170605865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4.41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35.270000000000003</v>
      </c>
      <c r="BM599" s="2">
        <v>4.9400000000000004</v>
      </c>
      <c r="BN599" s="2">
        <v>40.21</v>
      </c>
      <c r="BO599" s="2">
        <v>40.21</v>
      </c>
      <c r="BQ599" s="2" t="s">
        <v>102</v>
      </c>
      <c r="BR599" s="2" t="s">
        <v>103</v>
      </c>
      <c r="BS599" s="3">
        <v>43075</v>
      </c>
      <c r="BT599" s="4">
        <v>0.36527777777777781</v>
      </c>
      <c r="BU599" s="2" t="s">
        <v>880</v>
      </c>
      <c r="BV599" s="2" t="s">
        <v>85</v>
      </c>
      <c r="BY599" s="2">
        <v>1200</v>
      </c>
      <c r="CA599" s="2" t="s">
        <v>110</v>
      </c>
      <c r="CC599" s="2" t="s">
        <v>107</v>
      </c>
      <c r="CD599" s="2">
        <v>2011</v>
      </c>
      <c r="CE599" s="2" t="s">
        <v>120</v>
      </c>
      <c r="CF599" s="3">
        <v>43077</v>
      </c>
      <c r="CI599" s="2">
        <v>1</v>
      </c>
      <c r="CJ599" s="2">
        <v>1</v>
      </c>
      <c r="CK599" s="2">
        <v>22</v>
      </c>
      <c r="CL599" s="2" t="s">
        <v>89</v>
      </c>
    </row>
    <row r="600" spans="1:90">
      <c r="A600" s="2" t="s">
        <v>71</v>
      </c>
      <c r="B600" s="2" t="s">
        <v>72</v>
      </c>
      <c r="C600" s="2" t="s">
        <v>73</v>
      </c>
      <c r="E600" s="2" t="str">
        <f>"FES1162593921"</f>
        <v>FES1162593921</v>
      </c>
      <c r="F600" s="3">
        <v>43074</v>
      </c>
      <c r="G600" s="2">
        <v>201806</v>
      </c>
      <c r="H600" s="2" t="s">
        <v>74</v>
      </c>
      <c r="I600" s="2" t="s">
        <v>75</v>
      </c>
      <c r="J600" s="2" t="s">
        <v>97</v>
      </c>
      <c r="K600" s="2" t="s">
        <v>77</v>
      </c>
      <c r="L600" s="2" t="s">
        <v>125</v>
      </c>
      <c r="M600" s="2" t="s">
        <v>126</v>
      </c>
      <c r="N600" s="2" t="s">
        <v>1034</v>
      </c>
      <c r="O600" s="2" t="s">
        <v>101</v>
      </c>
      <c r="P600" s="2" t="str">
        <f>"2170605966                    "</f>
        <v xml:space="preserve">2170605966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5.65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1</v>
      </c>
      <c r="BJ600" s="2">
        <v>0.2</v>
      </c>
      <c r="BK600" s="2">
        <v>1</v>
      </c>
      <c r="BL600" s="2">
        <v>45.15</v>
      </c>
      <c r="BM600" s="2">
        <v>6.32</v>
      </c>
      <c r="BN600" s="2">
        <v>51.47</v>
      </c>
      <c r="BO600" s="2">
        <v>51.47</v>
      </c>
      <c r="BQ600" s="2" t="s">
        <v>364</v>
      </c>
      <c r="BR600" s="2" t="s">
        <v>103</v>
      </c>
      <c r="BS600" s="3">
        <v>43075</v>
      </c>
      <c r="BT600" s="4">
        <v>0.43055555555555558</v>
      </c>
      <c r="BU600" s="2" t="s">
        <v>1098</v>
      </c>
      <c r="BV600" s="2" t="s">
        <v>85</v>
      </c>
      <c r="BY600" s="2">
        <v>1200</v>
      </c>
      <c r="CC600" s="2" t="s">
        <v>126</v>
      </c>
      <c r="CD600" s="2">
        <v>4001</v>
      </c>
      <c r="CE600" s="2" t="s">
        <v>120</v>
      </c>
      <c r="CF600" s="3">
        <v>43076</v>
      </c>
      <c r="CI600" s="2">
        <v>1</v>
      </c>
      <c r="CJ600" s="2">
        <v>1</v>
      </c>
      <c r="CK600" s="2">
        <v>21</v>
      </c>
      <c r="CL600" s="2" t="s">
        <v>89</v>
      </c>
    </row>
    <row r="601" spans="1:90">
      <c r="A601" s="2" t="s">
        <v>71</v>
      </c>
      <c r="B601" s="2" t="s">
        <v>72</v>
      </c>
      <c r="C601" s="2" t="s">
        <v>73</v>
      </c>
      <c r="E601" s="2" t="str">
        <f>"FES1162593656"</f>
        <v>FES1162593656</v>
      </c>
      <c r="F601" s="3">
        <v>43074</v>
      </c>
      <c r="G601" s="2">
        <v>201806</v>
      </c>
      <c r="H601" s="2" t="s">
        <v>74</v>
      </c>
      <c r="I601" s="2" t="s">
        <v>75</v>
      </c>
      <c r="J601" s="2" t="s">
        <v>97</v>
      </c>
      <c r="K601" s="2" t="s">
        <v>77</v>
      </c>
      <c r="L601" s="2" t="s">
        <v>168</v>
      </c>
      <c r="M601" s="2" t="s">
        <v>169</v>
      </c>
      <c r="N601" s="2" t="s">
        <v>1099</v>
      </c>
      <c r="O601" s="2" t="s">
        <v>101</v>
      </c>
      <c r="P601" s="2" t="str">
        <f>"2170605771                    "</f>
        <v xml:space="preserve">2170605771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5.65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1</v>
      </c>
      <c r="BJ601" s="2">
        <v>0.2</v>
      </c>
      <c r="BK601" s="2">
        <v>1</v>
      </c>
      <c r="BL601" s="2">
        <v>45.15</v>
      </c>
      <c r="BM601" s="2">
        <v>6.32</v>
      </c>
      <c r="BN601" s="2">
        <v>51.47</v>
      </c>
      <c r="BO601" s="2">
        <v>51.47</v>
      </c>
      <c r="BQ601" s="2" t="s">
        <v>82</v>
      </c>
      <c r="BR601" s="2" t="s">
        <v>103</v>
      </c>
      <c r="BS601" s="3">
        <v>43075</v>
      </c>
      <c r="BT601" s="4">
        <v>0.40972222222222227</v>
      </c>
      <c r="BU601" s="2" t="s">
        <v>1100</v>
      </c>
      <c r="BV601" s="2" t="s">
        <v>85</v>
      </c>
      <c r="BY601" s="2">
        <v>1200</v>
      </c>
      <c r="CA601" s="2" t="s">
        <v>172</v>
      </c>
      <c r="CC601" s="2" t="s">
        <v>169</v>
      </c>
      <c r="CD601" s="2">
        <v>3610</v>
      </c>
      <c r="CE601" s="2" t="s">
        <v>120</v>
      </c>
      <c r="CF601" s="3">
        <v>43076</v>
      </c>
      <c r="CI601" s="2">
        <v>1</v>
      </c>
      <c r="CJ601" s="2">
        <v>1</v>
      </c>
      <c r="CK601" s="2">
        <v>21</v>
      </c>
      <c r="CL601" s="2" t="s">
        <v>89</v>
      </c>
    </row>
    <row r="602" spans="1:90">
      <c r="A602" s="2" t="s">
        <v>71</v>
      </c>
      <c r="B602" s="2" t="s">
        <v>72</v>
      </c>
      <c r="C602" s="2" t="s">
        <v>73</v>
      </c>
      <c r="E602" s="2" t="str">
        <f>"FES1162593774"</f>
        <v>FES1162593774</v>
      </c>
      <c r="F602" s="3">
        <v>43074</v>
      </c>
      <c r="G602" s="2">
        <v>201806</v>
      </c>
      <c r="H602" s="2" t="s">
        <v>74</v>
      </c>
      <c r="I602" s="2" t="s">
        <v>75</v>
      </c>
      <c r="J602" s="2" t="s">
        <v>97</v>
      </c>
      <c r="K602" s="2" t="s">
        <v>77</v>
      </c>
      <c r="L602" s="2" t="s">
        <v>111</v>
      </c>
      <c r="M602" s="2" t="s">
        <v>112</v>
      </c>
      <c r="N602" s="2" t="s">
        <v>113</v>
      </c>
      <c r="O602" s="2" t="s">
        <v>101</v>
      </c>
      <c r="P602" s="2" t="str">
        <f>"2170601737                    "</f>
        <v xml:space="preserve">2170601737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32.47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11.1</v>
      </c>
      <c r="BJ602" s="2">
        <v>3.7</v>
      </c>
      <c r="BK602" s="2">
        <v>11.5</v>
      </c>
      <c r="BL602" s="2">
        <v>259.5</v>
      </c>
      <c r="BM602" s="2">
        <v>36.33</v>
      </c>
      <c r="BN602" s="2">
        <v>295.83</v>
      </c>
      <c r="BO602" s="2">
        <v>295.83</v>
      </c>
      <c r="BQ602" s="2" t="s">
        <v>82</v>
      </c>
      <c r="BR602" s="2" t="s">
        <v>103</v>
      </c>
      <c r="BS602" s="3">
        <v>43075</v>
      </c>
      <c r="BT602" s="4">
        <v>0.41736111111111113</v>
      </c>
      <c r="BU602" s="2" t="s">
        <v>604</v>
      </c>
      <c r="BV602" s="2" t="s">
        <v>85</v>
      </c>
      <c r="BY602" s="2">
        <v>18389.099999999999</v>
      </c>
      <c r="CA602" s="2" t="s">
        <v>605</v>
      </c>
      <c r="CC602" s="2" t="s">
        <v>112</v>
      </c>
      <c r="CD602" s="2">
        <v>6220</v>
      </c>
      <c r="CE602" s="2" t="s">
        <v>95</v>
      </c>
      <c r="CF602" s="3">
        <v>43077</v>
      </c>
      <c r="CI602" s="2">
        <v>1</v>
      </c>
      <c r="CJ602" s="2">
        <v>1</v>
      </c>
      <c r="CK602" s="2">
        <v>21</v>
      </c>
      <c r="CL602" s="2" t="s">
        <v>89</v>
      </c>
    </row>
    <row r="603" spans="1:90">
      <c r="A603" s="2" t="s">
        <v>71</v>
      </c>
      <c r="B603" s="2" t="s">
        <v>72</v>
      </c>
      <c r="C603" s="2" t="s">
        <v>73</v>
      </c>
      <c r="E603" s="2" t="str">
        <f>"FES1162594002"</f>
        <v>FES1162594002</v>
      </c>
      <c r="F603" s="3">
        <v>43074</v>
      </c>
      <c r="G603" s="2">
        <v>201806</v>
      </c>
      <c r="H603" s="2" t="s">
        <v>74</v>
      </c>
      <c r="I603" s="2" t="s">
        <v>75</v>
      </c>
      <c r="J603" s="2" t="s">
        <v>97</v>
      </c>
      <c r="K603" s="2" t="s">
        <v>77</v>
      </c>
      <c r="L603" s="2" t="s">
        <v>168</v>
      </c>
      <c r="M603" s="2" t="s">
        <v>169</v>
      </c>
      <c r="N603" s="2" t="s">
        <v>351</v>
      </c>
      <c r="O603" s="2" t="s">
        <v>101</v>
      </c>
      <c r="P603" s="2" t="str">
        <f>"2170606005                    "</f>
        <v xml:space="preserve">2170606005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5.65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1</v>
      </c>
      <c r="BJ603" s="2">
        <v>0.2</v>
      </c>
      <c r="BK603" s="2">
        <v>1</v>
      </c>
      <c r="BL603" s="2">
        <v>45.15</v>
      </c>
      <c r="BM603" s="2">
        <v>6.32</v>
      </c>
      <c r="BN603" s="2">
        <v>51.47</v>
      </c>
      <c r="BO603" s="2">
        <v>51.47</v>
      </c>
      <c r="BQ603" s="2" t="s">
        <v>102</v>
      </c>
      <c r="BR603" s="2" t="s">
        <v>103</v>
      </c>
      <c r="BS603" s="3">
        <v>43075</v>
      </c>
      <c r="BT603" s="4">
        <v>0.3659722222222222</v>
      </c>
      <c r="BU603" s="2" t="s">
        <v>868</v>
      </c>
      <c r="BV603" s="2" t="s">
        <v>85</v>
      </c>
      <c r="BY603" s="2">
        <v>1200</v>
      </c>
      <c r="CA603" s="2" t="s">
        <v>220</v>
      </c>
      <c r="CC603" s="2" t="s">
        <v>169</v>
      </c>
      <c r="CD603" s="2">
        <v>3610</v>
      </c>
      <c r="CE603" s="2" t="s">
        <v>120</v>
      </c>
      <c r="CF603" s="3">
        <v>43076</v>
      </c>
      <c r="CI603" s="2">
        <v>1</v>
      </c>
      <c r="CJ603" s="2">
        <v>1</v>
      </c>
      <c r="CK603" s="2">
        <v>21</v>
      </c>
      <c r="CL603" s="2" t="s">
        <v>89</v>
      </c>
    </row>
    <row r="604" spans="1:90">
      <c r="A604" s="2" t="s">
        <v>71</v>
      </c>
      <c r="B604" s="2" t="s">
        <v>72</v>
      </c>
      <c r="C604" s="2" t="s">
        <v>73</v>
      </c>
      <c r="E604" s="2" t="str">
        <f>"FES1162593634"</f>
        <v>FES1162593634</v>
      </c>
      <c r="F604" s="3">
        <v>43074</v>
      </c>
      <c r="G604" s="2">
        <v>201806</v>
      </c>
      <c r="H604" s="2" t="s">
        <v>74</v>
      </c>
      <c r="I604" s="2" t="s">
        <v>75</v>
      </c>
      <c r="J604" s="2" t="s">
        <v>97</v>
      </c>
      <c r="K604" s="2" t="s">
        <v>77</v>
      </c>
      <c r="L604" s="2" t="s">
        <v>1021</v>
      </c>
      <c r="M604" s="2" t="s">
        <v>1022</v>
      </c>
      <c r="N604" s="2" t="s">
        <v>1101</v>
      </c>
      <c r="O604" s="2" t="s">
        <v>101</v>
      </c>
      <c r="P604" s="2" t="str">
        <f>"2170605746                    "</f>
        <v xml:space="preserve">2170605746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15.89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1.5</v>
      </c>
      <c r="BJ604" s="2">
        <v>2.8</v>
      </c>
      <c r="BK604" s="2">
        <v>3</v>
      </c>
      <c r="BL604" s="2">
        <v>126.98</v>
      </c>
      <c r="BM604" s="2">
        <v>17.78</v>
      </c>
      <c r="BN604" s="2">
        <v>144.76</v>
      </c>
      <c r="BO604" s="2">
        <v>144.76</v>
      </c>
      <c r="BQ604" s="2" t="s">
        <v>82</v>
      </c>
      <c r="BR604" s="2" t="s">
        <v>103</v>
      </c>
      <c r="BS604" s="3">
        <v>43075</v>
      </c>
      <c r="BT604" s="4">
        <v>0.45833333333333331</v>
      </c>
      <c r="BU604" s="2" t="s">
        <v>1102</v>
      </c>
      <c r="BV604" s="2" t="s">
        <v>85</v>
      </c>
      <c r="BY604" s="2">
        <v>14001.28</v>
      </c>
      <c r="CA604" s="2" t="s">
        <v>1103</v>
      </c>
      <c r="CC604" s="2" t="s">
        <v>1022</v>
      </c>
      <c r="CD604" s="2">
        <v>9880</v>
      </c>
      <c r="CE604" s="2" t="s">
        <v>87</v>
      </c>
      <c r="CF604" s="3">
        <v>43080</v>
      </c>
      <c r="CI604" s="2">
        <v>1</v>
      </c>
      <c r="CJ604" s="2">
        <v>1</v>
      </c>
      <c r="CK604" s="2">
        <v>23</v>
      </c>
      <c r="CL604" s="2" t="s">
        <v>89</v>
      </c>
    </row>
    <row r="605" spans="1:90">
      <c r="A605" s="2" t="s">
        <v>71</v>
      </c>
      <c r="B605" s="2" t="s">
        <v>72</v>
      </c>
      <c r="C605" s="2" t="s">
        <v>73</v>
      </c>
      <c r="E605" s="2" t="str">
        <f>"FES1162593973"</f>
        <v>FES1162593973</v>
      </c>
      <c r="F605" s="3">
        <v>43074</v>
      </c>
      <c r="G605" s="2">
        <v>201806</v>
      </c>
      <c r="H605" s="2" t="s">
        <v>74</v>
      </c>
      <c r="I605" s="2" t="s">
        <v>75</v>
      </c>
      <c r="J605" s="2" t="s">
        <v>97</v>
      </c>
      <c r="K605" s="2" t="s">
        <v>77</v>
      </c>
      <c r="L605" s="2" t="s">
        <v>98</v>
      </c>
      <c r="M605" s="2" t="s">
        <v>99</v>
      </c>
      <c r="N605" s="2" t="s">
        <v>1104</v>
      </c>
      <c r="O605" s="2" t="s">
        <v>101</v>
      </c>
      <c r="P605" s="2" t="str">
        <f>"2170600290                    "</f>
        <v xml:space="preserve">2170600290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12.71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3</v>
      </c>
      <c r="BJ605" s="2">
        <v>4.0999999999999996</v>
      </c>
      <c r="BK605" s="2">
        <v>4.5</v>
      </c>
      <c r="BL605" s="2">
        <v>101.56</v>
      </c>
      <c r="BM605" s="2">
        <v>14.22</v>
      </c>
      <c r="BN605" s="2">
        <v>115.78</v>
      </c>
      <c r="BO605" s="2">
        <v>115.78</v>
      </c>
      <c r="BQ605" s="2" t="s">
        <v>1105</v>
      </c>
      <c r="BR605" s="2" t="s">
        <v>103</v>
      </c>
      <c r="BS605" s="3">
        <v>43075</v>
      </c>
      <c r="BT605" s="4">
        <v>0.41180555555555554</v>
      </c>
      <c r="BU605" s="2" t="s">
        <v>1106</v>
      </c>
      <c r="BV605" s="2" t="s">
        <v>85</v>
      </c>
      <c r="BY605" s="2">
        <v>20358</v>
      </c>
      <c r="CA605" s="2" t="s">
        <v>497</v>
      </c>
      <c r="CC605" s="2" t="s">
        <v>99</v>
      </c>
      <c r="CD605" s="2">
        <v>3201</v>
      </c>
      <c r="CE605" s="2" t="s">
        <v>95</v>
      </c>
      <c r="CF605" s="3">
        <v>43076</v>
      </c>
      <c r="CI605" s="2">
        <v>1</v>
      </c>
      <c r="CJ605" s="2">
        <v>1</v>
      </c>
      <c r="CK605" s="2">
        <v>21</v>
      </c>
      <c r="CL605" s="2" t="s">
        <v>89</v>
      </c>
    </row>
    <row r="606" spans="1:90">
      <c r="A606" s="2" t="s">
        <v>71</v>
      </c>
      <c r="B606" s="2" t="s">
        <v>72</v>
      </c>
      <c r="C606" s="2" t="s">
        <v>73</v>
      </c>
      <c r="E606" s="2" t="str">
        <f>"FES1162593905"</f>
        <v>FES1162593905</v>
      </c>
      <c r="F606" s="3">
        <v>43074</v>
      </c>
      <c r="G606" s="2">
        <v>201806</v>
      </c>
      <c r="H606" s="2" t="s">
        <v>74</v>
      </c>
      <c r="I606" s="2" t="s">
        <v>75</v>
      </c>
      <c r="J606" s="2" t="s">
        <v>97</v>
      </c>
      <c r="K606" s="2" t="s">
        <v>77</v>
      </c>
      <c r="L606" s="2" t="s">
        <v>212</v>
      </c>
      <c r="M606" s="2" t="s">
        <v>212</v>
      </c>
      <c r="N606" s="2" t="s">
        <v>213</v>
      </c>
      <c r="O606" s="2" t="s">
        <v>101</v>
      </c>
      <c r="P606" s="2" t="str">
        <f>"2170605936                    "</f>
        <v xml:space="preserve">2170605936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11.29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4</v>
      </c>
      <c r="BJ606" s="2">
        <v>1.5</v>
      </c>
      <c r="BK606" s="2">
        <v>4</v>
      </c>
      <c r="BL606" s="2">
        <v>90.27</v>
      </c>
      <c r="BM606" s="2">
        <v>12.64</v>
      </c>
      <c r="BN606" s="2">
        <v>102.91</v>
      </c>
      <c r="BO606" s="2">
        <v>102.91</v>
      </c>
      <c r="BQ606" s="2" t="s">
        <v>102</v>
      </c>
      <c r="BR606" s="2" t="s">
        <v>103</v>
      </c>
      <c r="BS606" s="3">
        <v>43075</v>
      </c>
      <c r="BT606" s="4">
        <v>0.60347222222222219</v>
      </c>
      <c r="BU606" s="2" t="s">
        <v>1107</v>
      </c>
      <c r="BV606" s="2" t="s">
        <v>89</v>
      </c>
      <c r="BW606" s="2" t="s">
        <v>149</v>
      </c>
      <c r="BX606" s="2" t="s">
        <v>368</v>
      </c>
      <c r="BY606" s="2">
        <v>7540</v>
      </c>
      <c r="CA606" s="2" t="s">
        <v>1108</v>
      </c>
      <c r="CC606" s="2" t="s">
        <v>212</v>
      </c>
      <c r="CD606" s="2">
        <v>7646</v>
      </c>
      <c r="CE606" s="2" t="s">
        <v>95</v>
      </c>
      <c r="CF606" s="3">
        <v>43075</v>
      </c>
      <c r="CI606" s="2">
        <v>1</v>
      </c>
      <c r="CJ606" s="2">
        <v>1</v>
      </c>
      <c r="CK606" s="2">
        <v>21</v>
      </c>
      <c r="CL606" s="2" t="s">
        <v>89</v>
      </c>
    </row>
    <row r="607" spans="1:90">
      <c r="A607" s="2" t="s">
        <v>71</v>
      </c>
      <c r="B607" s="2" t="s">
        <v>72</v>
      </c>
      <c r="C607" s="2" t="s">
        <v>73</v>
      </c>
      <c r="E607" s="2" t="str">
        <f>"FES1162593759"</f>
        <v>FES1162593759</v>
      </c>
      <c r="F607" s="3">
        <v>43074</v>
      </c>
      <c r="G607" s="2">
        <v>201806</v>
      </c>
      <c r="H607" s="2" t="s">
        <v>74</v>
      </c>
      <c r="I607" s="2" t="s">
        <v>75</v>
      </c>
      <c r="J607" s="2" t="s">
        <v>97</v>
      </c>
      <c r="K607" s="2" t="s">
        <v>77</v>
      </c>
      <c r="L607" s="2" t="s">
        <v>173</v>
      </c>
      <c r="M607" s="2" t="s">
        <v>174</v>
      </c>
      <c r="N607" s="2" t="s">
        <v>1109</v>
      </c>
      <c r="O607" s="2" t="s">
        <v>101</v>
      </c>
      <c r="P607" s="2" t="str">
        <f>"2170605854                    "</f>
        <v xml:space="preserve">2170605854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5.65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1</v>
      </c>
      <c r="BJ607" s="2">
        <v>0.2</v>
      </c>
      <c r="BK607" s="2">
        <v>1</v>
      </c>
      <c r="BL607" s="2">
        <v>45.15</v>
      </c>
      <c r="BM607" s="2">
        <v>6.32</v>
      </c>
      <c r="BN607" s="2">
        <v>51.47</v>
      </c>
      <c r="BO607" s="2">
        <v>51.47</v>
      </c>
      <c r="BQ607" s="2" t="s">
        <v>82</v>
      </c>
      <c r="BR607" s="2" t="s">
        <v>103</v>
      </c>
      <c r="BS607" s="3">
        <v>43075</v>
      </c>
      <c r="BT607" s="4">
        <v>0.50624999999999998</v>
      </c>
      <c r="BU607" s="2" t="s">
        <v>1110</v>
      </c>
      <c r="BV607" s="2" t="s">
        <v>89</v>
      </c>
      <c r="BW607" s="2" t="s">
        <v>149</v>
      </c>
      <c r="BX607" s="2" t="s">
        <v>368</v>
      </c>
      <c r="BY607" s="2">
        <v>1200</v>
      </c>
      <c r="CA607" s="2" t="s">
        <v>537</v>
      </c>
      <c r="CC607" s="2" t="s">
        <v>174</v>
      </c>
      <c r="CD607" s="2">
        <v>7500</v>
      </c>
      <c r="CE607" s="2" t="s">
        <v>120</v>
      </c>
      <c r="CF607" s="3">
        <v>43076</v>
      </c>
      <c r="CI607" s="2">
        <v>1</v>
      </c>
      <c r="CJ607" s="2">
        <v>1</v>
      </c>
      <c r="CK607" s="2">
        <v>21</v>
      </c>
      <c r="CL607" s="2" t="s">
        <v>89</v>
      </c>
    </row>
    <row r="608" spans="1:90">
      <c r="A608" s="2" t="s">
        <v>71</v>
      </c>
      <c r="B608" s="2" t="s">
        <v>72</v>
      </c>
      <c r="C608" s="2" t="s">
        <v>73</v>
      </c>
      <c r="E608" s="2" t="str">
        <f>"FES1162593678"</f>
        <v>FES1162593678</v>
      </c>
      <c r="F608" s="3">
        <v>43074</v>
      </c>
      <c r="G608" s="2">
        <v>201806</v>
      </c>
      <c r="H608" s="2" t="s">
        <v>74</v>
      </c>
      <c r="I608" s="2" t="s">
        <v>75</v>
      </c>
      <c r="J608" s="2" t="s">
        <v>97</v>
      </c>
      <c r="K608" s="2" t="s">
        <v>77</v>
      </c>
      <c r="L608" s="2" t="s">
        <v>98</v>
      </c>
      <c r="M608" s="2" t="s">
        <v>99</v>
      </c>
      <c r="N608" s="2" t="s">
        <v>670</v>
      </c>
      <c r="O608" s="2" t="s">
        <v>101</v>
      </c>
      <c r="P608" s="2" t="str">
        <f>"2170604539                    "</f>
        <v xml:space="preserve">2170604539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5.65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1.9</v>
      </c>
      <c r="BJ608" s="2">
        <v>1.4</v>
      </c>
      <c r="BK608" s="2">
        <v>2</v>
      </c>
      <c r="BL608" s="2">
        <v>45.15</v>
      </c>
      <c r="BM608" s="2">
        <v>6.32</v>
      </c>
      <c r="BN608" s="2">
        <v>51.47</v>
      </c>
      <c r="BO608" s="2">
        <v>51.47</v>
      </c>
      <c r="BQ608" s="2" t="s">
        <v>102</v>
      </c>
      <c r="BR608" s="2" t="s">
        <v>103</v>
      </c>
      <c r="BS608" s="3">
        <v>43075</v>
      </c>
      <c r="BT608" s="4">
        <v>0.41666666666666669</v>
      </c>
      <c r="BU608" s="2" t="s">
        <v>671</v>
      </c>
      <c r="BV608" s="2" t="s">
        <v>85</v>
      </c>
      <c r="BY608" s="2">
        <v>6917.65</v>
      </c>
      <c r="CA608" s="2" t="s">
        <v>105</v>
      </c>
      <c r="CC608" s="2" t="s">
        <v>99</v>
      </c>
      <c r="CD608" s="2">
        <v>3200</v>
      </c>
      <c r="CE608" s="2" t="s">
        <v>95</v>
      </c>
      <c r="CF608" s="3">
        <v>43076</v>
      </c>
      <c r="CI608" s="2">
        <v>1</v>
      </c>
      <c r="CJ608" s="2">
        <v>1</v>
      </c>
      <c r="CK608" s="2">
        <v>21</v>
      </c>
      <c r="CL608" s="2" t="s">
        <v>89</v>
      </c>
    </row>
    <row r="609" spans="1:90">
      <c r="A609" s="2" t="s">
        <v>71</v>
      </c>
      <c r="B609" s="2" t="s">
        <v>72</v>
      </c>
      <c r="C609" s="2" t="s">
        <v>73</v>
      </c>
      <c r="E609" s="2" t="str">
        <f>"FES1162593970"</f>
        <v>FES1162593970</v>
      </c>
      <c r="F609" s="3">
        <v>43074</v>
      </c>
      <c r="G609" s="2">
        <v>201806</v>
      </c>
      <c r="H609" s="2" t="s">
        <v>74</v>
      </c>
      <c r="I609" s="2" t="s">
        <v>75</v>
      </c>
      <c r="J609" s="2" t="s">
        <v>97</v>
      </c>
      <c r="K609" s="2" t="s">
        <v>77</v>
      </c>
      <c r="L609" s="2" t="s">
        <v>136</v>
      </c>
      <c r="M609" s="2" t="s">
        <v>137</v>
      </c>
      <c r="N609" s="2" t="s">
        <v>138</v>
      </c>
      <c r="O609" s="2" t="s">
        <v>101</v>
      </c>
      <c r="P609" s="2" t="str">
        <f>"217098418                     "</f>
        <v xml:space="preserve">217098418 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5.65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1.3</v>
      </c>
      <c r="BJ609" s="2">
        <v>1.3</v>
      </c>
      <c r="BK609" s="2">
        <v>1.5</v>
      </c>
      <c r="BL609" s="2">
        <v>45.15</v>
      </c>
      <c r="BM609" s="2">
        <v>6.32</v>
      </c>
      <c r="BN609" s="2">
        <v>51.47</v>
      </c>
      <c r="BO609" s="2">
        <v>51.47</v>
      </c>
      <c r="BQ609" s="2" t="s">
        <v>82</v>
      </c>
      <c r="BR609" s="2" t="s">
        <v>103</v>
      </c>
      <c r="BS609" s="3">
        <v>43075</v>
      </c>
      <c r="BT609" s="4">
        <v>0.41666666666666669</v>
      </c>
      <c r="BU609" s="2" t="s">
        <v>139</v>
      </c>
      <c r="BV609" s="2" t="s">
        <v>85</v>
      </c>
      <c r="BY609" s="2">
        <v>6346.13</v>
      </c>
      <c r="CA609" s="2" t="s">
        <v>140</v>
      </c>
      <c r="CC609" s="2" t="s">
        <v>137</v>
      </c>
      <c r="CD609" s="2">
        <v>6001</v>
      </c>
      <c r="CE609" s="2" t="s">
        <v>87</v>
      </c>
      <c r="CF609" s="3">
        <v>43075</v>
      </c>
      <c r="CI609" s="2">
        <v>1</v>
      </c>
      <c r="CJ609" s="2">
        <v>1</v>
      </c>
      <c r="CK609" s="2">
        <v>21</v>
      </c>
      <c r="CL609" s="2" t="s">
        <v>89</v>
      </c>
    </row>
    <row r="610" spans="1:90">
      <c r="A610" s="2" t="s">
        <v>71</v>
      </c>
      <c r="B610" s="2" t="s">
        <v>72</v>
      </c>
      <c r="C610" s="2" t="s">
        <v>73</v>
      </c>
      <c r="E610" s="2" t="str">
        <f>"FES1162593732"</f>
        <v>FES1162593732</v>
      </c>
      <c r="F610" s="3">
        <v>43074</v>
      </c>
      <c r="G610" s="2">
        <v>201806</v>
      </c>
      <c r="H610" s="2" t="s">
        <v>74</v>
      </c>
      <c r="I610" s="2" t="s">
        <v>75</v>
      </c>
      <c r="J610" s="2" t="s">
        <v>97</v>
      </c>
      <c r="K610" s="2" t="s">
        <v>77</v>
      </c>
      <c r="L610" s="2" t="s">
        <v>125</v>
      </c>
      <c r="M610" s="2" t="s">
        <v>126</v>
      </c>
      <c r="N610" s="2" t="s">
        <v>1111</v>
      </c>
      <c r="O610" s="2" t="s">
        <v>101</v>
      </c>
      <c r="P610" s="2" t="str">
        <f>"2170605813                    "</f>
        <v xml:space="preserve">2170605813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11.29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4</v>
      </c>
      <c r="BJ610" s="2">
        <v>1.5</v>
      </c>
      <c r="BK610" s="2">
        <v>4</v>
      </c>
      <c r="BL610" s="2">
        <v>90.27</v>
      </c>
      <c r="BM610" s="2">
        <v>12.64</v>
      </c>
      <c r="BN610" s="2">
        <v>102.91</v>
      </c>
      <c r="BO610" s="2">
        <v>102.91</v>
      </c>
      <c r="BQ610" s="2" t="s">
        <v>82</v>
      </c>
      <c r="BR610" s="2" t="s">
        <v>103</v>
      </c>
      <c r="BS610" s="3">
        <v>43075</v>
      </c>
      <c r="BT610" s="4">
        <v>0.38194444444444442</v>
      </c>
      <c r="BU610" s="2" t="s">
        <v>1112</v>
      </c>
      <c r="BV610" s="2" t="s">
        <v>85</v>
      </c>
      <c r="BY610" s="2">
        <v>7540</v>
      </c>
      <c r="CA610" s="2" t="s">
        <v>578</v>
      </c>
      <c r="CC610" s="2" t="s">
        <v>126</v>
      </c>
      <c r="CD610" s="2">
        <v>4052</v>
      </c>
      <c r="CE610" s="2" t="s">
        <v>95</v>
      </c>
      <c r="CF610" s="3">
        <v>43076</v>
      </c>
      <c r="CI610" s="2">
        <v>1</v>
      </c>
      <c r="CJ610" s="2">
        <v>1</v>
      </c>
      <c r="CK610" s="2">
        <v>21</v>
      </c>
      <c r="CL610" s="2" t="s">
        <v>89</v>
      </c>
    </row>
    <row r="611" spans="1:90">
      <c r="A611" s="2" t="s">
        <v>71</v>
      </c>
      <c r="B611" s="2" t="s">
        <v>72</v>
      </c>
      <c r="C611" s="2" t="s">
        <v>73</v>
      </c>
      <c r="E611" s="2" t="str">
        <f>"FES1162593750"</f>
        <v>FES1162593750</v>
      </c>
      <c r="F611" s="3">
        <v>43074</v>
      </c>
      <c r="G611" s="2">
        <v>201806</v>
      </c>
      <c r="H611" s="2" t="s">
        <v>74</v>
      </c>
      <c r="I611" s="2" t="s">
        <v>75</v>
      </c>
      <c r="J611" s="2" t="s">
        <v>97</v>
      </c>
      <c r="K611" s="2" t="s">
        <v>77</v>
      </c>
      <c r="L611" s="2" t="s">
        <v>115</v>
      </c>
      <c r="M611" s="2" t="s">
        <v>116</v>
      </c>
      <c r="N611" s="2" t="s">
        <v>1113</v>
      </c>
      <c r="O611" s="2" t="s">
        <v>101</v>
      </c>
      <c r="P611" s="2" t="str">
        <f>"2170602282                    "</f>
        <v xml:space="preserve">2170602282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6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11</v>
      </c>
      <c r="BJ611" s="2">
        <v>3.5</v>
      </c>
      <c r="BK611" s="2">
        <v>11</v>
      </c>
      <c r="BL611" s="2">
        <v>47.96</v>
      </c>
      <c r="BM611" s="2">
        <v>6.71</v>
      </c>
      <c r="BN611" s="2">
        <v>54.67</v>
      </c>
      <c r="BO611" s="2">
        <v>54.67</v>
      </c>
      <c r="BQ611" s="2" t="s">
        <v>102</v>
      </c>
      <c r="BR611" s="2" t="s">
        <v>103</v>
      </c>
      <c r="BS611" s="3">
        <v>43075</v>
      </c>
      <c r="BT611" s="4">
        <v>0.34722222222222227</v>
      </c>
      <c r="BU611" s="2" t="s">
        <v>1114</v>
      </c>
      <c r="BV611" s="2" t="s">
        <v>85</v>
      </c>
      <c r="BY611" s="2">
        <v>17347.72</v>
      </c>
      <c r="CA611" s="2" t="s">
        <v>119</v>
      </c>
      <c r="CC611" s="2" t="s">
        <v>116</v>
      </c>
      <c r="CD611" s="2">
        <v>1460</v>
      </c>
      <c r="CE611" s="2" t="s">
        <v>95</v>
      </c>
      <c r="CF611" s="3">
        <v>43077</v>
      </c>
      <c r="CI611" s="2">
        <v>1</v>
      </c>
      <c r="CJ611" s="2">
        <v>1</v>
      </c>
      <c r="CK611" s="2">
        <v>22</v>
      </c>
      <c r="CL611" s="2" t="s">
        <v>89</v>
      </c>
    </row>
    <row r="612" spans="1:90">
      <c r="A612" s="2" t="s">
        <v>71</v>
      </c>
      <c r="B612" s="2" t="s">
        <v>72</v>
      </c>
      <c r="C612" s="2" t="s">
        <v>73</v>
      </c>
      <c r="E612" s="2" t="str">
        <f>"FES1162593984"</f>
        <v>FES1162593984</v>
      </c>
      <c r="F612" s="3">
        <v>43074</v>
      </c>
      <c r="G612" s="2">
        <v>201806</v>
      </c>
      <c r="H612" s="2" t="s">
        <v>74</v>
      </c>
      <c r="I612" s="2" t="s">
        <v>75</v>
      </c>
      <c r="J612" s="2" t="s">
        <v>97</v>
      </c>
      <c r="K612" s="2" t="s">
        <v>77</v>
      </c>
      <c r="L612" s="2" t="s">
        <v>136</v>
      </c>
      <c r="M612" s="2" t="s">
        <v>137</v>
      </c>
      <c r="N612" s="2" t="s">
        <v>138</v>
      </c>
      <c r="O612" s="2" t="s">
        <v>101</v>
      </c>
      <c r="P612" s="2" t="str">
        <f>"2170601960                    "</f>
        <v xml:space="preserve">2170601960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8.4700000000000006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0.9</v>
      </c>
      <c r="BJ612" s="2">
        <v>2.9</v>
      </c>
      <c r="BK612" s="2">
        <v>3</v>
      </c>
      <c r="BL612" s="2">
        <v>67.709999999999994</v>
      </c>
      <c r="BM612" s="2">
        <v>9.48</v>
      </c>
      <c r="BN612" s="2">
        <v>77.19</v>
      </c>
      <c r="BO612" s="2">
        <v>77.19</v>
      </c>
      <c r="BQ612" s="2" t="s">
        <v>82</v>
      </c>
      <c r="BR612" s="2" t="s">
        <v>103</v>
      </c>
      <c r="BS612" s="3">
        <v>43075</v>
      </c>
      <c r="BT612" s="4">
        <v>0.41666666666666669</v>
      </c>
      <c r="BU612" s="2" t="s">
        <v>139</v>
      </c>
      <c r="BV612" s="2" t="s">
        <v>85</v>
      </c>
      <c r="BY612" s="2">
        <v>14709.82</v>
      </c>
      <c r="CA612" s="2" t="s">
        <v>140</v>
      </c>
      <c r="CC612" s="2" t="s">
        <v>137</v>
      </c>
      <c r="CD612" s="2">
        <v>6001</v>
      </c>
      <c r="CE612" s="2" t="s">
        <v>95</v>
      </c>
      <c r="CF612" s="3">
        <v>43076</v>
      </c>
      <c r="CI612" s="2">
        <v>1</v>
      </c>
      <c r="CJ612" s="2">
        <v>1</v>
      </c>
      <c r="CK612" s="2">
        <v>21</v>
      </c>
      <c r="CL612" s="2" t="s">
        <v>89</v>
      </c>
    </row>
    <row r="613" spans="1:90">
      <c r="A613" s="2" t="s">
        <v>71</v>
      </c>
      <c r="B613" s="2" t="s">
        <v>72</v>
      </c>
      <c r="C613" s="2" t="s">
        <v>73</v>
      </c>
      <c r="E613" s="2" t="str">
        <f>"FES1162594001"</f>
        <v>FES1162594001</v>
      </c>
      <c r="F613" s="3">
        <v>43074</v>
      </c>
      <c r="G613" s="2">
        <v>201806</v>
      </c>
      <c r="H613" s="2" t="s">
        <v>74</v>
      </c>
      <c r="I613" s="2" t="s">
        <v>75</v>
      </c>
      <c r="J613" s="2" t="s">
        <v>97</v>
      </c>
      <c r="K613" s="2" t="s">
        <v>77</v>
      </c>
      <c r="L613" s="2" t="s">
        <v>1115</v>
      </c>
      <c r="M613" s="2" t="s">
        <v>1116</v>
      </c>
      <c r="N613" s="2" t="s">
        <v>1117</v>
      </c>
      <c r="O613" s="2" t="s">
        <v>101</v>
      </c>
      <c r="P613" s="2" t="str">
        <f>"2170605525                    "</f>
        <v xml:space="preserve">2170605525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10.94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87.47</v>
      </c>
      <c r="BM613" s="2">
        <v>12.25</v>
      </c>
      <c r="BN613" s="2">
        <v>99.72</v>
      </c>
      <c r="BO613" s="2">
        <v>99.72</v>
      </c>
      <c r="BR613" s="2" t="s">
        <v>103</v>
      </c>
      <c r="BS613" s="3">
        <v>43075</v>
      </c>
      <c r="BT613" s="4">
        <v>0.5</v>
      </c>
      <c r="BU613" s="2" t="s">
        <v>1118</v>
      </c>
      <c r="BV613" s="2" t="s">
        <v>85</v>
      </c>
      <c r="BY613" s="2">
        <v>1200</v>
      </c>
      <c r="CC613" s="2" t="s">
        <v>1116</v>
      </c>
      <c r="CD613" s="2">
        <v>5660</v>
      </c>
      <c r="CE613" s="2" t="s">
        <v>120</v>
      </c>
      <c r="CF613" s="3">
        <v>43077</v>
      </c>
      <c r="CI613" s="2">
        <v>3</v>
      </c>
      <c r="CJ613" s="2">
        <v>1</v>
      </c>
      <c r="CK613" s="2">
        <v>23</v>
      </c>
      <c r="CL613" s="2" t="s">
        <v>89</v>
      </c>
    </row>
    <row r="614" spans="1:90">
      <c r="A614" s="2" t="s">
        <v>71</v>
      </c>
      <c r="B614" s="2" t="s">
        <v>72</v>
      </c>
      <c r="C614" s="2" t="s">
        <v>73</v>
      </c>
      <c r="E614" s="2" t="str">
        <f>"FES1162593866"</f>
        <v>FES1162593866</v>
      </c>
      <c r="F614" s="3">
        <v>43074</v>
      </c>
      <c r="G614" s="2">
        <v>201806</v>
      </c>
      <c r="H614" s="2" t="s">
        <v>74</v>
      </c>
      <c r="I614" s="2" t="s">
        <v>75</v>
      </c>
      <c r="J614" s="2" t="s">
        <v>97</v>
      </c>
      <c r="K614" s="2" t="s">
        <v>77</v>
      </c>
      <c r="L614" s="2" t="s">
        <v>173</v>
      </c>
      <c r="M614" s="2" t="s">
        <v>174</v>
      </c>
      <c r="N614" s="2" t="s">
        <v>498</v>
      </c>
      <c r="O614" s="2" t="s">
        <v>101</v>
      </c>
      <c r="P614" s="2" t="str">
        <f>"2170605634                    "</f>
        <v xml:space="preserve">2170605634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5.65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1</v>
      </c>
      <c r="BJ614" s="2">
        <v>0.2</v>
      </c>
      <c r="BK614" s="2">
        <v>1</v>
      </c>
      <c r="BL614" s="2">
        <v>45.15</v>
      </c>
      <c r="BM614" s="2">
        <v>6.32</v>
      </c>
      <c r="BN614" s="2">
        <v>51.47</v>
      </c>
      <c r="BO614" s="2">
        <v>51.47</v>
      </c>
      <c r="BQ614" s="2" t="s">
        <v>82</v>
      </c>
      <c r="BR614" s="2" t="s">
        <v>103</v>
      </c>
      <c r="BS614" s="3">
        <v>43075</v>
      </c>
      <c r="BT614" s="4">
        <v>0.59236111111111112</v>
      </c>
      <c r="BU614" s="2" t="s">
        <v>500</v>
      </c>
      <c r="BV614" s="2" t="s">
        <v>89</v>
      </c>
      <c r="BW614" s="2" t="s">
        <v>149</v>
      </c>
      <c r="BX614" s="2" t="s">
        <v>411</v>
      </c>
      <c r="BY614" s="2">
        <v>1200</v>
      </c>
      <c r="CA614" s="2" t="s">
        <v>360</v>
      </c>
      <c r="CC614" s="2" t="s">
        <v>174</v>
      </c>
      <c r="CD614" s="2">
        <v>7405</v>
      </c>
      <c r="CE614" s="2" t="s">
        <v>120</v>
      </c>
      <c r="CF614" s="3">
        <v>43076</v>
      </c>
      <c r="CI614" s="2">
        <v>1</v>
      </c>
      <c r="CJ614" s="2">
        <v>1</v>
      </c>
      <c r="CK614" s="2">
        <v>21</v>
      </c>
      <c r="CL614" s="2" t="s">
        <v>89</v>
      </c>
    </row>
    <row r="615" spans="1:90">
      <c r="A615" s="2" t="s">
        <v>71</v>
      </c>
      <c r="B615" s="2" t="s">
        <v>72</v>
      </c>
      <c r="C615" s="2" t="s">
        <v>73</v>
      </c>
      <c r="E615" s="2" t="str">
        <f>"FES1162593868"</f>
        <v>FES1162593868</v>
      </c>
      <c r="F615" s="3">
        <v>43074</v>
      </c>
      <c r="G615" s="2">
        <v>201806</v>
      </c>
      <c r="H615" s="2" t="s">
        <v>74</v>
      </c>
      <c r="I615" s="2" t="s">
        <v>75</v>
      </c>
      <c r="J615" s="2" t="s">
        <v>97</v>
      </c>
      <c r="K615" s="2" t="s">
        <v>77</v>
      </c>
      <c r="L615" s="2" t="s">
        <v>212</v>
      </c>
      <c r="M615" s="2" t="s">
        <v>212</v>
      </c>
      <c r="N615" s="2" t="s">
        <v>370</v>
      </c>
      <c r="O615" s="2" t="s">
        <v>101</v>
      </c>
      <c r="P615" s="2" t="str">
        <f>"2170605648                    "</f>
        <v xml:space="preserve">2170605648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5.65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</v>
      </c>
      <c r="BJ615" s="2">
        <v>0.2</v>
      </c>
      <c r="BK615" s="2">
        <v>1</v>
      </c>
      <c r="BL615" s="2">
        <v>45.15</v>
      </c>
      <c r="BM615" s="2">
        <v>6.32</v>
      </c>
      <c r="BN615" s="2">
        <v>51.47</v>
      </c>
      <c r="BO615" s="2">
        <v>51.47</v>
      </c>
      <c r="BQ615" s="2" t="s">
        <v>102</v>
      </c>
      <c r="BR615" s="2" t="s">
        <v>103</v>
      </c>
      <c r="BS615" s="3">
        <v>43075</v>
      </c>
      <c r="BT615" s="4">
        <v>0.57638888888888895</v>
      </c>
      <c r="BU615" s="2" t="s">
        <v>1119</v>
      </c>
      <c r="BV615" s="2" t="s">
        <v>85</v>
      </c>
      <c r="BY615" s="2">
        <v>1200</v>
      </c>
      <c r="CA615" s="2" t="s">
        <v>1108</v>
      </c>
      <c r="CC615" s="2" t="s">
        <v>212</v>
      </c>
      <c r="CD615" s="2">
        <v>7646</v>
      </c>
      <c r="CE615" s="2" t="s">
        <v>120</v>
      </c>
      <c r="CF615" s="3">
        <v>43075</v>
      </c>
      <c r="CI615" s="2">
        <v>1</v>
      </c>
      <c r="CJ615" s="2">
        <v>1</v>
      </c>
      <c r="CK615" s="2">
        <v>21</v>
      </c>
      <c r="CL615" s="2" t="s">
        <v>89</v>
      </c>
    </row>
    <row r="616" spans="1:90">
      <c r="A616" s="2" t="s">
        <v>71</v>
      </c>
      <c r="B616" s="2" t="s">
        <v>72</v>
      </c>
      <c r="C616" s="2" t="s">
        <v>73</v>
      </c>
      <c r="E616" s="2" t="str">
        <f>"FES1162593675"</f>
        <v>FES1162593675</v>
      </c>
      <c r="F616" s="3">
        <v>43074</v>
      </c>
      <c r="G616" s="2">
        <v>201806</v>
      </c>
      <c r="H616" s="2" t="s">
        <v>74</v>
      </c>
      <c r="I616" s="2" t="s">
        <v>75</v>
      </c>
      <c r="J616" s="2" t="s">
        <v>97</v>
      </c>
      <c r="K616" s="2" t="s">
        <v>77</v>
      </c>
      <c r="L616" s="2" t="s">
        <v>74</v>
      </c>
      <c r="M616" s="2" t="s">
        <v>75</v>
      </c>
      <c r="N616" s="2" t="s">
        <v>201</v>
      </c>
      <c r="O616" s="2" t="s">
        <v>101</v>
      </c>
      <c r="P616" s="2" t="str">
        <f>"2170604438                    "</f>
        <v xml:space="preserve">2170604438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4.41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35.270000000000003</v>
      </c>
      <c r="BM616" s="2">
        <v>4.9400000000000004</v>
      </c>
      <c r="BN616" s="2">
        <v>40.21</v>
      </c>
      <c r="BO616" s="2">
        <v>40.21</v>
      </c>
      <c r="BQ616" s="2" t="s">
        <v>102</v>
      </c>
      <c r="BR616" s="2" t="s">
        <v>103</v>
      </c>
      <c r="BS616" s="3">
        <v>43075</v>
      </c>
      <c r="BT616" s="4">
        <v>0.41666666666666669</v>
      </c>
      <c r="BU616" s="2" t="s">
        <v>202</v>
      </c>
      <c r="BV616" s="2" t="s">
        <v>85</v>
      </c>
      <c r="BY616" s="2">
        <v>1200</v>
      </c>
      <c r="CA616" s="2" t="s">
        <v>203</v>
      </c>
      <c r="CC616" s="2" t="s">
        <v>75</v>
      </c>
      <c r="CD616" s="2">
        <v>1665</v>
      </c>
      <c r="CE616" s="2" t="s">
        <v>120</v>
      </c>
      <c r="CF616" s="3">
        <v>43077</v>
      </c>
      <c r="CI616" s="2">
        <v>1</v>
      </c>
      <c r="CJ616" s="2">
        <v>1</v>
      </c>
      <c r="CK616" s="2">
        <v>22</v>
      </c>
      <c r="CL616" s="2" t="s">
        <v>89</v>
      </c>
    </row>
    <row r="617" spans="1:90">
      <c r="A617" s="2" t="s">
        <v>71</v>
      </c>
      <c r="B617" s="2" t="s">
        <v>72</v>
      </c>
      <c r="C617" s="2" t="s">
        <v>73</v>
      </c>
      <c r="E617" s="2" t="str">
        <f>"FES1162594010"</f>
        <v>FES1162594010</v>
      </c>
      <c r="F617" s="3">
        <v>43074</v>
      </c>
      <c r="G617" s="2">
        <v>201806</v>
      </c>
      <c r="H617" s="2" t="s">
        <v>74</v>
      </c>
      <c r="I617" s="2" t="s">
        <v>75</v>
      </c>
      <c r="J617" s="2" t="s">
        <v>97</v>
      </c>
      <c r="K617" s="2" t="s">
        <v>77</v>
      </c>
      <c r="L617" s="2" t="s">
        <v>136</v>
      </c>
      <c r="M617" s="2" t="s">
        <v>137</v>
      </c>
      <c r="N617" s="2" t="s">
        <v>138</v>
      </c>
      <c r="O617" s="2" t="s">
        <v>101</v>
      </c>
      <c r="P617" s="2" t="str">
        <f>"21706000039                   "</f>
        <v xml:space="preserve">21706000039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36.700000000000003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2</v>
      </c>
      <c r="BI617" s="2">
        <v>8.4</v>
      </c>
      <c r="BJ617" s="2">
        <v>12.7</v>
      </c>
      <c r="BK617" s="2">
        <v>13</v>
      </c>
      <c r="BL617" s="2">
        <v>293.33999999999997</v>
      </c>
      <c r="BM617" s="2">
        <v>41.07</v>
      </c>
      <c r="BN617" s="2">
        <v>334.41</v>
      </c>
      <c r="BO617" s="2">
        <v>334.41</v>
      </c>
      <c r="BQ617" s="2" t="s">
        <v>82</v>
      </c>
      <c r="BR617" s="2" t="s">
        <v>103</v>
      </c>
      <c r="BS617" s="3">
        <v>43075</v>
      </c>
      <c r="BT617" s="4">
        <v>0.41666666666666669</v>
      </c>
      <c r="BU617" s="2" t="s">
        <v>139</v>
      </c>
      <c r="BV617" s="2" t="s">
        <v>85</v>
      </c>
      <c r="BY617" s="2">
        <v>63622.46</v>
      </c>
      <c r="CA617" s="2" t="s">
        <v>140</v>
      </c>
      <c r="CC617" s="2" t="s">
        <v>137</v>
      </c>
      <c r="CD617" s="2">
        <v>6001</v>
      </c>
      <c r="CE617" s="2" t="s">
        <v>95</v>
      </c>
      <c r="CF617" s="3">
        <v>43076</v>
      </c>
      <c r="CI617" s="2">
        <v>1</v>
      </c>
      <c r="CJ617" s="2">
        <v>1</v>
      </c>
      <c r="CK617" s="2">
        <v>21</v>
      </c>
      <c r="CL617" s="2" t="s">
        <v>89</v>
      </c>
    </row>
    <row r="618" spans="1:90">
      <c r="A618" s="2" t="s">
        <v>71</v>
      </c>
      <c r="B618" s="2" t="s">
        <v>72</v>
      </c>
      <c r="C618" s="2" t="s">
        <v>73</v>
      </c>
      <c r="E618" s="2" t="str">
        <f>"FES1162593860"</f>
        <v>FES1162593860</v>
      </c>
      <c r="F618" s="3">
        <v>43074</v>
      </c>
      <c r="G618" s="2">
        <v>201806</v>
      </c>
      <c r="H618" s="2" t="s">
        <v>74</v>
      </c>
      <c r="I618" s="2" t="s">
        <v>75</v>
      </c>
      <c r="J618" s="2" t="s">
        <v>97</v>
      </c>
      <c r="K618" s="2" t="s">
        <v>77</v>
      </c>
      <c r="L618" s="2" t="s">
        <v>526</v>
      </c>
      <c r="M618" s="2" t="s">
        <v>527</v>
      </c>
      <c r="N618" s="2" t="s">
        <v>528</v>
      </c>
      <c r="O618" s="2" t="s">
        <v>101</v>
      </c>
      <c r="P618" s="2" t="str">
        <f>"2170605319                    "</f>
        <v xml:space="preserve">2170605319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5.65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</v>
      </c>
      <c r="BJ618" s="2">
        <v>0.2</v>
      </c>
      <c r="BK618" s="2">
        <v>1</v>
      </c>
      <c r="BL618" s="2">
        <v>45.15</v>
      </c>
      <c r="BM618" s="2">
        <v>6.32</v>
      </c>
      <c r="BN618" s="2">
        <v>51.47</v>
      </c>
      <c r="BO618" s="2">
        <v>51.47</v>
      </c>
      <c r="BQ618" s="2" t="s">
        <v>128</v>
      </c>
      <c r="BR618" s="2" t="s">
        <v>103</v>
      </c>
      <c r="BS618" s="3">
        <v>43075</v>
      </c>
      <c r="BT618" s="4">
        <v>0.58680555555555558</v>
      </c>
      <c r="BU618" s="2" t="s">
        <v>1120</v>
      </c>
      <c r="BV618" s="2" t="s">
        <v>85</v>
      </c>
      <c r="BY618" s="2">
        <v>1200</v>
      </c>
      <c r="CA618" s="2" t="s">
        <v>530</v>
      </c>
      <c r="CC618" s="2" t="s">
        <v>527</v>
      </c>
      <c r="CD618" s="2">
        <v>6850</v>
      </c>
      <c r="CE618" s="2" t="s">
        <v>120</v>
      </c>
      <c r="CF618" s="3">
        <v>43075</v>
      </c>
      <c r="CI618" s="2">
        <v>3</v>
      </c>
      <c r="CJ618" s="2">
        <v>1</v>
      </c>
      <c r="CK618" s="2">
        <v>21</v>
      </c>
      <c r="CL618" s="2" t="s">
        <v>89</v>
      </c>
    </row>
    <row r="619" spans="1:90">
      <c r="A619" s="2" t="s">
        <v>71</v>
      </c>
      <c r="B619" s="2" t="s">
        <v>72</v>
      </c>
      <c r="C619" s="2" t="s">
        <v>73</v>
      </c>
      <c r="E619" s="2" t="str">
        <f>"FES1162593796"</f>
        <v>FES1162593796</v>
      </c>
      <c r="F619" s="3">
        <v>43074</v>
      </c>
      <c r="G619" s="2">
        <v>201806</v>
      </c>
      <c r="H619" s="2" t="s">
        <v>74</v>
      </c>
      <c r="I619" s="2" t="s">
        <v>75</v>
      </c>
      <c r="J619" s="2" t="s">
        <v>97</v>
      </c>
      <c r="K619" s="2" t="s">
        <v>77</v>
      </c>
      <c r="L619" s="2" t="s">
        <v>106</v>
      </c>
      <c r="M619" s="2" t="s">
        <v>107</v>
      </c>
      <c r="N619" s="2" t="s">
        <v>427</v>
      </c>
      <c r="O619" s="2" t="s">
        <v>101</v>
      </c>
      <c r="P619" s="2" t="str">
        <f>"2170604790                    "</f>
        <v xml:space="preserve">2170604790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4.41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1</v>
      </c>
      <c r="BJ619" s="2">
        <v>0.2</v>
      </c>
      <c r="BK619" s="2">
        <v>1</v>
      </c>
      <c r="BL619" s="2">
        <v>35.270000000000003</v>
      </c>
      <c r="BM619" s="2">
        <v>4.9400000000000004</v>
      </c>
      <c r="BN619" s="2">
        <v>40.21</v>
      </c>
      <c r="BO619" s="2">
        <v>40.21</v>
      </c>
      <c r="BQ619" s="2" t="s">
        <v>102</v>
      </c>
      <c r="BR619" s="2" t="s">
        <v>103</v>
      </c>
      <c r="BS619" s="3">
        <v>43075</v>
      </c>
      <c r="BT619" s="4">
        <v>0.4465277777777778</v>
      </c>
      <c r="BU619" s="2" t="s">
        <v>1121</v>
      </c>
      <c r="BV619" s="2" t="s">
        <v>85</v>
      </c>
      <c r="BY619" s="2">
        <v>1200</v>
      </c>
      <c r="CA619" s="2" t="s">
        <v>429</v>
      </c>
      <c r="CC619" s="2" t="s">
        <v>107</v>
      </c>
      <c r="CD619" s="2">
        <v>2091</v>
      </c>
      <c r="CE619" s="2" t="s">
        <v>120</v>
      </c>
      <c r="CF619" s="3">
        <v>43077</v>
      </c>
      <c r="CI619" s="2">
        <v>1</v>
      </c>
      <c r="CJ619" s="2">
        <v>1</v>
      </c>
      <c r="CK619" s="2">
        <v>22</v>
      </c>
      <c r="CL619" s="2" t="s">
        <v>89</v>
      </c>
    </row>
    <row r="620" spans="1:90">
      <c r="A620" s="2" t="s">
        <v>71</v>
      </c>
      <c r="B620" s="2" t="s">
        <v>72</v>
      </c>
      <c r="C620" s="2" t="s">
        <v>73</v>
      </c>
      <c r="E620" s="2" t="str">
        <f>"FES1162593874"</f>
        <v>FES1162593874</v>
      </c>
      <c r="F620" s="3">
        <v>43074</v>
      </c>
      <c r="G620" s="2">
        <v>201806</v>
      </c>
      <c r="H620" s="2" t="s">
        <v>74</v>
      </c>
      <c r="I620" s="2" t="s">
        <v>75</v>
      </c>
      <c r="J620" s="2" t="s">
        <v>97</v>
      </c>
      <c r="K620" s="2" t="s">
        <v>77</v>
      </c>
      <c r="L620" s="2" t="s">
        <v>1027</v>
      </c>
      <c r="M620" s="2" t="s">
        <v>1028</v>
      </c>
      <c r="N620" s="2" t="s">
        <v>1122</v>
      </c>
      <c r="O620" s="2" t="s">
        <v>101</v>
      </c>
      <c r="P620" s="2" t="str">
        <f>"2170605892                    "</f>
        <v xml:space="preserve">2170605892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5.65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1</v>
      </c>
      <c r="BJ620" s="2">
        <v>0.2</v>
      </c>
      <c r="BK620" s="2">
        <v>1</v>
      </c>
      <c r="BL620" s="2">
        <v>45.15</v>
      </c>
      <c r="BM620" s="2">
        <v>6.32</v>
      </c>
      <c r="BN620" s="2">
        <v>51.47</v>
      </c>
      <c r="BO620" s="2">
        <v>51.47</v>
      </c>
      <c r="BQ620" s="2" t="s">
        <v>1123</v>
      </c>
      <c r="BR620" s="2" t="s">
        <v>103</v>
      </c>
      <c r="BS620" s="3">
        <v>43075</v>
      </c>
      <c r="BT620" s="4">
        <v>0.58333333333333337</v>
      </c>
      <c r="BU620" s="2" t="s">
        <v>1124</v>
      </c>
      <c r="BV620" s="2" t="s">
        <v>85</v>
      </c>
      <c r="BY620" s="2">
        <v>1200</v>
      </c>
      <c r="CA620" s="2" t="s">
        <v>494</v>
      </c>
      <c r="CC620" s="2" t="s">
        <v>1028</v>
      </c>
      <c r="CD620" s="2">
        <v>3770</v>
      </c>
      <c r="CE620" s="2" t="s">
        <v>120</v>
      </c>
      <c r="CF620" s="3">
        <v>43076</v>
      </c>
      <c r="CI620" s="2">
        <v>1</v>
      </c>
      <c r="CJ620" s="2">
        <v>1</v>
      </c>
      <c r="CK620" s="2">
        <v>21</v>
      </c>
      <c r="CL620" s="2" t="s">
        <v>89</v>
      </c>
    </row>
    <row r="621" spans="1:90">
      <c r="A621" s="2" t="s">
        <v>71</v>
      </c>
      <c r="B621" s="2" t="s">
        <v>72</v>
      </c>
      <c r="C621" s="2" t="s">
        <v>73</v>
      </c>
      <c r="E621" s="2" t="str">
        <f>"FES1162593873"</f>
        <v>FES1162593873</v>
      </c>
      <c r="F621" s="3">
        <v>43074</v>
      </c>
      <c r="G621" s="2">
        <v>201806</v>
      </c>
      <c r="H621" s="2" t="s">
        <v>74</v>
      </c>
      <c r="I621" s="2" t="s">
        <v>75</v>
      </c>
      <c r="J621" s="2" t="s">
        <v>97</v>
      </c>
      <c r="K621" s="2" t="s">
        <v>77</v>
      </c>
      <c r="L621" s="2" t="s">
        <v>74</v>
      </c>
      <c r="M621" s="2" t="s">
        <v>75</v>
      </c>
      <c r="N621" s="2" t="s">
        <v>1125</v>
      </c>
      <c r="O621" s="2" t="s">
        <v>101</v>
      </c>
      <c r="P621" s="2" t="str">
        <f>"2170605866                    "</f>
        <v xml:space="preserve">2170605866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4.41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35.270000000000003</v>
      </c>
      <c r="BM621" s="2">
        <v>4.9400000000000004</v>
      </c>
      <c r="BN621" s="2">
        <v>40.21</v>
      </c>
      <c r="BO621" s="2">
        <v>40.21</v>
      </c>
      <c r="BQ621" s="2" t="s">
        <v>142</v>
      </c>
      <c r="BR621" s="2" t="s">
        <v>103</v>
      </c>
      <c r="BS621" s="3">
        <v>43075</v>
      </c>
      <c r="BT621" s="4">
        <v>0.4375</v>
      </c>
      <c r="BU621" s="2" t="s">
        <v>1126</v>
      </c>
      <c r="BV621" s="2" t="s">
        <v>85</v>
      </c>
      <c r="BY621" s="2">
        <v>1200</v>
      </c>
      <c r="CA621" s="2" t="s">
        <v>355</v>
      </c>
      <c r="CC621" s="2" t="s">
        <v>75</v>
      </c>
      <c r="CD621" s="2">
        <v>1624</v>
      </c>
      <c r="CE621" s="2" t="s">
        <v>120</v>
      </c>
      <c r="CF621" s="3">
        <v>43077</v>
      </c>
      <c r="CI621" s="2">
        <v>1</v>
      </c>
      <c r="CJ621" s="2">
        <v>1</v>
      </c>
      <c r="CK621" s="2">
        <v>22</v>
      </c>
      <c r="CL621" s="2" t="s">
        <v>89</v>
      </c>
    </row>
    <row r="622" spans="1:90">
      <c r="A622" s="2" t="s">
        <v>71</v>
      </c>
      <c r="B622" s="2" t="s">
        <v>72</v>
      </c>
      <c r="C622" s="2" t="s">
        <v>73</v>
      </c>
      <c r="E622" s="2" t="str">
        <f>"FES1162593882"</f>
        <v>FES1162593882</v>
      </c>
      <c r="F622" s="3">
        <v>43074</v>
      </c>
      <c r="G622" s="2">
        <v>201806</v>
      </c>
      <c r="H622" s="2" t="s">
        <v>74</v>
      </c>
      <c r="I622" s="2" t="s">
        <v>75</v>
      </c>
      <c r="J622" s="2" t="s">
        <v>97</v>
      </c>
      <c r="K622" s="2" t="s">
        <v>77</v>
      </c>
      <c r="L622" s="2" t="s">
        <v>74</v>
      </c>
      <c r="M622" s="2" t="s">
        <v>75</v>
      </c>
      <c r="N622" s="2" t="s">
        <v>1127</v>
      </c>
      <c r="O622" s="2" t="s">
        <v>101</v>
      </c>
      <c r="P622" s="2" t="str">
        <f>"21701605898                   "</f>
        <v xml:space="preserve">21701605898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4.41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35.270000000000003</v>
      </c>
      <c r="BM622" s="2">
        <v>4.9400000000000004</v>
      </c>
      <c r="BN622" s="2">
        <v>40.21</v>
      </c>
      <c r="BO622" s="2">
        <v>40.21</v>
      </c>
      <c r="BR622" s="2" t="s">
        <v>103</v>
      </c>
      <c r="BS622" s="3">
        <v>43075</v>
      </c>
      <c r="BT622" s="4">
        <v>0.34027777777777773</v>
      </c>
      <c r="BU622" s="2" t="s">
        <v>1128</v>
      </c>
      <c r="BV622" s="2" t="s">
        <v>85</v>
      </c>
      <c r="BY622" s="2">
        <v>1200</v>
      </c>
      <c r="CA622" s="2" t="s">
        <v>486</v>
      </c>
      <c r="CC622" s="2" t="s">
        <v>75</v>
      </c>
      <c r="CD622" s="2">
        <v>1645</v>
      </c>
      <c r="CE622" s="2" t="s">
        <v>120</v>
      </c>
      <c r="CF622" s="3">
        <v>43077</v>
      </c>
      <c r="CI622" s="2">
        <v>1</v>
      </c>
      <c r="CJ622" s="2">
        <v>1</v>
      </c>
      <c r="CK622" s="2">
        <v>22</v>
      </c>
      <c r="CL622" s="2" t="s">
        <v>89</v>
      </c>
    </row>
    <row r="623" spans="1:90">
      <c r="A623" s="2" t="s">
        <v>71</v>
      </c>
      <c r="B623" s="2" t="s">
        <v>72</v>
      </c>
      <c r="C623" s="2" t="s">
        <v>73</v>
      </c>
      <c r="E623" s="2" t="str">
        <f>"FES1162593854"</f>
        <v>FES1162593854</v>
      </c>
      <c r="F623" s="3">
        <v>43074</v>
      </c>
      <c r="G623" s="2">
        <v>201806</v>
      </c>
      <c r="H623" s="2" t="s">
        <v>74</v>
      </c>
      <c r="I623" s="2" t="s">
        <v>75</v>
      </c>
      <c r="J623" s="2" t="s">
        <v>97</v>
      </c>
      <c r="K623" s="2" t="s">
        <v>77</v>
      </c>
      <c r="L623" s="2" t="s">
        <v>526</v>
      </c>
      <c r="M623" s="2" t="s">
        <v>527</v>
      </c>
      <c r="N623" s="2" t="s">
        <v>528</v>
      </c>
      <c r="O623" s="2" t="s">
        <v>101</v>
      </c>
      <c r="P623" s="2" t="str">
        <f>"2170604607                    "</f>
        <v xml:space="preserve">2170604607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5.65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45.15</v>
      </c>
      <c r="BM623" s="2">
        <v>6.32</v>
      </c>
      <c r="BN623" s="2">
        <v>51.47</v>
      </c>
      <c r="BO623" s="2">
        <v>51.47</v>
      </c>
      <c r="BQ623" s="2" t="s">
        <v>128</v>
      </c>
      <c r="BR623" s="2" t="s">
        <v>103</v>
      </c>
      <c r="BS623" s="3">
        <v>43075</v>
      </c>
      <c r="BT623" s="4">
        <v>0.58750000000000002</v>
      </c>
      <c r="BU623" s="2" t="s">
        <v>1120</v>
      </c>
      <c r="BV623" s="2" t="s">
        <v>85</v>
      </c>
      <c r="BY623" s="2">
        <v>1200</v>
      </c>
      <c r="CA623" s="2" t="s">
        <v>530</v>
      </c>
      <c r="CC623" s="2" t="s">
        <v>527</v>
      </c>
      <c r="CD623" s="2">
        <v>6850</v>
      </c>
      <c r="CE623" s="2" t="s">
        <v>120</v>
      </c>
      <c r="CF623" s="3">
        <v>43075</v>
      </c>
      <c r="CI623" s="2">
        <v>3</v>
      </c>
      <c r="CJ623" s="2">
        <v>1</v>
      </c>
      <c r="CK623" s="2">
        <v>21</v>
      </c>
      <c r="CL623" s="2" t="s">
        <v>89</v>
      </c>
    </row>
    <row r="624" spans="1:90">
      <c r="A624" s="2" t="s">
        <v>71</v>
      </c>
      <c r="B624" s="2" t="s">
        <v>72</v>
      </c>
      <c r="C624" s="2" t="s">
        <v>73</v>
      </c>
      <c r="E624" s="2" t="str">
        <f>"FES1162593781"</f>
        <v>FES1162593781</v>
      </c>
      <c r="F624" s="3">
        <v>43074</v>
      </c>
      <c r="G624" s="2">
        <v>201806</v>
      </c>
      <c r="H624" s="2" t="s">
        <v>74</v>
      </c>
      <c r="I624" s="2" t="s">
        <v>75</v>
      </c>
      <c r="J624" s="2" t="s">
        <v>97</v>
      </c>
      <c r="K624" s="2" t="s">
        <v>77</v>
      </c>
      <c r="L624" s="2" t="s">
        <v>325</v>
      </c>
      <c r="M624" s="2" t="s">
        <v>326</v>
      </c>
      <c r="N624" s="2" t="s">
        <v>1129</v>
      </c>
      <c r="O624" s="2" t="s">
        <v>101</v>
      </c>
      <c r="P624" s="2" t="str">
        <f>"2170604189                    "</f>
        <v xml:space="preserve">2170604189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5.65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45.15</v>
      </c>
      <c r="BM624" s="2">
        <v>6.32</v>
      </c>
      <c r="BN624" s="2">
        <v>51.47</v>
      </c>
      <c r="BO624" s="2">
        <v>51.47</v>
      </c>
      <c r="BQ624" s="2" t="s">
        <v>102</v>
      </c>
      <c r="BR624" s="2" t="s">
        <v>103</v>
      </c>
      <c r="BS624" s="3">
        <v>43075</v>
      </c>
      <c r="BT624" s="4">
        <v>0.41111111111111115</v>
      </c>
      <c r="BU624" s="2" t="s">
        <v>1130</v>
      </c>
      <c r="BV624" s="2" t="s">
        <v>85</v>
      </c>
      <c r="BY624" s="2">
        <v>1200</v>
      </c>
      <c r="CA624" s="2" t="s">
        <v>481</v>
      </c>
      <c r="CC624" s="2" t="s">
        <v>326</v>
      </c>
      <c r="CD624" s="2">
        <v>1939</v>
      </c>
      <c r="CE624" s="2" t="s">
        <v>120</v>
      </c>
      <c r="CF624" s="3">
        <v>43077</v>
      </c>
      <c r="CI624" s="2">
        <v>1</v>
      </c>
      <c r="CJ624" s="2">
        <v>1</v>
      </c>
      <c r="CK624" s="2">
        <v>21</v>
      </c>
      <c r="CL624" s="2" t="s">
        <v>89</v>
      </c>
    </row>
    <row r="625" spans="1:90">
      <c r="A625" s="2" t="s">
        <v>71</v>
      </c>
      <c r="B625" s="2" t="s">
        <v>72</v>
      </c>
      <c r="C625" s="2" t="s">
        <v>73</v>
      </c>
      <c r="E625" s="2" t="str">
        <f>"FES1162593780"</f>
        <v>FES1162593780</v>
      </c>
      <c r="F625" s="3">
        <v>43074</v>
      </c>
      <c r="G625" s="2">
        <v>201806</v>
      </c>
      <c r="H625" s="2" t="s">
        <v>74</v>
      </c>
      <c r="I625" s="2" t="s">
        <v>75</v>
      </c>
      <c r="J625" s="2" t="s">
        <v>97</v>
      </c>
      <c r="K625" s="2" t="s">
        <v>77</v>
      </c>
      <c r="L625" s="2" t="s">
        <v>152</v>
      </c>
      <c r="M625" s="2" t="s">
        <v>153</v>
      </c>
      <c r="N625" s="2" t="s">
        <v>1131</v>
      </c>
      <c r="O625" s="2" t="s">
        <v>101</v>
      </c>
      <c r="P625" s="2" t="str">
        <f>"2170603879                    "</f>
        <v xml:space="preserve">2170603879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4.41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35.270000000000003</v>
      </c>
      <c r="BM625" s="2">
        <v>4.9400000000000004</v>
      </c>
      <c r="BN625" s="2">
        <v>40.21</v>
      </c>
      <c r="BO625" s="2">
        <v>40.21</v>
      </c>
      <c r="BQ625" s="2" t="s">
        <v>102</v>
      </c>
      <c r="BR625" s="2" t="s">
        <v>103</v>
      </c>
      <c r="BS625" s="3">
        <v>43075</v>
      </c>
      <c r="BT625" s="4">
        <v>0.31666666666666665</v>
      </c>
      <c r="BU625" s="2" t="s">
        <v>1132</v>
      </c>
      <c r="BV625" s="2" t="s">
        <v>85</v>
      </c>
      <c r="BY625" s="2">
        <v>1200</v>
      </c>
      <c r="CA625" s="2" t="s">
        <v>337</v>
      </c>
      <c r="CC625" s="2" t="s">
        <v>153</v>
      </c>
      <c r="CD625" s="2">
        <v>1401</v>
      </c>
      <c r="CE625" s="2" t="s">
        <v>120</v>
      </c>
      <c r="CF625" s="3">
        <v>43077</v>
      </c>
      <c r="CI625" s="2">
        <v>1</v>
      </c>
      <c r="CJ625" s="2">
        <v>1</v>
      </c>
      <c r="CK625" s="2">
        <v>22</v>
      </c>
      <c r="CL625" s="2" t="s">
        <v>89</v>
      </c>
    </row>
    <row r="626" spans="1:90">
      <c r="A626" s="2" t="s">
        <v>71</v>
      </c>
      <c r="B626" s="2" t="s">
        <v>72</v>
      </c>
      <c r="C626" s="2" t="s">
        <v>73</v>
      </c>
      <c r="E626" s="2" t="str">
        <f>"FES1162593889"</f>
        <v>FES1162593889</v>
      </c>
      <c r="F626" s="3">
        <v>43074</v>
      </c>
      <c r="G626" s="2">
        <v>201806</v>
      </c>
      <c r="H626" s="2" t="s">
        <v>74</v>
      </c>
      <c r="I626" s="2" t="s">
        <v>75</v>
      </c>
      <c r="J626" s="2" t="s">
        <v>97</v>
      </c>
      <c r="K626" s="2" t="s">
        <v>77</v>
      </c>
      <c r="L626" s="2" t="s">
        <v>106</v>
      </c>
      <c r="M626" s="2" t="s">
        <v>107</v>
      </c>
      <c r="N626" s="2" t="s">
        <v>1133</v>
      </c>
      <c r="O626" s="2" t="s">
        <v>101</v>
      </c>
      <c r="P626" s="2" t="str">
        <f>"2170605911                    "</f>
        <v xml:space="preserve">2170605911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4.41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35.270000000000003</v>
      </c>
      <c r="BM626" s="2">
        <v>4.9400000000000004</v>
      </c>
      <c r="BN626" s="2">
        <v>40.21</v>
      </c>
      <c r="BO626" s="2">
        <v>40.21</v>
      </c>
      <c r="BQ626" s="2" t="s">
        <v>1134</v>
      </c>
      <c r="BR626" s="2" t="s">
        <v>103</v>
      </c>
      <c r="BS626" s="3">
        <v>43075</v>
      </c>
      <c r="BT626" s="4">
        <v>0.35833333333333334</v>
      </c>
      <c r="BU626" s="2" t="s">
        <v>1135</v>
      </c>
      <c r="BV626" s="2" t="s">
        <v>85</v>
      </c>
      <c r="BY626" s="2">
        <v>1200</v>
      </c>
      <c r="CA626" s="2" t="s">
        <v>453</v>
      </c>
      <c r="CC626" s="2" t="s">
        <v>107</v>
      </c>
      <c r="CD626" s="2">
        <v>2093</v>
      </c>
      <c r="CE626" s="2" t="s">
        <v>120</v>
      </c>
      <c r="CF626" s="3">
        <v>43077</v>
      </c>
      <c r="CI626" s="2">
        <v>1</v>
      </c>
      <c r="CJ626" s="2">
        <v>1</v>
      </c>
      <c r="CK626" s="2">
        <v>22</v>
      </c>
      <c r="CL626" s="2" t="s">
        <v>89</v>
      </c>
    </row>
    <row r="627" spans="1:90">
      <c r="A627" s="2" t="s">
        <v>71</v>
      </c>
      <c r="B627" s="2" t="s">
        <v>72</v>
      </c>
      <c r="C627" s="2" t="s">
        <v>73</v>
      </c>
      <c r="E627" s="2" t="str">
        <f>"FES1162593902"</f>
        <v>FES1162593902</v>
      </c>
      <c r="F627" s="3">
        <v>43074</v>
      </c>
      <c r="G627" s="2">
        <v>201806</v>
      </c>
      <c r="H627" s="2" t="s">
        <v>74</v>
      </c>
      <c r="I627" s="2" t="s">
        <v>75</v>
      </c>
      <c r="J627" s="2" t="s">
        <v>97</v>
      </c>
      <c r="K627" s="2" t="s">
        <v>77</v>
      </c>
      <c r="L627" s="2" t="s">
        <v>106</v>
      </c>
      <c r="M627" s="2" t="s">
        <v>107</v>
      </c>
      <c r="N627" s="2" t="s">
        <v>482</v>
      </c>
      <c r="O627" s="2" t="s">
        <v>101</v>
      </c>
      <c r="P627" s="2" t="str">
        <f>"2170605941                    "</f>
        <v xml:space="preserve">2170605941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4.41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35.270000000000003</v>
      </c>
      <c r="BM627" s="2">
        <v>4.9400000000000004</v>
      </c>
      <c r="BN627" s="2">
        <v>40.21</v>
      </c>
      <c r="BO627" s="2">
        <v>40.21</v>
      </c>
      <c r="BQ627" s="2" t="s">
        <v>1136</v>
      </c>
      <c r="BR627" s="2" t="s">
        <v>103</v>
      </c>
      <c r="BS627" s="3">
        <v>43075</v>
      </c>
      <c r="BT627" s="4">
        <v>0.39027777777777778</v>
      </c>
      <c r="BU627" s="2" t="s">
        <v>1137</v>
      </c>
      <c r="BV627" s="2" t="s">
        <v>85</v>
      </c>
      <c r="BY627" s="2">
        <v>1200</v>
      </c>
      <c r="CA627" s="2" t="s">
        <v>429</v>
      </c>
      <c r="CC627" s="2" t="s">
        <v>107</v>
      </c>
      <c r="CD627" s="2">
        <v>2091</v>
      </c>
      <c r="CE627" s="2" t="s">
        <v>120</v>
      </c>
      <c r="CF627" s="3">
        <v>43077</v>
      </c>
      <c r="CI627" s="2">
        <v>1</v>
      </c>
      <c r="CJ627" s="2">
        <v>1</v>
      </c>
      <c r="CK627" s="2">
        <v>22</v>
      </c>
      <c r="CL627" s="2" t="s">
        <v>89</v>
      </c>
    </row>
    <row r="628" spans="1:90">
      <c r="A628" s="2" t="s">
        <v>71</v>
      </c>
      <c r="B628" s="2" t="s">
        <v>72</v>
      </c>
      <c r="C628" s="2" t="s">
        <v>73</v>
      </c>
      <c r="E628" s="2" t="str">
        <f>"FES1162593777"</f>
        <v>FES1162593777</v>
      </c>
      <c r="F628" s="3">
        <v>43074</v>
      </c>
      <c r="G628" s="2">
        <v>201806</v>
      </c>
      <c r="H628" s="2" t="s">
        <v>74</v>
      </c>
      <c r="I628" s="2" t="s">
        <v>75</v>
      </c>
      <c r="J628" s="2" t="s">
        <v>97</v>
      </c>
      <c r="K628" s="2" t="s">
        <v>77</v>
      </c>
      <c r="L628" s="2" t="s">
        <v>325</v>
      </c>
      <c r="M628" s="2" t="s">
        <v>326</v>
      </c>
      <c r="N628" s="2" t="s">
        <v>1138</v>
      </c>
      <c r="O628" s="2" t="s">
        <v>101</v>
      </c>
      <c r="P628" s="2" t="str">
        <f>"2170603068                    "</f>
        <v xml:space="preserve">2170603068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5.65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</v>
      </c>
      <c r="BJ628" s="2">
        <v>0.2</v>
      </c>
      <c r="BK628" s="2">
        <v>1</v>
      </c>
      <c r="BL628" s="2">
        <v>45.15</v>
      </c>
      <c r="BM628" s="2">
        <v>6.32</v>
      </c>
      <c r="BN628" s="2">
        <v>51.47</v>
      </c>
      <c r="BO628" s="2">
        <v>51.47</v>
      </c>
      <c r="BQ628" s="2" t="s">
        <v>82</v>
      </c>
      <c r="BR628" s="2" t="s">
        <v>103</v>
      </c>
      <c r="BS628" s="3">
        <v>43077</v>
      </c>
      <c r="BT628" s="4">
        <v>0.69236111111111109</v>
      </c>
      <c r="BU628" s="2" t="s">
        <v>1139</v>
      </c>
      <c r="BV628" s="2" t="s">
        <v>89</v>
      </c>
      <c r="BW628" s="2" t="s">
        <v>437</v>
      </c>
      <c r="BX628" s="2" t="s">
        <v>1140</v>
      </c>
      <c r="BY628" s="2">
        <v>1200</v>
      </c>
      <c r="CA628" s="2" t="s">
        <v>329</v>
      </c>
      <c r="CC628" s="2" t="s">
        <v>326</v>
      </c>
      <c r="CD628" s="2">
        <v>1872</v>
      </c>
      <c r="CE628" s="2" t="s">
        <v>120</v>
      </c>
      <c r="CF628" s="3">
        <v>43081</v>
      </c>
      <c r="CI628" s="2">
        <v>1</v>
      </c>
      <c r="CJ628" s="2">
        <v>3</v>
      </c>
      <c r="CK628" s="2">
        <v>21</v>
      </c>
      <c r="CL628" s="2" t="s">
        <v>89</v>
      </c>
    </row>
    <row r="629" spans="1:90">
      <c r="A629" s="2" t="s">
        <v>71</v>
      </c>
      <c r="B629" s="2" t="s">
        <v>72</v>
      </c>
      <c r="C629" s="2" t="s">
        <v>73</v>
      </c>
      <c r="E629" s="2" t="str">
        <f>"FES1162593786"</f>
        <v>FES1162593786</v>
      </c>
      <c r="F629" s="3">
        <v>43074</v>
      </c>
      <c r="G629" s="2">
        <v>201806</v>
      </c>
      <c r="H629" s="2" t="s">
        <v>74</v>
      </c>
      <c r="I629" s="2" t="s">
        <v>75</v>
      </c>
      <c r="J629" s="2" t="s">
        <v>97</v>
      </c>
      <c r="K629" s="2" t="s">
        <v>77</v>
      </c>
      <c r="L629" s="2" t="s">
        <v>74</v>
      </c>
      <c r="M629" s="2" t="s">
        <v>75</v>
      </c>
      <c r="N629" s="2" t="s">
        <v>695</v>
      </c>
      <c r="O629" s="2" t="s">
        <v>101</v>
      </c>
      <c r="P629" s="2" t="str">
        <f>"2170604299                    "</f>
        <v xml:space="preserve">2170604299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4.41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0.2</v>
      </c>
      <c r="BK629" s="2">
        <v>1</v>
      </c>
      <c r="BL629" s="2">
        <v>35.270000000000003</v>
      </c>
      <c r="BM629" s="2">
        <v>4.9400000000000004</v>
      </c>
      <c r="BN629" s="2">
        <v>40.21</v>
      </c>
      <c r="BO629" s="2">
        <v>40.21</v>
      </c>
      <c r="BQ629" s="2" t="s">
        <v>696</v>
      </c>
      <c r="BR629" s="2" t="s">
        <v>103</v>
      </c>
      <c r="BS629" s="3">
        <v>43075</v>
      </c>
      <c r="BT629" s="4">
        <v>0.33333333333333331</v>
      </c>
      <c r="BU629" s="2" t="s">
        <v>205</v>
      </c>
      <c r="BV629" s="2" t="s">
        <v>85</v>
      </c>
      <c r="BY629" s="2">
        <v>1200</v>
      </c>
      <c r="CA629" s="2" t="s">
        <v>366</v>
      </c>
      <c r="CC629" s="2" t="s">
        <v>75</v>
      </c>
      <c r="CD629" s="2">
        <v>1601</v>
      </c>
      <c r="CE629" s="2" t="s">
        <v>120</v>
      </c>
      <c r="CF629" s="3">
        <v>43077</v>
      </c>
      <c r="CI629" s="2">
        <v>1</v>
      </c>
      <c r="CJ629" s="2">
        <v>1</v>
      </c>
      <c r="CK629" s="2">
        <v>22</v>
      </c>
      <c r="CL629" s="2" t="s">
        <v>89</v>
      </c>
    </row>
    <row r="630" spans="1:90">
      <c r="A630" s="2" t="s">
        <v>71</v>
      </c>
      <c r="B630" s="2" t="s">
        <v>72</v>
      </c>
      <c r="C630" s="2" t="s">
        <v>73</v>
      </c>
      <c r="E630" s="2" t="str">
        <f>"FES1162593813"</f>
        <v>FES1162593813</v>
      </c>
      <c r="F630" s="3">
        <v>43074</v>
      </c>
      <c r="G630" s="2">
        <v>201806</v>
      </c>
      <c r="H630" s="2" t="s">
        <v>74</v>
      </c>
      <c r="I630" s="2" t="s">
        <v>75</v>
      </c>
      <c r="J630" s="2" t="s">
        <v>97</v>
      </c>
      <c r="K630" s="2" t="s">
        <v>77</v>
      </c>
      <c r="L630" s="2" t="s">
        <v>106</v>
      </c>
      <c r="M630" s="2" t="s">
        <v>107</v>
      </c>
      <c r="N630" s="2" t="s">
        <v>1141</v>
      </c>
      <c r="O630" s="2" t="s">
        <v>101</v>
      </c>
      <c r="P630" s="2" t="str">
        <f>"2170605805                    "</f>
        <v xml:space="preserve">2170605805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4.41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</v>
      </c>
      <c r="BJ630" s="2">
        <v>0.2</v>
      </c>
      <c r="BK630" s="2">
        <v>1</v>
      </c>
      <c r="BL630" s="2">
        <v>35.270000000000003</v>
      </c>
      <c r="BM630" s="2">
        <v>4.9400000000000004</v>
      </c>
      <c r="BN630" s="2">
        <v>40.21</v>
      </c>
      <c r="BO630" s="2">
        <v>40.21</v>
      </c>
      <c r="BQ630" s="2" t="s">
        <v>102</v>
      </c>
      <c r="BR630" s="2" t="s">
        <v>103</v>
      </c>
      <c r="BS630" s="3">
        <v>43074</v>
      </c>
      <c r="BT630" s="4">
        <v>0.41666666666666669</v>
      </c>
      <c r="BU630" s="2" t="s">
        <v>1076</v>
      </c>
      <c r="BV630" s="2" t="s">
        <v>85</v>
      </c>
      <c r="BY630" s="2">
        <v>1200</v>
      </c>
      <c r="CC630" s="2" t="s">
        <v>107</v>
      </c>
      <c r="CD630" s="2">
        <v>2028</v>
      </c>
      <c r="CE630" s="2" t="s">
        <v>120</v>
      </c>
      <c r="CF630" s="3">
        <v>43089</v>
      </c>
      <c r="CI630" s="2">
        <v>1</v>
      </c>
      <c r="CJ630" s="2">
        <v>0</v>
      </c>
      <c r="CK630" s="2">
        <v>22</v>
      </c>
      <c r="CL630" s="2" t="s">
        <v>89</v>
      </c>
    </row>
    <row r="631" spans="1:90">
      <c r="A631" s="2" t="s">
        <v>71</v>
      </c>
      <c r="B631" s="2" t="s">
        <v>72</v>
      </c>
      <c r="C631" s="2" t="s">
        <v>73</v>
      </c>
      <c r="E631" s="2" t="str">
        <f>"FES1162593716"</f>
        <v>FES1162593716</v>
      </c>
      <c r="F631" s="3">
        <v>43074</v>
      </c>
      <c r="G631" s="2">
        <v>201806</v>
      </c>
      <c r="H631" s="2" t="s">
        <v>74</v>
      </c>
      <c r="I631" s="2" t="s">
        <v>75</v>
      </c>
      <c r="J631" s="2" t="s">
        <v>97</v>
      </c>
      <c r="K631" s="2" t="s">
        <v>77</v>
      </c>
      <c r="L631" s="2" t="s">
        <v>168</v>
      </c>
      <c r="M631" s="2" t="s">
        <v>169</v>
      </c>
      <c r="N631" s="2" t="s">
        <v>1142</v>
      </c>
      <c r="O631" s="2" t="s">
        <v>101</v>
      </c>
      <c r="P631" s="2" t="str">
        <f>"2170605789                    "</f>
        <v xml:space="preserve">2170605789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5.65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1</v>
      </c>
      <c r="BJ631" s="2">
        <v>0.2</v>
      </c>
      <c r="BK631" s="2">
        <v>1</v>
      </c>
      <c r="BL631" s="2">
        <v>45.15</v>
      </c>
      <c r="BM631" s="2">
        <v>6.32</v>
      </c>
      <c r="BN631" s="2">
        <v>51.47</v>
      </c>
      <c r="BO631" s="2">
        <v>51.47</v>
      </c>
      <c r="BQ631" s="2" t="s">
        <v>102</v>
      </c>
      <c r="BR631" s="2" t="s">
        <v>103</v>
      </c>
      <c r="BS631" s="3">
        <v>43075</v>
      </c>
      <c r="BT631" s="4">
        <v>0.37847222222222227</v>
      </c>
      <c r="BU631" s="2" t="s">
        <v>1143</v>
      </c>
      <c r="BV631" s="2" t="s">
        <v>85</v>
      </c>
      <c r="BY631" s="2">
        <v>1200</v>
      </c>
      <c r="CA631" s="2" t="s">
        <v>172</v>
      </c>
      <c r="CC631" s="2" t="s">
        <v>169</v>
      </c>
      <c r="CD631" s="2">
        <v>3610</v>
      </c>
      <c r="CE631" s="2" t="s">
        <v>120</v>
      </c>
      <c r="CF631" s="3">
        <v>43076</v>
      </c>
      <c r="CI631" s="2">
        <v>1</v>
      </c>
      <c r="CJ631" s="2">
        <v>1</v>
      </c>
      <c r="CK631" s="2">
        <v>21</v>
      </c>
      <c r="CL631" s="2" t="s">
        <v>89</v>
      </c>
    </row>
    <row r="632" spans="1:90">
      <c r="A632" s="2" t="s">
        <v>71</v>
      </c>
      <c r="B632" s="2" t="s">
        <v>72</v>
      </c>
      <c r="C632" s="2" t="s">
        <v>73</v>
      </c>
      <c r="E632" s="2" t="str">
        <f>"FES1162593849"</f>
        <v>FES1162593849</v>
      </c>
      <c r="F632" s="3">
        <v>43074</v>
      </c>
      <c r="G632" s="2">
        <v>201806</v>
      </c>
      <c r="H632" s="2" t="s">
        <v>74</v>
      </c>
      <c r="I632" s="2" t="s">
        <v>75</v>
      </c>
      <c r="J632" s="2" t="s">
        <v>97</v>
      </c>
      <c r="K632" s="2" t="s">
        <v>77</v>
      </c>
      <c r="L632" s="2" t="s">
        <v>121</v>
      </c>
      <c r="M632" s="2" t="s">
        <v>122</v>
      </c>
      <c r="N632" s="2" t="s">
        <v>511</v>
      </c>
      <c r="O632" s="2" t="s">
        <v>101</v>
      </c>
      <c r="P632" s="2" t="str">
        <f>"2170604028                    "</f>
        <v xml:space="preserve">2170604028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7.94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</v>
      </c>
      <c r="BJ632" s="2">
        <v>0.2</v>
      </c>
      <c r="BK632" s="2">
        <v>1</v>
      </c>
      <c r="BL632" s="2">
        <v>63.49</v>
      </c>
      <c r="BM632" s="2">
        <v>8.89</v>
      </c>
      <c r="BN632" s="2">
        <v>72.38</v>
      </c>
      <c r="BO632" s="2">
        <v>72.38</v>
      </c>
      <c r="BQ632" s="2" t="s">
        <v>102</v>
      </c>
      <c r="BR632" s="2" t="s">
        <v>103</v>
      </c>
      <c r="BS632" s="3">
        <v>43075</v>
      </c>
      <c r="BT632" s="4">
        <v>0.41666666666666669</v>
      </c>
      <c r="BU632" s="2" t="s">
        <v>1144</v>
      </c>
      <c r="BV632" s="2" t="s">
        <v>85</v>
      </c>
      <c r="BY632" s="2">
        <v>1200</v>
      </c>
      <c r="CC632" s="2" t="s">
        <v>122</v>
      </c>
      <c r="CD632" s="2">
        <v>2200</v>
      </c>
      <c r="CE632" s="2" t="s">
        <v>120</v>
      </c>
      <c r="CF632" s="3">
        <v>43077</v>
      </c>
      <c r="CI632" s="2">
        <v>1</v>
      </c>
      <c r="CJ632" s="2">
        <v>1</v>
      </c>
      <c r="CK632" s="2">
        <v>24</v>
      </c>
      <c r="CL632" s="2" t="s">
        <v>89</v>
      </c>
    </row>
    <row r="633" spans="1:90">
      <c r="A633" s="2" t="s">
        <v>71</v>
      </c>
      <c r="B633" s="2" t="s">
        <v>72</v>
      </c>
      <c r="C633" s="2" t="s">
        <v>73</v>
      </c>
      <c r="E633" s="2" t="str">
        <f>"FES1162593954"</f>
        <v>FES1162593954</v>
      </c>
      <c r="F633" s="3">
        <v>43074</v>
      </c>
      <c r="G633" s="2">
        <v>201806</v>
      </c>
      <c r="H633" s="2" t="s">
        <v>74</v>
      </c>
      <c r="I633" s="2" t="s">
        <v>75</v>
      </c>
      <c r="J633" s="2" t="s">
        <v>97</v>
      </c>
      <c r="K633" s="2" t="s">
        <v>77</v>
      </c>
      <c r="L633" s="2" t="s">
        <v>158</v>
      </c>
      <c r="M633" s="2" t="s">
        <v>159</v>
      </c>
      <c r="N633" s="2" t="s">
        <v>475</v>
      </c>
      <c r="O633" s="2" t="s">
        <v>101</v>
      </c>
      <c r="P633" s="2" t="str">
        <f>"2170605989                    "</f>
        <v xml:space="preserve">2170605989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5.65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45.15</v>
      </c>
      <c r="BM633" s="2">
        <v>6.32</v>
      </c>
      <c r="BN633" s="2">
        <v>51.47</v>
      </c>
      <c r="BO633" s="2">
        <v>51.47</v>
      </c>
      <c r="BQ633" s="2" t="s">
        <v>1145</v>
      </c>
      <c r="BR633" s="2" t="s">
        <v>103</v>
      </c>
      <c r="BS633" s="3">
        <v>43075</v>
      </c>
      <c r="BT633" s="4">
        <v>0.76388888888888884</v>
      </c>
      <c r="BU633" s="2" t="s">
        <v>1146</v>
      </c>
      <c r="BV633" s="2" t="s">
        <v>89</v>
      </c>
      <c r="BY633" s="2">
        <v>1200</v>
      </c>
      <c r="CA633" s="2" t="s">
        <v>678</v>
      </c>
      <c r="CC633" s="2" t="s">
        <v>159</v>
      </c>
      <c r="CD633" s="2">
        <v>184</v>
      </c>
      <c r="CE633" s="2" t="s">
        <v>120</v>
      </c>
      <c r="CF633" s="3">
        <v>43077</v>
      </c>
      <c r="CI633" s="2">
        <v>1</v>
      </c>
      <c r="CJ633" s="2">
        <v>1</v>
      </c>
      <c r="CK633" s="2">
        <v>21</v>
      </c>
      <c r="CL633" s="2" t="s">
        <v>89</v>
      </c>
    </row>
    <row r="634" spans="1:90">
      <c r="A634" s="2" t="s">
        <v>71</v>
      </c>
      <c r="B634" s="2" t="s">
        <v>72</v>
      </c>
      <c r="C634" s="2" t="s">
        <v>73</v>
      </c>
      <c r="E634" s="2" t="str">
        <f>"FES1162593801"</f>
        <v>FES1162593801</v>
      </c>
      <c r="F634" s="3">
        <v>43074</v>
      </c>
      <c r="G634" s="2">
        <v>201806</v>
      </c>
      <c r="H634" s="2" t="s">
        <v>74</v>
      </c>
      <c r="I634" s="2" t="s">
        <v>75</v>
      </c>
      <c r="J634" s="2" t="s">
        <v>97</v>
      </c>
      <c r="K634" s="2" t="s">
        <v>77</v>
      </c>
      <c r="L634" s="2" t="s">
        <v>158</v>
      </c>
      <c r="M634" s="2" t="s">
        <v>159</v>
      </c>
      <c r="N634" s="2" t="s">
        <v>164</v>
      </c>
      <c r="O634" s="2" t="s">
        <v>101</v>
      </c>
      <c r="P634" s="2" t="str">
        <f>"2170605138                    "</f>
        <v xml:space="preserve">2170605138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5.65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</v>
      </c>
      <c r="BJ634" s="2">
        <v>0.2</v>
      </c>
      <c r="BK634" s="2">
        <v>1</v>
      </c>
      <c r="BL634" s="2">
        <v>45.15</v>
      </c>
      <c r="BM634" s="2">
        <v>6.32</v>
      </c>
      <c r="BN634" s="2">
        <v>51.47</v>
      </c>
      <c r="BO634" s="2">
        <v>51.47</v>
      </c>
      <c r="BQ634" s="2" t="s">
        <v>102</v>
      </c>
      <c r="BR634" s="2" t="s">
        <v>103</v>
      </c>
      <c r="BS634" s="3">
        <v>43075</v>
      </c>
      <c r="BT634" s="4">
        <v>0.4694444444444445</v>
      </c>
      <c r="BU634" s="2" t="s">
        <v>1147</v>
      </c>
      <c r="BV634" s="2" t="s">
        <v>89</v>
      </c>
      <c r="BW634" s="2" t="s">
        <v>156</v>
      </c>
      <c r="BX634" s="2" t="s">
        <v>968</v>
      </c>
      <c r="BY634" s="2">
        <v>1200</v>
      </c>
      <c r="CC634" s="2" t="s">
        <v>159</v>
      </c>
      <c r="CD634" s="2">
        <v>200</v>
      </c>
      <c r="CE634" s="2" t="s">
        <v>120</v>
      </c>
      <c r="CF634" s="3">
        <v>43077</v>
      </c>
      <c r="CI634" s="2">
        <v>1</v>
      </c>
      <c r="CJ634" s="2">
        <v>1</v>
      </c>
      <c r="CK634" s="2">
        <v>21</v>
      </c>
      <c r="CL634" s="2" t="s">
        <v>89</v>
      </c>
    </row>
    <row r="635" spans="1:90">
      <c r="A635" s="2" t="s">
        <v>71</v>
      </c>
      <c r="B635" s="2" t="s">
        <v>72</v>
      </c>
      <c r="C635" s="2" t="s">
        <v>73</v>
      </c>
      <c r="E635" s="2" t="str">
        <f>"FES1162593766"</f>
        <v>FES1162593766</v>
      </c>
      <c r="F635" s="3">
        <v>43074</v>
      </c>
      <c r="G635" s="2">
        <v>201806</v>
      </c>
      <c r="H635" s="2" t="s">
        <v>74</v>
      </c>
      <c r="I635" s="2" t="s">
        <v>75</v>
      </c>
      <c r="J635" s="2" t="s">
        <v>97</v>
      </c>
      <c r="K635" s="2" t="s">
        <v>77</v>
      </c>
      <c r="L635" s="2" t="s">
        <v>158</v>
      </c>
      <c r="M635" s="2" t="s">
        <v>159</v>
      </c>
      <c r="N635" s="2" t="s">
        <v>1148</v>
      </c>
      <c r="O635" s="2" t="s">
        <v>101</v>
      </c>
      <c r="P635" s="2" t="str">
        <f>"217060582                     "</f>
        <v xml:space="preserve">217060582 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5.65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</v>
      </c>
      <c r="BJ635" s="2">
        <v>0.2</v>
      </c>
      <c r="BK635" s="2">
        <v>1</v>
      </c>
      <c r="BL635" s="2">
        <v>45.15</v>
      </c>
      <c r="BM635" s="2">
        <v>6.32</v>
      </c>
      <c r="BN635" s="2">
        <v>51.47</v>
      </c>
      <c r="BO635" s="2">
        <v>51.47</v>
      </c>
      <c r="BQ635" s="2" t="s">
        <v>102</v>
      </c>
      <c r="BR635" s="2" t="s">
        <v>103</v>
      </c>
      <c r="BS635" s="3">
        <v>43075</v>
      </c>
      <c r="BT635" s="4">
        <v>0.4291666666666667</v>
      </c>
      <c r="BU635" s="2" t="s">
        <v>1149</v>
      </c>
      <c r="BV635" s="2" t="s">
        <v>85</v>
      </c>
      <c r="BY635" s="2">
        <v>1200</v>
      </c>
      <c r="CC635" s="2" t="s">
        <v>159</v>
      </c>
      <c r="CD635" s="2">
        <v>200</v>
      </c>
      <c r="CE635" s="2" t="s">
        <v>120</v>
      </c>
      <c r="CF635" s="3">
        <v>43077</v>
      </c>
      <c r="CI635" s="2">
        <v>1</v>
      </c>
      <c r="CJ635" s="2">
        <v>1</v>
      </c>
      <c r="CK635" s="2">
        <v>21</v>
      </c>
      <c r="CL635" s="2" t="s">
        <v>89</v>
      </c>
    </row>
    <row r="636" spans="1:90">
      <c r="A636" s="2" t="s">
        <v>71</v>
      </c>
      <c r="B636" s="2" t="s">
        <v>72</v>
      </c>
      <c r="C636" s="2" t="s">
        <v>73</v>
      </c>
      <c r="E636" s="2" t="str">
        <f>"FES1162593972"</f>
        <v>FES1162593972</v>
      </c>
      <c r="F636" s="3">
        <v>43074</v>
      </c>
      <c r="G636" s="2">
        <v>201806</v>
      </c>
      <c r="H636" s="2" t="s">
        <v>74</v>
      </c>
      <c r="I636" s="2" t="s">
        <v>75</v>
      </c>
      <c r="J636" s="2" t="s">
        <v>97</v>
      </c>
      <c r="K636" s="2" t="s">
        <v>77</v>
      </c>
      <c r="L636" s="2" t="s">
        <v>111</v>
      </c>
      <c r="M636" s="2" t="s">
        <v>112</v>
      </c>
      <c r="N636" s="2" t="s">
        <v>1150</v>
      </c>
      <c r="O636" s="2" t="s">
        <v>101</v>
      </c>
      <c r="P636" s="2" t="str">
        <f>"21706099320                   "</f>
        <v xml:space="preserve">21706099320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33.880000000000003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11.9</v>
      </c>
      <c r="BJ636" s="2">
        <v>4.0999999999999996</v>
      </c>
      <c r="BK636" s="2">
        <v>12</v>
      </c>
      <c r="BL636" s="2">
        <v>270.77999999999997</v>
      </c>
      <c r="BM636" s="2">
        <v>37.909999999999997</v>
      </c>
      <c r="BN636" s="2">
        <v>308.69</v>
      </c>
      <c r="BO636" s="2">
        <v>308.69</v>
      </c>
      <c r="BQ636" s="2" t="s">
        <v>128</v>
      </c>
      <c r="BR636" s="2" t="s">
        <v>103</v>
      </c>
      <c r="BS636" s="3">
        <v>43075</v>
      </c>
      <c r="BT636" s="4">
        <v>0.4145833333333333</v>
      </c>
      <c r="BU636" s="2" t="s">
        <v>1151</v>
      </c>
      <c r="BV636" s="2" t="s">
        <v>85</v>
      </c>
      <c r="BY636" s="2">
        <v>20612.62</v>
      </c>
      <c r="CA636" s="2" t="s">
        <v>605</v>
      </c>
      <c r="CC636" s="2" t="s">
        <v>112</v>
      </c>
      <c r="CD636" s="2">
        <v>6220</v>
      </c>
      <c r="CE636" s="2" t="s">
        <v>87</v>
      </c>
      <c r="CF636" s="3">
        <v>43077</v>
      </c>
      <c r="CI636" s="2">
        <v>1</v>
      </c>
      <c r="CJ636" s="2">
        <v>1</v>
      </c>
      <c r="CK636" s="2">
        <v>21</v>
      </c>
      <c r="CL636" s="2" t="s">
        <v>89</v>
      </c>
    </row>
    <row r="637" spans="1:90">
      <c r="A637" s="2" t="s">
        <v>71</v>
      </c>
      <c r="B637" s="2" t="s">
        <v>72</v>
      </c>
      <c r="C637" s="2" t="s">
        <v>73</v>
      </c>
      <c r="E637" s="2" t="str">
        <f>"FES1162593992"</f>
        <v>FES1162593992</v>
      </c>
      <c r="F637" s="3">
        <v>43074</v>
      </c>
      <c r="G637" s="2">
        <v>201806</v>
      </c>
      <c r="H637" s="2" t="s">
        <v>74</v>
      </c>
      <c r="I637" s="2" t="s">
        <v>75</v>
      </c>
      <c r="J637" s="2" t="s">
        <v>97</v>
      </c>
      <c r="K637" s="2" t="s">
        <v>77</v>
      </c>
      <c r="L637" s="2" t="s">
        <v>115</v>
      </c>
      <c r="M637" s="2" t="s">
        <v>116</v>
      </c>
      <c r="N637" s="2" t="s">
        <v>1152</v>
      </c>
      <c r="O637" s="2" t="s">
        <v>101</v>
      </c>
      <c r="P637" s="2" t="str">
        <f>"2170602741                    "</f>
        <v xml:space="preserve">2170602741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4.41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1.1000000000000001</v>
      </c>
      <c r="BJ637" s="2">
        <v>2.9</v>
      </c>
      <c r="BK637" s="2">
        <v>3</v>
      </c>
      <c r="BL637" s="2">
        <v>35.270000000000003</v>
      </c>
      <c r="BM637" s="2">
        <v>4.9400000000000004</v>
      </c>
      <c r="BN637" s="2">
        <v>40.21</v>
      </c>
      <c r="BO637" s="2">
        <v>40.21</v>
      </c>
      <c r="BQ637" s="2" t="s">
        <v>102</v>
      </c>
      <c r="BR637" s="2" t="s">
        <v>103</v>
      </c>
      <c r="BS637" s="3">
        <v>43075</v>
      </c>
      <c r="BT637" s="4">
        <v>0.48819444444444443</v>
      </c>
      <c r="BU637" s="2" t="s">
        <v>1153</v>
      </c>
      <c r="BV637" s="2" t="s">
        <v>89</v>
      </c>
      <c r="BW637" s="2" t="s">
        <v>156</v>
      </c>
      <c r="BX637" s="2" t="s">
        <v>456</v>
      </c>
      <c r="BY637" s="2">
        <v>14528.99</v>
      </c>
      <c r="CA637" s="2" t="s">
        <v>119</v>
      </c>
      <c r="CC637" s="2" t="s">
        <v>116</v>
      </c>
      <c r="CD637" s="2">
        <v>1459</v>
      </c>
      <c r="CE637" s="2" t="s">
        <v>87</v>
      </c>
      <c r="CF637" s="3">
        <v>43077</v>
      </c>
      <c r="CI637" s="2">
        <v>1</v>
      </c>
      <c r="CJ637" s="2">
        <v>1</v>
      </c>
      <c r="CK637" s="2">
        <v>22</v>
      </c>
      <c r="CL637" s="2" t="s">
        <v>89</v>
      </c>
    </row>
    <row r="638" spans="1:90">
      <c r="A638" s="2" t="s">
        <v>71</v>
      </c>
      <c r="B638" s="2" t="s">
        <v>72</v>
      </c>
      <c r="C638" s="2" t="s">
        <v>73</v>
      </c>
      <c r="E638" s="2" t="str">
        <f>"FES1162594019"</f>
        <v>FES1162594019</v>
      </c>
      <c r="F638" s="3">
        <v>43074</v>
      </c>
      <c r="G638" s="2">
        <v>201806</v>
      </c>
      <c r="H638" s="2" t="s">
        <v>74</v>
      </c>
      <c r="I638" s="2" t="s">
        <v>75</v>
      </c>
      <c r="J638" s="2" t="s">
        <v>97</v>
      </c>
      <c r="K638" s="2" t="s">
        <v>77</v>
      </c>
      <c r="L638" s="2" t="s">
        <v>136</v>
      </c>
      <c r="M638" s="2" t="s">
        <v>137</v>
      </c>
      <c r="N638" s="2" t="s">
        <v>138</v>
      </c>
      <c r="O638" s="2" t="s">
        <v>101</v>
      </c>
      <c r="P638" s="2" t="str">
        <f>"217069682                     "</f>
        <v xml:space="preserve">217069682 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8.4700000000000006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2.2000000000000002</v>
      </c>
      <c r="BJ638" s="2">
        <v>2.9</v>
      </c>
      <c r="BK638" s="2">
        <v>3</v>
      </c>
      <c r="BL638" s="2">
        <v>67.709999999999994</v>
      </c>
      <c r="BM638" s="2">
        <v>9.48</v>
      </c>
      <c r="BN638" s="2">
        <v>77.19</v>
      </c>
      <c r="BO638" s="2">
        <v>77.19</v>
      </c>
      <c r="BQ638" s="2" t="s">
        <v>82</v>
      </c>
      <c r="BR638" s="2" t="s">
        <v>103</v>
      </c>
      <c r="BS638" s="3">
        <v>43075</v>
      </c>
      <c r="BT638" s="4">
        <v>0.41666666666666669</v>
      </c>
      <c r="BU638" s="2" t="s">
        <v>139</v>
      </c>
      <c r="BV638" s="2" t="s">
        <v>85</v>
      </c>
      <c r="BY638" s="2">
        <v>14684.4</v>
      </c>
      <c r="CA638" s="2" t="s">
        <v>140</v>
      </c>
      <c r="CC638" s="2" t="s">
        <v>137</v>
      </c>
      <c r="CD638" s="2">
        <v>6001</v>
      </c>
      <c r="CE638" s="2" t="s">
        <v>87</v>
      </c>
      <c r="CF638" s="3">
        <v>43076</v>
      </c>
      <c r="CI638" s="2">
        <v>1</v>
      </c>
      <c r="CJ638" s="2">
        <v>1</v>
      </c>
      <c r="CK638" s="2">
        <v>21</v>
      </c>
      <c r="CL638" s="2" t="s">
        <v>89</v>
      </c>
    </row>
    <row r="639" spans="1:90">
      <c r="A639" s="2" t="s">
        <v>71</v>
      </c>
      <c r="B639" s="2" t="s">
        <v>72</v>
      </c>
      <c r="C639" s="2" t="s">
        <v>73</v>
      </c>
      <c r="E639" s="2" t="str">
        <f>"FES1162593944"</f>
        <v>FES1162593944</v>
      </c>
      <c r="F639" s="3">
        <v>43074</v>
      </c>
      <c r="G639" s="2">
        <v>201806</v>
      </c>
      <c r="H639" s="2" t="s">
        <v>74</v>
      </c>
      <c r="I639" s="2" t="s">
        <v>75</v>
      </c>
      <c r="J639" s="2" t="s">
        <v>97</v>
      </c>
      <c r="K639" s="2" t="s">
        <v>77</v>
      </c>
      <c r="L639" s="2" t="s">
        <v>158</v>
      </c>
      <c r="M639" s="2" t="s">
        <v>159</v>
      </c>
      <c r="N639" s="2" t="s">
        <v>1154</v>
      </c>
      <c r="O639" s="2" t="s">
        <v>101</v>
      </c>
      <c r="P639" s="2" t="str">
        <f>"2170605885                    "</f>
        <v xml:space="preserve">2170605885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5.65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1.7</v>
      </c>
      <c r="BK639" s="2">
        <v>2</v>
      </c>
      <c r="BL639" s="2">
        <v>45.15</v>
      </c>
      <c r="BM639" s="2">
        <v>6.32</v>
      </c>
      <c r="BN639" s="2">
        <v>51.47</v>
      </c>
      <c r="BO639" s="2">
        <v>51.47</v>
      </c>
      <c r="BQ639" s="2" t="s">
        <v>142</v>
      </c>
      <c r="BR639" s="2" t="s">
        <v>103</v>
      </c>
      <c r="BS639" s="3">
        <v>43075</v>
      </c>
      <c r="BT639" s="4">
        <v>0.39583333333333331</v>
      </c>
      <c r="BU639" s="2" t="s">
        <v>1155</v>
      </c>
      <c r="BV639" s="2" t="s">
        <v>85</v>
      </c>
      <c r="BY639" s="2">
        <v>8306.76</v>
      </c>
      <c r="CA639" s="2" t="s">
        <v>1156</v>
      </c>
      <c r="CC639" s="2" t="s">
        <v>159</v>
      </c>
      <c r="CD639" s="2">
        <v>84</v>
      </c>
      <c r="CE639" s="2" t="s">
        <v>95</v>
      </c>
      <c r="CF639" s="3">
        <v>43077</v>
      </c>
      <c r="CI639" s="2">
        <v>1</v>
      </c>
      <c r="CJ639" s="2">
        <v>1</v>
      </c>
      <c r="CK639" s="2">
        <v>21</v>
      </c>
      <c r="CL639" s="2" t="s">
        <v>89</v>
      </c>
    </row>
    <row r="640" spans="1:90">
      <c r="A640" s="2" t="s">
        <v>71</v>
      </c>
      <c r="B640" s="2" t="s">
        <v>72</v>
      </c>
      <c r="C640" s="2" t="s">
        <v>73</v>
      </c>
      <c r="E640" s="2" t="str">
        <f>"FES1162593996"</f>
        <v>FES1162593996</v>
      </c>
      <c r="F640" s="3">
        <v>43074</v>
      </c>
      <c r="G640" s="2">
        <v>201806</v>
      </c>
      <c r="H640" s="2" t="s">
        <v>74</v>
      </c>
      <c r="I640" s="2" t="s">
        <v>75</v>
      </c>
      <c r="J640" s="2" t="s">
        <v>97</v>
      </c>
      <c r="K640" s="2" t="s">
        <v>77</v>
      </c>
      <c r="L640" s="2" t="s">
        <v>115</v>
      </c>
      <c r="M640" s="2" t="s">
        <v>116</v>
      </c>
      <c r="N640" s="2" t="s">
        <v>1152</v>
      </c>
      <c r="O640" s="2" t="s">
        <v>101</v>
      </c>
      <c r="P640" s="2" t="str">
        <f>"2170602751                    "</f>
        <v xml:space="preserve">2170602751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4.41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1.1000000000000001</v>
      </c>
      <c r="BJ640" s="2">
        <v>2.9</v>
      </c>
      <c r="BK640" s="2">
        <v>3</v>
      </c>
      <c r="BL640" s="2">
        <v>35.270000000000003</v>
      </c>
      <c r="BM640" s="2">
        <v>4.9400000000000004</v>
      </c>
      <c r="BN640" s="2">
        <v>40.21</v>
      </c>
      <c r="BO640" s="2">
        <v>40.21</v>
      </c>
      <c r="BQ640" s="2" t="s">
        <v>102</v>
      </c>
      <c r="BR640" s="2" t="s">
        <v>103</v>
      </c>
      <c r="BS640" s="3">
        <v>43075</v>
      </c>
      <c r="BT640" s="4">
        <v>0.49027777777777781</v>
      </c>
      <c r="BU640" s="2" t="s">
        <v>1153</v>
      </c>
      <c r="BV640" s="2" t="s">
        <v>89</v>
      </c>
      <c r="BW640" s="2" t="s">
        <v>156</v>
      </c>
      <c r="BX640" s="2" t="s">
        <v>456</v>
      </c>
      <c r="BY640" s="2">
        <v>14553.38</v>
      </c>
      <c r="CA640" s="2" t="s">
        <v>119</v>
      </c>
      <c r="CC640" s="2" t="s">
        <v>116</v>
      </c>
      <c r="CD640" s="2">
        <v>1459</v>
      </c>
      <c r="CE640" s="2" t="s">
        <v>87</v>
      </c>
      <c r="CF640" s="3">
        <v>43077</v>
      </c>
      <c r="CI640" s="2">
        <v>1</v>
      </c>
      <c r="CJ640" s="2">
        <v>1</v>
      </c>
      <c r="CK640" s="2">
        <v>22</v>
      </c>
      <c r="CL640" s="2" t="s">
        <v>89</v>
      </c>
    </row>
    <row r="641" spans="1:90">
      <c r="A641" s="2" t="s">
        <v>71</v>
      </c>
      <c r="B641" s="2" t="s">
        <v>72</v>
      </c>
      <c r="C641" s="2" t="s">
        <v>73</v>
      </c>
      <c r="E641" s="2" t="str">
        <f>"FES1162593995"</f>
        <v>FES1162593995</v>
      </c>
      <c r="F641" s="3">
        <v>43074</v>
      </c>
      <c r="G641" s="2">
        <v>201806</v>
      </c>
      <c r="H641" s="2" t="s">
        <v>74</v>
      </c>
      <c r="I641" s="2" t="s">
        <v>75</v>
      </c>
      <c r="J641" s="2" t="s">
        <v>97</v>
      </c>
      <c r="K641" s="2" t="s">
        <v>77</v>
      </c>
      <c r="L641" s="2" t="s">
        <v>115</v>
      </c>
      <c r="M641" s="2" t="s">
        <v>116</v>
      </c>
      <c r="N641" s="2" t="s">
        <v>1152</v>
      </c>
      <c r="O641" s="2" t="s">
        <v>101</v>
      </c>
      <c r="P641" s="2" t="str">
        <f>"2170602750                    "</f>
        <v xml:space="preserve">2170602750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4.41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1</v>
      </c>
      <c r="BK641" s="2">
        <v>1</v>
      </c>
      <c r="BL641" s="2">
        <v>35.270000000000003</v>
      </c>
      <c r="BM641" s="2">
        <v>4.9400000000000004</v>
      </c>
      <c r="BN641" s="2">
        <v>40.21</v>
      </c>
      <c r="BO641" s="2">
        <v>40.21</v>
      </c>
      <c r="BQ641" s="2" t="s">
        <v>102</v>
      </c>
      <c r="BR641" s="2" t="s">
        <v>103</v>
      </c>
      <c r="BS641" s="3">
        <v>43075</v>
      </c>
      <c r="BT641" s="4">
        <v>0.48819444444444443</v>
      </c>
      <c r="BU641" s="2" t="s">
        <v>1153</v>
      </c>
      <c r="BV641" s="2" t="s">
        <v>89</v>
      </c>
      <c r="BW641" s="2" t="s">
        <v>156</v>
      </c>
      <c r="BX641" s="2" t="s">
        <v>456</v>
      </c>
      <c r="BY641" s="2">
        <v>4760</v>
      </c>
      <c r="CA641" s="2" t="s">
        <v>119</v>
      </c>
      <c r="CC641" s="2" t="s">
        <v>116</v>
      </c>
      <c r="CD641" s="2">
        <v>1459</v>
      </c>
      <c r="CE641" s="2" t="s">
        <v>87</v>
      </c>
      <c r="CF641" s="3">
        <v>43077</v>
      </c>
      <c r="CI641" s="2">
        <v>1</v>
      </c>
      <c r="CJ641" s="2">
        <v>1</v>
      </c>
      <c r="CK641" s="2">
        <v>22</v>
      </c>
      <c r="CL641" s="2" t="s">
        <v>89</v>
      </c>
    </row>
    <row r="642" spans="1:90">
      <c r="A642" s="2" t="s">
        <v>71</v>
      </c>
      <c r="B642" s="2" t="s">
        <v>72</v>
      </c>
      <c r="C642" s="2" t="s">
        <v>73</v>
      </c>
      <c r="E642" s="2" t="str">
        <f>"FES1162593994"</f>
        <v>FES1162593994</v>
      </c>
      <c r="F642" s="3">
        <v>43074</v>
      </c>
      <c r="G642" s="2">
        <v>201806</v>
      </c>
      <c r="H642" s="2" t="s">
        <v>74</v>
      </c>
      <c r="I642" s="2" t="s">
        <v>75</v>
      </c>
      <c r="J642" s="2" t="s">
        <v>97</v>
      </c>
      <c r="K642" s="2" t="s">
        <v>77</v>
      </c>
      <c r="L642" s="2" t="s">
        <v>115</v>
      </c>
      <c r="M642" s="2" t="s">
        <v>116</v>
      </c>
      <c r="N642" s="2" t="s">
        <v>1152</v>
      </c>
      <c r="O642" s="2" t="s">
        <v>101</v>
      </c>
      <c r="P642" s="2" t="str">
        <f>"2170602747                    "</f>
        <v xml:space="preserve">2170602747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4.41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1.1000000000000001</v>
      </c>
      <c r="BJ642" s="2">
        <v>3</v>
      </c>
      <c r="BK642" s="2">
        <v>3</v>
      </c>
      <c r="BL642" s="2">
        <v>35.270000000000003</v>
      </c>
      <c r="BM642" s="2">
        <v>4.9400000000000004</v>
      </c>
      <c r="BN642" s="2">
        <v>40.21</v>
      </c>
      <c r="BO642" s="2">
        <v>40.21</v>
      </c>
      <c r="BQ642" s="2" t="s">
        <v>102</v>
      </c>
      <c r="BR642" s="2" t="s">
        <v>103</v>
      </c>
      <c r="BS642" s="3">
        <v>43075</v>
      </c>
      <c r="BT642" s="4">
        <v>0.48819444444444443</v>
      </c>
      <c r="BU642" s="2" t="s">
        <v>1157</v>
      </c>
      <c r="BV642" s="2" t="s">
        <v>89</v>
      </c>
      <c r="BW642" s="2" t="s">
        <v>156</v>
      </c>
      <c r="BX642" s="2" t="s">
        <v>456</v>
      </c>
      <c r="BY642" s="2">
        <v>14835.2</v>
      </c>
      <c r="CA642" s="2" t="s">
        <v>119</v>
      </c>
      <c r="CC642" s="2" t="s">
        <v>116</v>
      </c>
      <c r="CD642" s="2">
        <v>1459</v>
      </c>
      <c r="CE642" s="2" t="s">
        <v>87</v>
      </c>
      <c r="CF642" s="3">
        <v>43077</v>
      </c>
      <c r="CI642" s="2">
        <v>1</v>
      </c>
      <c r="CJ642" s="2">
        <v>1</v>
      </c>
      <c r="CK642" s="2">
        <v>22</v>
      </c>
      <c r="CL642" s="2" t="s">
        <v>89</v>
      </c>
    </row>
    <row r="643" spans="1:90">
      <c r="A643" s="2" t="s">
        <v>71</v>
      </c>
      <c r="B643" s="2" t="s">
        <v>72</v>
      </c>
      <c r="C643" s="2" t="s">
        <v>73</v>
      </c>
      <c r="E643" s="2" t="str">
        <f>"FES1162593993"</f>
        <v>FES1162593993</v>
      </c>
      <c r="F643" s="3">
        <v>43074</v>
      </c>
      <c r="G643" s="2">
        <v>201806</v>
      </c>
      <c r="H643" s="2" t="s">
        <v>74</v>
      </c>
      <c r="I643" s="2" t="s">
        <v>75</v>
      </c>
      <c r="J643" s="2" t="s">
        <v>97</v>
      </c>
      <c r="K643" s="2" t="s">
        <v>77</v>
      </c>
      <c r="L643" s="2" t="s">
        <v>115</v>
      </c>
      <c r="M643" s="2" t="s">
        <v>116</v>
      </c>
      <c r="N643" s="2" t="s">
        <v>1152</v>
      </c>
      <c r="O643" s="2" t="s">
        <v>101</v>
      </c>
      <c r="P643" s="2" t="str">
        <f>"2170602743                    "</f>
        <v xml:space="preserve">2170602743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4.41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0.4</v>
      </c>
      <c r="BK643" s="2">
        <v>1</v>
      </c>
      <c r="BL643" s="2">
        <v>35.270000000000003</v>
      </c>
      <c r="BM643" s="2">
        <v>4.9400000000000004</v>
      </c>
      <c r="BN643" s="2">
        <v>40.21</v>
      </c>
      <c r="BO643" s="2">
        <v>40.21</v>
      </c>
      <c r="BQ643" s="2" t="s">
        <v>102</v>
      </c>
      <c r="BR643" s="2" t="s">
        <v>103</v>
      </c>
      <c r="BS643" s="3">
        <v>43075</v>
      </c>
      <c r="BT643" s="4">
        <v>0.48819444444444443</v>
      </c>
      <c r="BU643" s="2" t="s">
        <v>1153</v>
      </c>
      <c r="BV643" s="2" t="s">
        <v>89</v>
      </c>
      <c r="BW643" s="2" t="s">
        <v>156</v>
      </c>
      <c r="BX643" s="2" t="s">
        <v>456</v>
      </c>
      <c r="BY643" s="2">
        <v>2040</v>
      </c>
      <c r="CA643" s="2" t="s">
        <v>119</v>
      </c>
      <c r="CC643" s="2" t="s">
        <v>116</v>
      </c>
      <c r="CD643" s="2">
        <v>1459</v>
      </c>
      <c r="CE643" s="2" t="s">
        <v>87</v>
      </c>
      <c r="CF643" s="3">
        <v>43077</v>
      </c>
      <c r="CI643" s="2">
        <v>1</v>
      </c>
      <c r="CJ643" s="2">
        <v>1</v>
      </c>
      <c r="CK643" s="2">
        <v>22</v>
      </c>
      <c r="CL643" s="2" t="s">
        <v>89</v>
      </c>
    </row>
    <row r="644" spans="1:90">
      <c r="A644" s="2" t="s">
        <v>71</v>
      </c>
      <c r="B644" s="2" t="s">
        <v>72</v>
      </c>
      <c r="C644" s="2" t="s">
        <v>73</v>
      </c>
      <c r="E644" s="2" t="str">
        <f>"FES1162593968"</f>
        <v>FES1162593968</v>
      </c>
      <c r="F644" s="3">
        <v>43074</v>
      </c>
      <c r="G644" s="2">
        <v>201806</v>
      </c>
      <c r="H644" s="2" t="s">
        <v>74</v>
      </c>
      <c r="I644" s="2" t="s">
        <v>75</v>
      </c>
      <c r="J644" s="2" t="s">
        <v>97</v>
      </c>
      <c r="K644" s="2" t="s">
        <v>77</v>
      </c>
      <c r="L644" s="2" t="s">
        <v>90</v>
      </c>
      <c r="M644" s="2" t="s">
        <v>91</v>
      </c>
      <c r="N644" s="2" t="s">
        <v>1158</v>
      </c>
      <c r="O644" s="2" t="s">
        <v>101</v>
      </c>
      <c r="P644" s="2" t="str">
        <f>"2170607392                    "</f>
        <v xml:space="preserve">2170607392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4.41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2.2999999999999998</v>
      </c>
      <c r="BJ644" s="2">
        <v>0.9</v>
      </c>
      <c r="BK644" s="2">
        <v>3</v>
      </c>
      <c r="BL644" s="2">
        <v>35.270000000000003</v>
      </c>
      <c r="BM644" s="2">
        <v>4.9400000000000004</v>
      </c>
      <c r="BN644" s="2">
        <v>40.21</v>
      </c>
      <c r="BO644" s="2">
        <v>40.21</v>
      </c>
      <c r="BQ644" s="2" t="s">
        <v>1159</v>
      </c>
      <c r="BR644" s="2" t="s">
        <v>103</v>
      </c>
      <c r="BS644" s="3">
        <v>43075</v>
      </c>
      <c r="BT644" s="4">
        <v>0.4375</v>
      </c>
      <c r="BU644" s="2" t="s">
        <v>1160</v>
      </c>
      <c r="BV644" s="2" t="s">
        <v>85</v>
      </c>
      <c r="BY644" s="2">
        <v>4725.17</v>
      </c>
      <c r="CA644" s="2" t="s">
        <v>347</v>
      </c>
      <c r="CC644" s="2" t="s">
        <v>91</v>
      </c>
      <c r="CD644" s="2">
        <v>1559</v>
      </c>
      <c r="CE644" s="2" t="s">
        <v>95</v>
      </c>
      <c r="CF644" s="3">
        <v>43077</v>
      </c>
      <c r="CI644" s="2">
        <v>1</v>
      </c>
      <c r="CJ644" s="2">
        <v>1</v>
      </c>
      <c r="CK644" s="2">
        <v>22</v>
      </c>
      <c r="CL644" s="2" t="s">
        <v>89</v>
      </c>
    </row>
    <row r="645" spans="1:90">
      <c r="A645" s="2" t="s">
        <v>71</v>
      </c>
      <c r="B645" s="2" t="s">
        <v>72</v>
      </c>
      <c r="C645" s="2" t="s">
        <v>73</v>
      </c>
      <c r="E645" s="2" t="str">
        <f>"FES1162593991"</f>
        <v>FES1162593991</v>
      </c>
      <c r="F645" s="3">
        <v>43074</v>
      </c>
      <c r="G645" s="2">
        <v>201806</v>
      </c>
      <c r="H645" s="2" t="s">
        <v>74</v>
      </c>
      <c r="I645" s="2" t="s">
        <v>75</v>
      </c>
      <c r="J645" s="2" t="s">
        <v>97</v>
      </c>
      <c r="K645" s="2" t="s">
        <v>77</v>
      </c>
      <c r="L645" s="2" t="s">
        <v>115</v>
      </c>
      <c r="M645" s="2" t="s">
        <v>116</v>
      </c>
      <c r="N645" s="2" t="s">
        <v>1152</v>
      </c>
      <c r="O645" s="2" t="s">
        <v>101</v>
      </c>
      <c r="P645" s="2" t="str">
        <f>"2170602740                    "</f>
        <v xml:space="preserve">2170602740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4.41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1.1000000000000001</v>
      </c>
      <c r="BJ645" s="2">
        <v>2.9</v>
      </c>
      <c r="BK645" s="2">
        <v>3</v>
      </c>
      <c r="BL645" s="2">
        <v>35.270000000000003</v>
      </c>
      <c r="BM645" s="2">
        <v>4.9400000000000004</v>
      </c>
      <c r="BN645" s="2">
        <v>40.21</v>
      </c>
      <c r="BO645" s="2">
        <v>40.21</v>
      </c>
      <c r="BQ645" s="2" t="s">
        <v>102</v>
      </c>
      <c r="BR645" s="2" t="s">
        <v>103</v>
      </c>
      <c r="BS645" s="3">
        <v>43075</v>
      </c>
      <c r="BT645" s="4">
        <v>0.4909722222222222</v>
      </c>
      <c r="BU645" s="2" t="s">
        <v>1153</v>
      </c>
      <c r="BV645" s="2" t="s">
        <v>89</v>
      </c>
      <c r="BW645" s="2" t="s">
        <v>156</v>
      </c>
      <c r="BX645" s="2" t="s">
        <v>456</v>
      </c>
      <c r="BY645" s="2">
        <v>14575.58</v>
      </c>
      <c r="CA645" s="2" t="s">
        <v>119</v>
      </c>
      <c r="CC645" s="2" t="s">
        <v>116</v>
      </c>
      <c r="CD645" s="2">
        <v>1459</v>
      </c>
      <c r="CE645" s="2" t="s">
        <v>95</v>
      </c>
      <c r="CF645" s="3">
        <v>43077</v>
      </c>
      <c r="CI645" s="2">
        <v>1</v>
      </c>
      <c r="CJ645" s="2">
        <v>1</v>
      </c>
      <c r="CK645" s="2">
        <v>22</v>
      </c>
      <c r="CL645" s="2" t="s">
        <v>89</v>
      </c>
    </row>
    <row r="646" spans="1:90">
      <c r="A646" s="2" t="s">
        <v>71</v>
      </c>
      <c r="B646" s="2" t="s">
        <v>72</v>
      </c>
      <c r="C646" s="2" t="s">
        <v>73</v>
      </c>
      <c r="E646" s="2" t="str">
        <f>"FES1162594042"</f>
        <v>FES1162594042</v>
      </c>
      <c r="F646" s="3">
        <v>43074</v>
      </c>
      <c r="G646" s="2">
        <v>201806</v>
      </c>
      <c r="H646" s="2" t="s">
        <v>74</v>
      </c>
      <c r="I646" s="2" t="s">
        <v>75</v>
      </c>
      <c r="J646" s="2" t="s">
        <v>97</v>
      </c>
      <c r="K646" s="2" t="s">
        <v>77</v>
      </c>
      <c r="L646" s="2" t="s">
        <v>136</v>
      </c>
      <c r="M646" s="2" t="s">
        <v>137</v>
      </c>
      <c r="N646" s="2" t="s">
        <v>1161</v>
      </c>
      <c r="O646" s="2" t="s">
        <v>101</v>
      </c>
      <c r="P646" s="2" t="str">
        <f>"2170606051                    "</f>
        <v xml:space="preserve">2170606051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5.65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45.15</v>
      </c>
      <c r="BM646" s="2">
        <v>6.32</v>
      </c>
      <c r="BN646" s="2">
        <v>51.47</v>
      </c>
      <c r="BO646" s="2">
        <v>51.47</v>
      </c>
      <c r="BQ646" s="2" t="s">
        <v>187</v>
      </c>
      <c r="BR646" s="2" t="s">
        <v>103</v>
      </c>
      <c r="BS646" s="3">
        <v>43075</v>
      </c>
      <c r="BT646" s="4">
        <v>0.37152777777777773</v>
      </c>
      <c r="BU646" s="2" t="s">
        <v>1162</v>
      </c>
      <c r="BV646" s="2" t="s">
        <v>85</v>
      </c>
      <c r="BY646" s="2">
        <v>1200</v>
      </c>
      <c r="CA646" s="2" t="s">
        <v>180</v>
      </c>
      <c r="CC646" s="2" t="s">
        <v>137</v>
      </c>
      <c r="CD646" s="2">
        <v>6014</v>
      </c>
      <c r="CE646" s="2" t="s">
        <v>120</v>
      </c>
      <c r="CF646" s="3">
        <v>43077</v>
      </c>
      <c r="CI646" s="2">
        <v>1</v>
      </c>
      <c r="CJ646" s="2">
        <v>1</v>
      </c>
      <c r="CK646" s="2">
        <v>21</v>
      </c>
      <c r="CL646" s="2" t="s">
        <v>89</v>
      </c>
    </row>
    <row r="647" spans="1:90">
      <c r="A647" s="2" t="s">
        <v>71</v>
      </c>
      <c r="B647" s="2" t="s">
        <v>72</v>
      </c>
      <c r="C647" s="2" t="s">
        <v>73</v>
      </c>
      <c r="E647" s="2" t="str">
        <f>"FES1162593672"</f>
        <v>FES1162593672</v>
      </c>
      <c r="F647" s="3">
        <v>43074</v>
      </c>
      <c r="G647" s="2">
        <v>201806</v>
      </c>
      <c r="H647" s="2" t="s">
        <v>74</v>
      </c>
      <c r="I647" s="2" t="s">
        <v>75</v>
      </c>
      <c r="J647" s="2" t="s">
        <v>97</v>
      </c>
      <c r="K647" s="2" t="s">
        <v>77</v>
      </c>
      <c r="L647" s="2" t="s">
        <v>125</v>
      </c>
      <c r="M647" s="2" t="s">
        <v>126</v>
      </c>
      <c r="N647" s="2" t="s">
        <v>141</v>
      </c>
      <c r="O647" s="2" t="s">
        <v>101</v>
      </c>
      <c r="P647" s="2" t="str">
        <f>"2170604201                    "</f>
        <v xml:space="preserve">2170604201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5.65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45.15</v>
      </c>
      <c r="BM647" s="2">
        <v>6.32</v>
      </c>
      <c r="BN647" s="2">
        <v>51.47</v>
      </c>
      <c r="BO647" s="2">
        <v>51.47</v>
      </c>
      <c r="BQ647" s="2" t="s">
        <v>142</v>
      </c>
      <c r="BR647" s="2" t="s">
        <v>103</v>
      </c>
      <c r="BS647" s="3">
        <v>43075</v>
      </c>
      <c r="BT647" s="4">
        <v>0.41666666666666669</v>
      </c>
      <c r="BU647" s="2" t="s">
        <v>143</v>
      </c>
      <c r="BV647" s="2" t="s">
        <v>85</v>
      </c>
      <c r="BY647" s="2">
        <v>1200</v>
      </c>
      <c r="CA647" s="2" t="s">
        <v>144</v>
      </c>
      <c r="CC647" s="2" t="s">
        <v>126</v>
      </c>
      <c r="CD647" s="2">
        <v>4067</v>
      </c>
      <c r="CE647" s="2" t="s">
        <v>120</v>
      </c>
      <c r="CF647" s="3">
        <v>43076</v>
      </c>
      <c r="CI647" s="2">
        <v>1</v>
      </c>
      <c r="CJ647" s="2">
        <v>1</v>
      </c>
      <c r="CK647" s="2">
        <v>21</v>
      </c>
      <c r="CL647" s="2" t="s">
        <v>89</v>
      </c>
    </row>
    <row r="648" spans="1:90">
      <c r="A648" s="2" t="s">
        <v>71</v>
      </c>
      <c r="B648" s="2" t="s">
        <v>72</v>
      </c>
      <c r="C648" s="2" t="s">
        <v>73</v>
      </c>
      <c r="E648" s="2" t="str">
        <f>"FES1162594035"</f>
        <v>FES1162594035</v>
      </c>
      <c r="F648" s="3">
        <v>43074</v>
      </c>
      <c r="G648" s="2">
        <v>201806</v>
      </c>
      <c r="H648" s="2" t="s">
        <v>74</v>
      </c>
      <c r="I648" s="2" t="s">
        <v>75</v>
      </c>
      <c r="J648" s="2" t="s">
        <v>97</v>
      </c>
      <c r="K648" s="2" t="s">
        <v>77</v>
      </c>
      <c r="L648" s="2" t="s">
        <v>136</v>
      </c>
      <c r="M648" s="2" t="s">
        <v>137</v>
      </c>
      <c r="N648" s="2" t="s">
        <v>1163</v>
      </c>
      <c r="O648" s="2" t="s">
        <v>101</v>
      </c>
      <c r="P648" s="2" t="str">
        <f>"2170606038                    "</f>
        <v xml:space="preserve">2170606038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5.65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45.15</v>
      </c>
      <c r="BM648" s="2">
        <v>6.32</v>
      </c>
      <c r="BN648" s="2">
        <v>51.47</v>
      </c>
      <c r="BO648" s="2">
        <v>51.47</v>
      </c>
      <c r="BQ648" s="2" t="s">
        <v>1164</v>
      </c>
      <c r="BR648" s="2" t="s">
        <v>103</v>
      </c>
      <c r="BS648" s="3">
        <v>43075</v>
      </c>
      <c r="BT648" s="4">
        <v>0.37847222222222227</v>
      </c>
      <c r="BU648" s="2" t="s">
        <v>1165</v>
      </c>
      <c r="BV648" s="2" t="s">
        <v>85</v>
      </c>
      <c r="BY648" s="2">
        <v>1200</v>
      </c>
      <c r="CA648" s="2" t="s">
        <v>180</v>
      </c>
      <c r="CC648" s="2" t="s">
        <v>137</v>
      </c>
      <c r="CD648" s="2">
        <v>6014</v>
      </c>
      <c r="CE648" s="2" t="s">
        <v>120</v>
      </c>
      <c r="CF648" s="3">
        <v>43077</v>
      </c>
      <c r="CI648" s="2">
        <v>1</v>
      </c>
      <c r="CJ648" s="2">
        <v>1</v>
      </c>
      <c r="CK648" s="2">
        <v>21</v>
      </c>
      <c r="CL648" s="2" t="s">
        <v>89</v>
      </c>
    </row>
    <row r="649" spans="1:90">
      <c r="A649" s="2" t="s">
        <v>71</v>
      </c>
      <c r="B649" s="2" t="s">
        <v>72</v>
      </c>
      <c r="C649" s="2" t="s">
        <v>73</v>
      </c>
      <c r="E649" s="2" t="str">
        <f>"FES1162594048"</f>
        <v>FES1162594048</v>
      </c>
      <c r="F649" s="3">
        <v>43074</v>
      </c>
      <c r="G649" s="2">
        <v>201806</v>
      </c>
      <c r="H649" s="2" t="s">
        <v>74</v>
      </c>
      <c r="I649" s="2" t="s">
        <v>75</v>
      </c>
      <c r="J649" s="2" t="s">
        <v>97</v>
      </c>
      <c r="K649" s="2" t="s">
        <v>77</v>
      </c>
      <c r="L649" s="2" t="s">
        <v>136</v>
      </c>
      <c r="M649" s="2" t="s">
        <v>137</v>
      </c>
      <c r="N649" s="2" t="s">
        <v>823</v>
      </c>
      <c r="O649" s="2" t="s">
        <v>101</v>
      </c>
      <c r="P649" s="2" t="str">
        <f>"2170606054                    "</f>
        <v xml:space="preserve">2170606054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5.65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</v>
      </c>
      <c r="BJ649" s="2">
        <v>0.2</v>
      </c>
      <c r="BK649" s="2">
        <v>1</v>
      </c>
      <c r="BL649" s="2">
        <v>45.15</v>
      </c>
      <c r="BM649" s="2">
        <v>6.32</v>
      </c>
      <c r="BN649" s="2">
        <v>51.47</v>
      </c>
      <c r="BO649" s="2">
        <v>51.47</v>
      </c>
      <c r="BQ649" s="2" t="s">
        <v>924</v>
      </c>
      <c r="BR649" s="2" t="s">
        <v>103</v>
      </c>
      <c r="BS649" s="3">
        <v>43075</v>
      </c>
      <c r="BT649" s="4">
        <v>0.34027777777777773</v>
      </c>
      <c r="BU649" s="2" t="s">
        <v>1031</v>
      </c>
      <c r="BV649" s="2" t="s">
        <v>85</v>
      </c>
      <c r="BY649" s="2">
        <v>1200</v>
      </c>
      <c r="CA649" s="2" t="s">
        <v>180</v>
      </c>
      <c r="CC649" s="2" t="s">
        <v>137</v>
      </c>
      <c r="CD649" s="2">
        <v>6001</v>
      </c>
      <c r="CE649" s="2" t="s">
        <v>120</v>
      </c>
      <c r="CF649" s="3">
        <v>43077</v>
      </c>
      <c r="CI649" s="2">
        <v>1</v>
      </c>
      <c r="CJ649" s="2">
        <v>1</v>
      </c>
      <c r="CK649" s="2">
        <v>21</v>
      </c>
      <c r="CL649" s="2" t="s">
        <v>89</v>
      </c>
    </row>
    <row r="650" spans="1:90">
      <c r="A650" s="2" t="s">
        <v>71</v>
      </c>
      <c r="B650" s="2" t="s">
        <v>72</v>
      </c>
      <c r="C650" s="2" t="s">
        <v>73</v>
      </c>
      <c r="E650" s="2" t="str">
        <f>"FES1162593802"</f>
        <v>FES1162593802</v>
      </c>
      <c r="F650" s="3">
        <v>43074</v>
      </c>
      <c r="G650" s="2">
        <v>201806</v>
      </c>
      <c r="H650" s="2" t="s">
        <v>74</v>
      </c>
      <c r="I650" s="2" t="s">
        <v>75</v>
      </c>
      <c r="J650" s="2" t="s">
        <v>97</v>
      </c>
      <c r="K650" s="2" t="s">
        <v>77</v>
      </c>
      <c r="L650" s="2" t="s">
        <v>158</v>
      </c>
      <c r="M650" s="2" t="s">
        <v>159</v>
      </c>
      <c r="N650" s="2" t="s">
        <v>1166</v>
      </c>
      <c r="O650" s="2" t="s">
        <v>101</v>
      </c>
      <c r="P650" s="2" t="str">
        <f>"2170605171                    "</f>
        <v xml:space="preserve">2170605171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5.65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0.2</v>
      </c>
      <c r="BK650" s="2">
        <v>1</v>
      </c>
      <c r="BL650" s="2">
        <v>45.15</v>
      </c>
      <c r="BM650" s="2">
        <v>6.32</v>
      </c>
      <c r="BN650" s="2">
        <v>51.47</v>
      </c>
      <c r="BO650" s="2">
        <v>51.47</v>
      </c>
      <c r="BR650" s="2" t="s">
        <v>103</v>
      </c>
      <c r="BS650" s="3">
        <v>43075</v>
      </c>
      <c r="BT650" s="4">
        <v>0.52430555555555558</v>
      </c>
      <c r="BU650" s="2" t="s">
        <v>1167</v>
      </c>
      <c r="BV650" s="2" t="s">
        <v>85</v>
      </c>
      <c r="BY650" s="2">
        <v>1200</v>
      </c>
      <c r="CC650" s="2" t="s">
        <v>159</v>
      </c>
      <c r="CD650" s="2">
        <v>82</v>
      </c>
      <c r="CE650" s="2" t="s">
        <v>120</v>
      </c>
      <c r="CF650" s="3">
        <v>43077</v>
      </c>
      <c r="CI650" s="2">
        <v>1</v>
      </c>
      <c r="CJ650" s="2">
        <v>1</v>
      </c>
      <c r="CK650" s="2">
        <v>21</v>
      </c>
      <c r="CL650" s="2" t="s">
        <v>89</v>
      </c>
    </row>
    <row r="651" spans="1:90">
      <c r="A651" s="2" t="s">
        <v>71</v>
      </c>
      <c r="B651" s="2" t="s">
        <v>72</v>
      </c>
      <c r="C651" s="2" t="s">
        <v>73</v>
      </c>
      <c r="E651" s="2" t="str">
        <f>"FES1162593852"</f>
        <v>FES1162593852</v>
      </c>
      <c r="F651" s="3">
        <v>43074</v>
      </c>
      <c r="G651" s="2">
        <v>201806</v>
      </c>
      <c r="H651" s="2" t="s">
        <v>74</v>
      </c>
      <c r="I651" s="2" t="s">
        <v>75</v>
      </c>
      <c r="J651" s="2" t="s">
        <v>97</v>
      </c>
      <c r="K651" s="2" t="s">
        <v>77</v>
      </c>
      <c r="L651" s="2" t="s">
        <v>74</v>
      </c>
      <c r="M651" s="2" t="s">
        <v>75</v>
      </c>
      <c r="N651" s="2" t="s">
        <v>201</v>
      </c>
      <c r="O651" s="2" t="s">
        <v>101</v>
      </c>
      <c r="P651" s="2" t="str">
        <f>"2170604498                    "</f>
        <v xml:space="preserve">2170604498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4.41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35.270000000000003</v>
      </c>
      <c r="BM651" s="2">
        <v>4.9400000000000004</v>
      </c>
      <c r="BN651" s="2">
        <v>40.21</v>
      </c>
      <c r="BO651" s="2">
        <v>40.21</v>
      </c>
      <c r="BQ651" s="2" t="s">
        <v>102</v>
      </c>
      <c r="BR651" s="2" t="s">
        <v>103</v>
      </c>
      <c r="BS651" s="3">
        <v>43075</v>
      </c>
      <c r="BT651" s="4">
        <v>0.41666666666666669</v>
      </c>
      <c r="BU651" s="2" t="s">
        <v>202</v>
      </c>
      <c r="BV651" s="2" t="s">
        <v>85</v>
      </c>
      <c r="BY651" s="2">
        <v>1200</v>
      </c>
      <c r="CA651" s="2" t="s">
        <v>203</v>
      </c>
      <c r="CC651" s="2" t="s">
        <v>75</v>
      </c>
      <c r="CD651" s="2">
        <v>1665</v>
      </c>
      <c r="CE651" s="2" t="s">
        <v>120</v>
      </c>
      <c r="CF651" s="3">
        <v>43077</v>
      </c>
      <c r="CI651" s="2">
        <v>1</v>
      </c>
      <c r="CJ651" s="2">
        <v>1</v>
      </c>
      <c r="CK651" s="2">
        <v>22</v>
      </c>
      <c r="CL651" s="2" t="s">
        <v>89</v>
      </c>
    </row>
    <row r="652" spans="1:90">
      <c r="A652" s="2" t="s">
        <v>71</v>
      </c>
      <c r="B652" s="2" t="s">
        <v>72</v>
      </c>
      <c r="C652" s="2" t="s">
        <v>73</v>
      </c>
      <c r="E652" s="2" t="str">
        <f>"FES1162593799"</f>
        <v>FES1162593799</v>
      </c>
      <c r="F652" s="3">
        <v>43074</v>
      </c>
      <c r="G652" s="2">
        <v>201806</v>
      </c>
      <c r="H652" s="2" t="s">
        <v>74</v>
      </c>
      <c r="I652" s="2" t="s">
        <v>75</v>
      </c>
      <c r="J652" s="2" t="s">
        <v>97</v>
      </c>
      <c r="K652" s="2" t="s">
        <v>77</v>
      </c>
      <c r="L652" s="2" t="s">
        <v>295</v>
      </c>
      <c r="M652" s="2" t="s">
        <v>296</v>
      </c>
      <c r="N652" s="2" t="s">
        <v>657</v>
      </c>
      <c r="O652" s="2" t="s">
        <v>101</v>
      </c>
      <c r="P652" s="2" t="str">
        <f>"2170604992                    "</f>
        <v xml:space="preserve">2170604992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7.94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1</v>
      </c>
      <c r="BJ652" s="2">
        <v>0.2</v>
      </c>
      <c r="BK652" s="2">
        <v>1</v>
      </c>
      <c r="BL652" s="2">
        <v>63.49</v>
      </c>
      <c r="BM652" s="2">
        <v>8.89</v>
      </c>
      <c r="BN652" s="2">
        <v>72.38</v>
      </c>
      <c r="BO652" s="2">
        <v>72.38</v>
      </c>
      <c r="BQ652" s="2" t="s">
        <v>658</v>
      </c>
      <c r="BR652" s="2" t="s">
        <v>103</v>
      </c>
      <c r="BS652" s="3">
        <v>43075</v>
      </c>
      <c r="BT652" s="4">
        <v>0.6069444444444444</v>
      </c>
      <c r="BU652" s="2" t="s">
        <v>1168</v>
      </c>
      <c r="BV652" s="2" t="s">
        <v>85</v>
      </c>
      <c r="BY652" s="2">
        <v>1200</v>
      </c>
      <c r="CC652" s="2" t="s">
        <v>296</v>
      </c>
      <c r="CD652" s="2">
        <v>208</v>
      </c>
      <c r="CE652" s="2" t="s">
        <v>120</v>
      </c>
      <c r="CF652" s="3">
        <v>43077</v>
      </c>
      <c r="CI652" s="2">
        <v>1</v>
      </c>
      <c r="CJ652" s="2">
        <v>1</v>
      </c>
      <c r="CK652" s="2">
        <v>24</v>
      </c>
      <c r="CL652" s="2" t="s">
        <v>89</v>
      </c>
    </row>
    <row r="653" spans="1:90">
      <c r="A653" s="2" t="s">
        <v>71</v>
      </c>
      <c r="B653" s="2" t="s">
        <v>72</v>
      </c>
      <c r="C653" s="2" t="s">
        <v>73</v>
      </c>
      <c r="E653" s="2" t="str">
        <f>"FES1162593938"</f>
        <v>FES1162593938</v>
      </c>
      <c r="F653" s="3">
        <v>43074</v>
      </c>
      <c r="G653" s="2">
        <v>201806</v>
      </c>
      <c r="H653" s="2" t="s">
        <v>74</v>
      </c>
      <c r="I653" s="2" t="s">
        <v>75</v>
      </c>
      <c r="J653" s="2" t="s">
        <v>97</v>
      </c>
      <c r="K653" s="2" t="s">
        <v>77</v>
      </c>
      <c r="L653" s="2" t="s">
        <v>189</v>
      </c>
      <c r="M653" s="2" t="s">
        <v>190</v>
      </c>
      <c r="N653" s="2" t="s">
        <v>1169</v>
      </c>
      <c r="O653" s="2" t="s">
        <v>101</v>
      </c>
      <c r="P653" s="2" t="str">
        <f>"21705969                      "</f>
        <v xml:space="preserve">21705969  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5.65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1</v>
      </c>
      <c r="BJ653" s="2">
        <v>0.2</v>
      </c>
      <c r="BK653" s="2">
        <v>1</v>
      </c>
      <c r="BL653" s="2">
        <v>45.15</v>
      </c>
      <c r="BM653" s="2">
        <v>6.32</v>
      </c>
      <c r="BN653" s="2">
        <v>51.47</v>
      </c>
      <c r="BO653" s="2">
        <v>51.47</v>
      </c>
      <c r="BQ653" s="2" t="s">
        <v>102</v>
      </c>
      <c r="BR653" s="2" t="s">
        <v>103</v>
      </c>
      <c r="BS653" s="3">
        <v>43075</v>
      </c>
      <c r="BT653" s="4">
        <v>0.45694444444444443</v>
      </c>
      <c r="BU653" s="2" t="s">
        <v>1170</v>
      </c>
      <c r="BV653" s="2" t="s">
        <v>85</v>
      </c>
      <c r="BY653" s="2">
        <v>1200</v>
      </c>
      <c r="CC653" s="2" t="s">
        <v>190</v>
      </c>
      <c r="CD653" s="2">
        <v>157</v>
      </c>
      <c r="CE653" s="2" t="s">
        <v>120</v>
      </c>
      <c r="CF653" s="3">
        <v>43077</v>
      </c>
      <c r="CI653" s="2">
        <v>1</v>
      </c>
      <c r="CJ653" s="2">
        <v>1</v>
      </c>
      <c r="CK653" s="2">
        <v>21</v>
      </c>
      <c r="CL653" s="2" t="s">
        <v>89</v>
      </c>
    </row>
    <row r="654" spans="1:90">
      <c r="A654" s="2" t="s">
        <v>71</v>
      </c>
      <c r="B654" s="2" t="s">
        <v>72</v>
      </c>
      <c r="C654" s="2" t="s">
        <v>73</v>
      </c>
      <c r="E654" s="2" t="str">
        <f>"FES1162593979"</f>
        <v>FES1162593979</v>
      </c>
      <c r="F654" s="3">
        <v>43074</v>
      </c>
      <c r="G654" s="2">
        <v>201806</v>
      </c>
      <c r="H654" s="2" t="s">
        <v>74</v>
      </c>
      <c r="I654" s="2" t="s">
        <v>75</v>
      </c>
      <c r="J654" s="2" t="s">
        <v>97</v>
      </c>
      <c r="K654" s="2" t="s">
        <v>77</v>
      </c>
      <c r="L654" s="2" t="s">
        <v>262</v>
      </c>
      <c r="M654" s="2" t="s">
        <v>263</v>
      </c>
      <c r="N654" s="2" t="s">
        <v>264</v>
      </c>
      <c r="O654" s="2" t="s">
        <v>101</v>
      </c>
      <c r="P654" s="2" t="str">
        <f>"2170601077                    "</f>
        <v xml:space="preserve">2170601077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28.23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10</v>
      </c>
      <c r="BJ654" s="2">
        <v>6.9</v>
      </c>
      <c r="BK654" s="2">
        <v>10</v>
      </c>
      <c r="BL654" s="2">
        <v>225.65</v>
      </c>
      <c r="BM654" s="2">
        <v>31.59</v>
      </c>
      <c r="BN654" s="2">
        <v>257.24</v>
      </c>
      <c r="BO654" s="2">
        <v>257.24</v>
      </c>
      <c r="BQ654" s="2" t="s">
        <v>102</v>
      </c>
      <c r="BR654" s="2" t="s">
        <v>103</v>
      </c>
      <c r="BS654" s="3">
        <v>43075</v>
      </c>
      <c r="BT654" s="4">
        <v>0.31736111111111115</v>
      </c>
      <c r="BU654" s="2" t="s">
        <v>324</v>
      </c>
      <c r="BV654" s="2" t="s">
        <v>85</v>
      </c>
      <c r="BY654" s="2">
        <v>34496</v>
      </c>
      <c r="CA654" s="2" t="s">
        <v>1171</v>
      </c>
      <c r="CC654" s="2" t="s">
        <v>263</v>
      </c>
      <c r="CD654" s="2">
        <v>6230</v>
      </c>
      <c r="CE654" s="2" t="s">
        <v>87</v>
      </c>
      <c r="CF654" s="3">
        <v>43076</v>
      </c>
      <c r="CI654" s="2">
        <v>1</v>
      </c>
      <c r="CJ654" s="2">
        <v>1</v>
      </c>
      <c r="CK654" s="2">
        <v>21</v>
      </c>
      <c r="CL654" s="2" t="s">
        <v>89</v>
      </c>
    </row>
    <row r="655" spans="1:90">
      <c r="A655" s="2" t="s">
        <v>71</v>
      </c>
      <c r="B655" s="2" t="s">
        <v>72</v>
      </c>
      <c r="C655" s="2" t="s">
        <v>73</v>
      </c>
      <c r="E655" s="2" t="str">
        <f>"FES1162593794"</f>
        <v>FES1162593794</v>
      </c>
      <c r="F655" s="3">
        <v>43074</v>
      </c>
      <c r="G655" s="2">
        <v>201806</v>
      </c>
      <c r="H655" s="2" t="s">
        <v>74</v>
      </c>
      <c r="I655" s="2" t="s">
        <v>75</v>
      </c>
      <c r="J655" s="2" t="s">
        <v>97</v>
      </c>
      <c r="K655" s="2" t="s">
        <v>77</v>
      </c>
      <c r="L655" s="2" t="s">
        <v>651</v>
      </c>
      <c r="M655" s="2" t="s">
        <v>652</v>
      </c>
      <c r="N655" s="2" t="s">
        <v>949</v>
      </c>
      <c r="O655" s="2" t="s">
        <v>101</v>
      </c>
      <c r="P655" s="2" t="str">
        <f>"2170604609                    "</f>
        <v xml:space="preserve">2170604609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7.94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1</v>
      </c>
      <c r="BJ655" s="2">
        <v>0.2</v>
      </c>
      <c r="BK655" s="2">
        <v>1</v>
      </c>
      <c r="BL655" s="2">
        <v>63.49</v>
      </c>
      <c r="BM655" s="2">
        <v>8.89</v>
      </c>
      <c r="BN655" s="2">
        <v>72.38</v>
      </c>
      <c r="BO655" s="2">
        <v>72.38</v>
      </c>
      <c r="BQ655" s="2" t="s">
        <v>82</v>
      </c>
      <c r="BR655" s="2" t="s">
        <v>103</v>
      </c>
      <c r="BS655" s="3">
        <v>43075</v>
      </c>
      <c r="BT655" s="4">
        <v>0.42708333333333331</v>
      </c>
      <c r="BU655" s="2" t="s">
        <v>1172</v>
      </c>
      <c r="BV655" s="2" t="s">
        <v>85</v>
      </c>
      <c r="BY655" s="2">
        <v>1200</v>
      </c>
      <c r="CA655" s="2" t="s">
        <v>656</v>
      </c>
      <c r="CC655" s="2" t="s">
        <v>652</v>
      </c>
      <c r="CD655" s="2">
        <v>250</v>
      </c>
      <c r="CE655" s="2" t="s">
        <v>120</v>
      </c>
      <c r="CF655" s="3">
        <v>43077</v>
      </c>
      <c r="CI655" s="2">
        <v>1</v>
      </c>
      <c r="CJ655" s="2">
        <v>1</v>
      </c>
      <c r="CK655" s="2">
        <v>24</v>
      </c>
      <c r="CL655" s="2" t="s">
        <v>89</v>
      </c>
    </row>
    <row r="656" spans="1:90">
      <c r="A656" s="2" t="s">
        <v>71</v>
      </c>
      <c r="B656" s="2" t="s">
        <v>72</v>
      </c>
      <c r="C656" s="2" t="s">
        <v>73</v>
      </c>
      <c r="E656" s="2" t="str">
        <f>"FES1162593947"</f>
        <v>FES1162593947</v>
      </c>
      <c r="F656" s="3">
        <v>43074</v>
      </c>
      <c r="G656" s="2">
        <v>201806</v>
      </c>
      <c r="H656" s="2" t="s">
        <v>74</v>
      </c>
      <c r="I656" s="2" t="s">
        <v>75</v>
      </c>
      <c r="J656" s="2" t="s">
        <v>97</v>
      </c>
      <c r="K656" s="2" t="s">
        <v>77</v>
      </c>
      <c r="L656" s="2" t="s">
        <v>189</v>
      </c>
      <c r="M656" s="2" t="s">
        <v>190</v>
      </c>
      <c r="N656" s="2" t="s">
        <v>1173</v>
      </c>
      <c r="O656" s="2" t="s">
        <v>101</v>
      </c>
      <c r="P656" s="2" t="str">
        <f>"2170605925                    "</f>
        <v xml:space="preserve">2170605925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5.65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1</v>
      </c>
      <c r="BJ656" s="2">
        <v>0.2</v>
      </c>
      <c r="BK656" s="2">
        <v>1</v>
      </c>
      <c r="BL656" s="2">
        <v>45.15</v>
      </c>
      <c r="BM656" s="2">
        <v>6.32</v>
      </c>
      <c r="BN656" s="2">
        <v>51.47</v>
      </c>
      <c r="BO656" s="2">
        <v>51.47</v>
      </c>
      <c r="BQ656" s="2" t="s">
        <v>229</v>
      </c>
      <c r="BR656" s="2" t="s">
        <v>103</v>
      </c>
      <c r="BS656" s="3">
        <v>43075</v>
      </c>
      <c r="BT656" s="4">
        <v>0.4375</v>
      </c>
      <c r="BU656" s="2" t="s">
        <v>1174</v>
      </c>
      <c r="BV656" s="2" t="s">
        <v>85</v>
      </c>
      <c r="BY656" s="2">
        <v>1200</v>
      </c>
      <c r="CC656" s="2" t="s">
        <v>190</v>
      </c>
      <c r="CD656" s="2">
        <v>157</v>
      </c>
      <c r="CE656" s="2" t="s">
        <v>120</v>
      </c>
      <c r="CF656" s="3">
        <v>43077</v>
      </c>
      <c r="CI656" s="2">
        <v>1</v>
      </c>
      <c r="CJ656" s="2">
        <v>1</v>
      </c>
      <c r="CK656" s="2">
        <v>21</v>
      </c>
      <c r="CL656" s="2" t="s">
        <v>89</v>
      </c>
    </row>
    <row r="657" spans="1:90">
      <c r="A657" s="2" t="s">
        <v>71</v>
      </c>
      <c r="B657" s="2" t="s">
        <v>72</v>
      </c>
      <c r="C657" s="2" t="s">
        <v>73</v>
      </c>
      <c r="E657" s="2" t="str">
        <f>"FES1162593795"</f>
        <v>FES1162593795</v>
      </c>
      <c r="F657" s="3">
        <v>43074</v>
      </c>
      <c r="G657" s="2">
        <v>201806</v>
      </c>
      <c r="H657" s="2" t="s">
        <v>74</v>
      </c>
      <c r="I657" s="2" t="s">
        <v>75</v>
      </c>
      <c r="J657" s="2" t="s">
        <v>97</v>
      </c>
      <c r="K657" s="2" t="s">
        <v>77</v>
      </c>
      <c r="L657" s="2" t="s">
        <v>158</v>
      </c>
      <c r="M657" s="2" t="s">
        <v>159</v>
      </c>
      <c r="N657" s="2" t="s">
        <v>588</v>
      </c>
      <c r="O657" s="2" t="s">
        <v>101</v>
      </c>
      <c r="P657" s="2" t="str">
        <f>"2170604702                    "</f>
        <v xml:space="preserve">2170604702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5.65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1</v>
      </c>
      <c r="BJ657" s="2">
        <v>0.2</v>
      </c>
      <c r="BK657" s="2">
        <v>1</v>
      </c>
      <c r="BL657" s="2">
        <v>45.15</v>
      </c>
      <c r="BM657" s="2">
        <v>6.32</v>
      </c>
      <c r="BN657" s="2">
        <v>51.47</v>
      </c>
      <c r="BO657" s="2">
        <v>51.47</v>
      </c>
      <c r="BQ657" s="2" t="s">
        <v>102</v>
      </c>
      <c r="BR657" s="2" t="s">
        <v>103</v>
      </c>
      <c r="BS657" s="3">
        <v>43075</v>
      </c>
      <c r="BT657" s="4">
        <v>0.45694444444444443</v>
      </c>
      <c r="BU657" s="2" t="s">
        <v>1175</v>
      </c>
      <c r="BV657" s="2" t="s">
        <v>85</v>
      </c>
      <c r="BY657" s="2">
        <v>1200</v>
      </c>
      <c r="CC657" s="2" t="s">
        <v>159</v>
      </c>
      <c r="CD657" s="2">
        <v>40</v>
      </c>
      <c r="CE657" s="2" t="s">
        <v>120</v>
      </c>
      <c r="CF657" s="3">
        <v>43077</v>
      </c>
      <c r="CI657" s="2">
        <v>1</v>
      </c>
      <c r="CJ657" s="2">
        <v>1</v>
      </c>
      <c r="CK657" s="2">
        <v>21</v>
      </c>
      <c r="CL657" s="2" t="s">
        <v>89</v>
      </c>
    </row>
    <row r="658" spans="1:90">
      <c r="A658" s="2" t="s">
        <v>71</v>
      </c>
      <c r="B658" s="2" t="s">
        <v>72</v>
      </c>
      <c r="C658" s="2" t="s">
        <v>73</v>
      </c>
      <c r="E658" s="2" t="str">
        <f>"FES1162593940"</f>
        <v>FES1162593940</v>
      </c>
      <c r="F658" s="3">
        <v>43074</v>
      </c>
      <c r="G658" s="2">
        <v>201806</v>
      </c>
      <c r="H658" s="2" t="s">
        <v>74</v>
      </c>
      <c r="I658" s="2" t="s">
        <v>75</v>
      </c>
      <c r="J658" s="2" t="s">
        <v>97</v>
      </c>
      <c r="K658" s="2" t="s">
        <v>77</v>
      </c>
      <c r="L658" s="2" t="s">
        <v>158</v>
      </c>
      <c r="M658" s="2" t="s">
        <v>159</v>
      </c>
      <c r="N658" s="2" t="s">
        <v>543</v>
      </c>
      <c r="O658" s="2" t="s">
        <v>101</v>
      </c>
      <c r="P658" s="2" t="str">
        <f>"2170605977                    "</f>
        <v xml:space="preserve">2170605977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5.65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1</v>
      </c>
      <c r="BJ658" s="2">
        <v>0.2</v>
      </c>
      <c r="BK658" s="2">
        <v>1</v>
      </c>
      <c r="BL658" s="2">
        <v>45.15</v>
      </c>
      <c r="BM658" s="2">
        <v>6.32</v>
      </c>
      <c r="BN658" s="2">
        <v>51.47</v>
      </c>
      <c r="BO658" s="2">
        <v>51.47</v>
      </c>
      <c r="BQ658" s="2" t="s">
        <v>82</v>
      </c>
      <c r="BR658" s="2" t="s">
        <v>103</v>
      </c>
      <c r="BS658" s="3">
        <v>43075</v>
      </c>
      <c r="BT658" s="4">
        <v>0.41111111111111115</v>
      </c>
      <c r="BU658" s="2" t="s">
        <v>1176</v>
      </c>
      <c r="BV658" s="2" t="s">
        <v>85</v>
      </c>
      <c r="BY658" s="2">
        <v>1200</v>
      </c>
      <c r="CA658" s="2" t="s">
        <v>1177</v>
      </c>
      <c r="CC658" s="2" t="s">
        <v>159</v>
      </c>
      <c r="CD658" s="2">
        <v>1</v>
      </c>
      <c r="CE658" s="2" t="s">
        <v>120</v>
      </c>
      <c r="CF658" s="3">
        <v>43077</v>
      </c>
      <c r="CI658" s="2">
        <v>1</v>
      </c>
      <c r="CJ658" s="2">
        <v>1</v>
      </c>
      <c r="CK658" s="2">
        <v>21</v>
      </c>
      <c r="CL658" s="2" t="s">
        <v>89</v>
      </c>
    </row>
    <row r="659" spans="1:90">
      <c r="A659" s="2" t="s">
        <v>71</v>
      </c>
      <c r="B659" s="2" t="s">
        <v>72</v>
      </c>
      <c r="C659" s="2" t="s">
        <v>73</v>
      </c>
      <c r="E659" s="2" t="str">
        <f>"FES1162594000"</f>
        <v>FES1162594000</v>
      </c>
      <c r="F659" s="3">
        <v>43074</v>
      </c>
      <c r="G659" s="2">
        <v>201806</v>
      </c>
      <c r="H659" s="2" t="s">
        <v>74</v>
      </c>
      <c r="I659" s="2" t="s">
        <v>75</v>
      </c>
      <c r="J659" s="2" t="s">
        <v>97</v>
      </c>
      <c r="K659" s="2" t="s">
        <v>77</v>
      </c>
      <c r="L659" s="2" t="s">
        <v>651</v>
      </c>
      <c r="M659" s="2" t="s">
        <v>652</v>
      </c>
      <c r="N659" s="2" t="s">
        <v>734</v>
      </c>
      <c r="O659" s="2" t="s">
        <v>101</v>
      </c>
      <c r="P659" s="2" t="str">
        <f>"2170605391                    "</f>
        <v xml:space="preserve">2170605391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7.94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1</v>
      </c>
      <c r="BJ659" s="2">
        <v>0.2</v>
      </c>
      <c r="BK659" s="2">
        <v>1</v>
      </c>
      <c r="BL659" s="2">
        <v>63.49</v>
      </c>
      <c r="BM659" s="2">
        <v>8.89</v>
      </c>
      <c r="BN659" s="2">
        <v>72.38</v>
      </c>
      <c r="BO659" s="2">
        <v>72.38</v>
      </c>
      <c r="BQ659" s="2" t="s">
        <v>735</v>
      </c>
      <c r="BR659" s="2" t="s">
        <v>103</v>
      </c>
      <c r="BS659" s="3">
        <v>43075</v>
      </c>
      <c r="BT659" s="4">
        <v>0.46180555555555558</v>
      </c>
      <c r="BU659" s="2" t="s">
        <v>736</v>
      </c>
      <c r="BV659" s="2" t="s">
        <v>85</v>
      </c>
      <c r="BY659" s="2">
        <v>1200</v>
      </c>
      <c r="CA659" s="2" t="s">
        <v>656</v>
      </c>
      <c r="CC659" s="2" t="s">
        <v>652</v>
      </c>
      <c r="CD659" s="2">
        <v>250</v>
      </c>
      <c r="CE659" s="2" t="s">
        <v>120</v>
      </c>
      <c r="CF659" s="3">
        <v>43077</v>
      </c>
      <c r="CI659" s="2">
        <v>1</v>
      </c>
      <c r="CJ659" s="2">
        <v>1</v>
      </c>
      <c r="CK659" s="2">
        <v>24</v>
      </c>
      <c r="CL659" s="2" t="s">
        <v>89</v>
      </c>
    </row>
    <row r="660" spans="1:90">
      <c r="A660" s="2" t="s">
        <v>71</v>
      </c>
      <c r="B660" s="2" t="s">
        <v>72</v>
      </c>
      <c r="C660" s="2" t="s">
        <v>73</v>
      </c>
      <c r="E660" s="2" t="str">
        <f>"FES1162594013"</f>
        <v>FES1162594013</v>
      </c>
      <c r="F660" s="3">
        <v>43074</v>
      </c>
      <c r="G660" s="2">
        <v>201806</v>
      </c>
      <c r="H660" s="2" t="s">
        <v>74</v>
      </c>
      <c r="I660" s="2" t="s">
        <v>75</v>
      </c>
      <c r="J660" s="2" t="s">
        <v>97</v>
      </c>
      <c r="K660" s="2" t="s">
        <v>77</v>
      </c>
      <c r="L660" s="2" t="s">
        <v>158</v>
      </c>
      <c r="M660" s="2" t="s">
        <v>159</v>
      </c>
      <c r="N660" s="2" t="s">
        <v>588</v>
      </c>
      <c r="O660" s="2" t="s">
        <v>101</v>
      </c>
      <c r="P660" s="2" t="str">
        <f>"2170602836                    "</f>
        <v xml:space="preserve">2170602836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5.65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45.15</v>
      </c>
      <c r="BM660" s="2">
        <v>6.32</v>
      </c>
      <c r="BN660" s="2">
        <v>51.47</v>
      </c>
      <c r="BO660" s="2">
        <v>51.47</v>
      </c>
      <c r="BQ660" s="2" t="s">
        <v>102</v>
      </c>
      <c r="BR660" s="2" t="s">
        <v>103</v>
      </c>
      <c r="BS660" s="3">
        <v>43075</v>
      </c>
      <c r="BT660" s="4">
        <v>0.45694444444444443</v>
      </c>
      <c r="BU660" s="2" t="s">
        <v>1175</v>
      </c>
      <c r="BV660" s="2" t="s">
        <v>85</v>
      </c>
      <c r="BY660" s="2">
        <v>1200</v>
      </c>
      <c r="CC660" s="2" t="s">
        <v>159</v>
      </c>
      <c r="CD660" s="2">
        <v>40</v>
      </c>
      <c r="CE660" s="2" t="s">
        <v>120</v>
      </c>
      <c r="CF660" s="3">
        <v>43077</v>
      </c>
      <c r="CI660" s="2">
        <v>1</v>
      </c>
      <c r="CJ660" s="2">
        <v>1</v>
      </c>
      <c r="CK660" s="2">
        <v>21</v>
      </c>
      <c r="CL660" s="2" t="s">
        <v>89</v>
      </c>
    </row>
    <row r="661" spans="1:90">
      <c r="A661" s="2" t="s">
        <v>71</v>
      </c>
      <c r="B661" s="2" t="s">
        <v>72</v>
      </c>
      <c r="C661" s="2" t="s">
        <v>73</v>
      </c>
      <c r="E661" s="2" t="str">
        <f>"FES1162593924"</f>
        <v>FES1162593924</v>
      </c>
      <c r="F661" s="3">
        <v>43074</v>
      </c>
      <c r="G661" s="2">
        <v>201806</v>
      </c>
      <c r="H661" s="2" t="s">
        <v>74</v>
      </c>
      <c r="I661" s="2" t="s">
        <v>75</v>
      </c>
      <c r="J661" s="2" t="s">
        <v>97</v>
      </c>
      <c r="K661" s="2" t="s">
        <v>77</v>
      </c>
      <c r="L661" s="2" t="s">
        <v>158</v>
      </c>
      <c r="M661" s="2" t="s">
        <v>159</v>
      </c>
      <c r="N661" s="2" t="s">
        <v>1178</v>
      </c>
      <c r="O661" s="2" t="s">
        <v>101</v>
      </c>
      <c r="P661" s="2" t="str">
        <f>"2170605373                    "</f>
        <v xml:space="preserve">2170605373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5.65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</v>
      </c>
      <c r="BJ661" s="2">
        <v>0.2</v>
      </c>
      <c r="BK661" s="2">
        <v>1</v>
      </c>
      <c r="BL661" s="2">
        <v>45.15</v>
      </c>
      <c r="BM661" s="2">
        <v>6.32</v>
      </c>
      <c r="BN661" s="2">
        <v>51.47</v>
      </c>
      <c r="BO661" s="2">
        <v>51.47</v>
      </c>
      <c r="BR661" s="2" t="s">
        <v>103</v>
      </c>
      <c r="BS661" s="3">
        <v>43083</v>
      </c>
      <c r="BT661" s="4">
        <v>0.6118055555555556</v>
      </c>
      <c r="BU661" s="2" t="s">
        <v>1179</v>
      </c>
      <c r="BV661" s="2" t="s">
        <v>89</v>
      </c>
      <c r="BW661" s="2" t="s">
        <v>156</v>
      </c>
      <c r="BX661" s="2" t="s">
        <v>668</v>
      </c>
      <c r="BY661" s="2">
        <v>1200</v>
      </c>
      <c r="CC661" s="2" t="s">
        <v>159</v>
      </c>
      <c r="CD661" s="2">
        <v>2</v>
      </c>
      <c r="CE661" s="2" t="s">
        <v>120</v>
      </c>
      <c r="CF661" s="3">
        <v>43088</v>
      </c>
      <c r="CI661" s="2">
        <v>1</v>
      </c>
      <c r="CJ661" s="2">
        <v>7</v>
      </c>
      <c r="CK661" s="2">
        <v>21</v>
      </c>
      <c r="CL661" s="2" t="s">
        <v>89</v>
      </c>
    </row>
    <row r="662" spans="1:90">
      <c r="A662" s="2" t="s">
        <v>71</v>
      </c>
      <c r="B662" s="2" t="s">
        <v>72</v>
      </c>
      <c r="C662" s="2" t="s">
        <v>73</v>
      </c>
      <c r="E662" s="2" t="str">
        <f>"FES1162593851"</f>
        <v>FES1162593851</v>
      </c>
      <c r="F662" s="3">
        <v>43074</v>
      </c>
      <c r="G662" s="2">
        <v>201806</v>
      </c>
      <c r="H662" s="2" t="s">
        <v>74</v>
      </c>
      <c r="I662" s="2" t="s">
        <v>75</v>
      </c>
      <c r="J662" s="2" t="s">
        <v>97</v>
      </c>
      <c r="K662" s="2" t="s">
        <v>77</v>
      </c>
      <c r="L662" s="2" t="s">
        <v>74</v>
      </c>
      <c r="M662" s="2" t="s">
        <v>75</v>
      </c>
      <c r="N662" s="2" t="s">
        <v>201</v>
      </c>
      <c r="O662" s="2" t="s">
        <v>101</v>
      </c>
      <c r="P662" s="2" t="str">
        <f>"2170604474                    "</f>
        <v xml:space="preserve">2170604474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4.41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4.9000000000000004</v>
      </c>
      <c r="BJ662" s="2">
        <v>3.3</v>
      </c>
      <c r="BK662" s="2">
        <v>5</v>
      </c>
      <c r="BL662" s="2">
        <v>35.270000000000003</v>
      </c>
      <c r="BM662" s="2">
        <v>4.9400000000000004</v>
      </c>
      <c r="BN662" s="2">
        <v>40.21</v>
      </c>
      <c r="BO662" s="2">
        <v>40.21</v>
      </c>
      <c r="BQ662" s="2" t="s">
        <v>102</v>
      </c>
      <c r="BR662" s="2" t="s">
        <v>103</v>
      </c>
      <c r="BS662" s="3">
        <v>43075</v>
      </c>
      <c r="BT662" s="4">
        <v>0.41666666666666669</v>
      </c>
      <c r="BU662" s="2" t="s">
        <v>202</v>
      </c>
      <c r="BV662" s="2" t="s">
        <v>85</v>
      </c>
      <c r="BY662" s="2">
        <v>16588</v>
      </c>
      <c r="CA662" s="2" t="s">
        <v>203</v>
      </c>
      <c r="CC662" s="2" t="s">
        <v>75</v>
      </c>
      <c r="CD662" s="2">
        <v>1665</v>
      </c>
      <c r="CE662" s="2" t="s">
        <v>95</v>
      </c>
      <c r="CF662" s="3">
        <v>43077</v>
      </c>
      <c r="CI662" s="2">
        <v>1</v>
      </c>
      <c r="CJ662" s="2">
        <v>1</v>
      </c>
      <c r="CK662" s="2">
        <v>22</v>
      </c>
      <c r="CL662" s="2" t="s">
        <v>89</v>
      </c>
    </row>
    <row r="663" spans="1:90">
      <c r="A663" s="2" t="s">
        <v>71</v>
      </c>
      <c r="B663" s="2" t="s">
        <v>72</v>
      </c>
      <c r="C663" s="2" t="s">
        <v>73</v>
      </c>
      <c r="E663" s="2" t="str">
        <f>"FES1162593911"</f>
        <v>FES1162593911</v>
      </c>
      <c r="F663" s="3">
        <v>43074</v>
      </c>
      <c r="G663" s="2">
        <v>201806</v>
      </c>
      <c r="H663" s="2" t="s">
        <v>74</v>
      </c>
      <c r="I663" s="2" t="s">
        <v>75</v>
      </c>
      <c r="J663" s="2" t="s">
        <v>97</v>
      </c>
      <c r="K663" s="2" t="s">
        <v>77</v>
      </c>
      <c r="L663" s="2" t="s">
        <v>90</v>
      </c>
      <c r="M663" s="2" t="s">
        <v>91</v>
      </c>
      <c r="N663" s="2" t="s">
        <v>899</v>
      </c>
      <c r="O663" s="2" t="s">
        <v>101</v>
      </c>
      <c r="P663" s="2" t="str">
        <f>"2170605907                    "</f>
        <v xml:space="preserve">2170605907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4.41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35.270000000000003</v>
      </c>
      <c r="BM663" s="2">
        <v>4.9400000000000004</v>
      </c>
      <c r="BN663" s="2">
        <v>40.21</v>
      </c>
      <c r="BO663" s="2">
        <v>40.21</v>
      </c>
      <c r="BQ663" s="2" t="s">
        <v>142</v>
      </c>
      <c r="BR663" s="2" t="s">
        <v>103</v>
      </c>
      <c r="BS663" s="3">
        <v>43075</v>
      </c>
      <c r="BT663" s="4">
        <v>0.41666666666666669</v>
      </c>
      <c r="BU663" s="2" t="s">
        <v>1180</v>
      </c>
      <c r="BV663" s="2" t="s">
        <v>85</v>
      </c>
      <c r="BY663" s="2">
        <v>1200</v>
      </c>
      <c r="CC663" s="2" t="s">
        <v>91</v>
      </c>
      <c r="CD663" s="2">
        <v>1510</v>
      </c>
      <c r="CE663" s="2" t="s">
        <v>120</v>
      </c>
      <c r="CF663" s="3">
        <v>43077</v>
      </c>
      <c r="CI663" s="2">
        <v>1</v>
      </c>
      <c r="CJ663" s="2">
        <v>1</v>
      </c>
      <c r="CK663" s="2">
        <v>22</v>
      </c>
      <c r="CL663" s="2" t="s">
        <v>89</v>
      </c>
    </row>
    <row r="664" spans="1:90">
      <c r="A664" s="2" t="s">
        <v>71</v>
      </c>
      <c r="B664" s="2" t="s">
        <v>72</v>
      </c>
      <c r="C664" s="2" t="s">
        <v>73</v>
      </c>
      <c r="E664" s="2" t="str">
        <f>"FES1162593941"</f>
        <v>FES1162593941</v>
      </c>
      <c r="F664" s="3">
        <v>43074</v>
      </c>
      <c r="G664" s="2">
        <v>201806</v>
      </c>
      <c r="H664" s="2" t="s">
        <v>74</v>
      </c>
      <c r="I664" s="2" t="s">
        <v>75</v>
      </c>
      <c r="J664" s="2" t="s">
        <v>97</v>
      </c>
      <c r="K664" s="2" t="s">
        <v>77</v>
      </c>
      <c r="L664" s="2" t="s">
        <v>90</v>
      </c>
      <c r="M664" s="2" t="s">
        <v>91</v>
      </c>
      <c r="N664" s="2" t="s">
        <v>899</v>
      </c>
      <c r="O664" s="2" t="s">
        <v>101</v>
      </c>
      <c r="P664" s="2" t="str">
        <f>"2170605981                    "</f>
        <v xml:space="preserve">2170605981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4.41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</v>
      </c>
      <c r="BJ664" s="2">
        <v>0.2</v>
      </c>
      <c r="BK664" s="2">
        <v>1</v>
      </c>
      <c r="BL664" s="2">
        <v>35.270000000000003</v>
      </c>
      <c r="BM664" s="2">
        <v>4.9400000000000004</v>
      </c>
      <c r="BN664" s="2">
        <v>40.21</v>
      </c>
      <c r="BO664" s="2">
        <v>40.21</v>
      </c>
      <c r="BQ664" s="2" t="s">
        <v>142</v>
      </c>
      <c r="BR664" s="2" t="s">
        <v>103</v>
      </c>
      <c r="BS664" s="3">
        <v>43075</v>
      </c>
      <c r="BT664" s="4">
        <v>0.41666666666666669</v>
      </c>
      <c r="BU664" s="2" t="s">
        <v>1180</v>
      </c>
      <c r="BV664" s="2" t="s">
        <v>85</v>
      </c>
      <c r="BY664" s="2">
        <v>1200</v>
      </c>
      <c r="CC664" s="2" t="s">
        <v>91</v>
      </c>
      <c r="CD664" s="2">
        <v>1510</v>
      </c>
      <c r="CE664" s="2" t="s">
        <v>120</v>
      </c>
      <c r="CF664" s="3">
        <v>43077</v>
      </c>
      <c r="CI664" s="2">
        <v>1</v>
      </c>
      <c r="CJ664" s="2">
        <v>1</v>
      </c>
      <c r="CK664" s="2">
        <v>22</v>
      </c>
      <c r="CL664" s="2" t="s">
        <v>89</v>
      </c>
    </row>
    <row r="665" spans="1:90">
      <c r="A665" s="2" t="s">
        <v>71</v>
      </c>
      <c r="B665" s="2" t="s">
        <v>72</v>
      </c>
      <c r="C665" s="2" t="s">
        <v>73</v>
      </c>
      <c r="E665" s="2" t="str">
        <f>"FES1162593798"</f>
        <v>FES1162593798</v>
      </c>
      <c r="F665" s="3">
        <v>43074</v>
      </c>
      <c r="G665" s="2">
        <v>201806</v>
      </c>
      <c r="H665" s="2" t="s">
        <v>74</v>
      </c>
      <c r="I665" s="2" t="s">
        <v>75</v>
      </c>
      <c r="J665" s="2" t="s">
        <v>97</v>
      </c>
      <c r="K665" s="2" t="s">
        <v>77</v>
      </c>
      <c r="L665" s="2" t="s">
        <v>158</v>
      </c>
      <c r="M665" s="2" t="s">
        <v>159</v>
      </c>
      <c r="N665" s="2" t="s">
        <v>564</v>
      </c>
      <c r="O665" s="2" t="s">
        <v>101</v>
      </c>
      <c r="P665" s="2" t="str">
        <f>"217064982                     "</f>
        <v xml:space="preserve">217064982 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5.65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1</v>
      </c>
      <c r="BJ665" s="2">
        <v>0.2</v>
      </c>
      <c r="BK665" s="2">
        <v>1</v>
      </c>
      <c r="BL665" s="2">
        <v>45.15</v>
      </c>
      <c r="BM665" s="2">
        <v>6.32</v>
      </c>
      <c r="BN665" s="2">
        <v>51.47</v>
      </c>
      <c r="BO665" s="2">
        <v>51.47</v>
      </c>
      <c r="BQ665" s="2" t="s">
        <v>128</v>
      </c>
      <c r="BR665" s="2" t="s">
        <v>103</v>
      </c>
      <c r="BS665" s="3">
        <v>43075</v>
      </c>
      <c r="BT665" s="4">
        <v>0.5</v>
      </c>
      <c r="BU665" s="2" t="s">
        <v>1181</v>
      </c>
      <c r="BV665" s="2" t="s">
        <v>89</v>
      </c>
      <c r="BW665" s="2" t="s">
        <v>156</v>
      </c>
      <c r="BX665" s="2" t="s">
        <v>968</v>
      </c>
      <c r="BY665" s="2">
        <v>1200</v>
      </c>
      <c r="CC665" s="2" t="s">
        <v>159</v>
      </c>
      <c r="CD665" s="2">
        <v>200</v>
      </c>
      <c r="CE665" s="2" t="s">
        <v>120</v>
      </c>
      <c r="CF665" s="3">
        <v>43077</v>
      </c>
      <c r="CI665" s="2">
        <v>1</v>
      </c>
      <c r="CJ665" s="2">
        <v>1</v>
      </c>
      <c r="CK665" s="2">
        <v>21</v>
      </c>
      <c r="CL665" s="2" t="s">
        <v>89</v>
      </c>
    </row>
    <row r="666" spans="1:90">
      <c r="A666" s="2" t="s">
        <v>71</v>
      </c>
      <c r="B666" s="2" t="s">
        <v>72</v>
      </c>
      <c r="C666" s="2" t="s">
        <v>73</v>
      </c>
      <c r="E666" s="2" t="str">
        <f>"FES1162594014"</f>
        <v>FES1162594014</v>
      </c>
      <c r="F666" s="3">
        <v>43074</v>
      </c>
      <c r="G666" s="2">
        <v>201806</v>
      </c>
      <c r="H666" s="2" t="s">
        <v>74</v>
      </c>
      <c r="I666" s="2" t="s">
        <v>75</v>
      </c>
      <c r="J666" s="2" t="s">
        <v>97</v>
      </c>
      <c r="K666" s="2" t="s">
        <v>77</v>
      </c>
      <c r="L666" s="2" t="s">
        <v>136</v>
      </c>
      <c r="M666" s="2" t="s">
        <v>137</v>
      </c>
      <c r="N666" s="2" t="s">
        <v>138</v>
      </c>
      <c r="O666" s="2" t="s">
        <v>101</v>
      </c>
      <c r="P666" s="2" t="str">
        <f>"217059568                     "</f>
        <v xml:space="preserve">217059568 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14.12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2.7</v>
      </c>
      <c r="BJ666" s="2">
        <v>4.5999999999999996</v>
      </c>
      <c r="BK666" s="2">
        <v>5</v>
      </c>
      <c r="BL666" s="2">
        <v>112.84</v>
      </c>
      <c r="BM666" s="2">
        <v>15.8</v>
      </c>
      <c r="BN666" s="2">
        <v>128.63999999999999</v>
      </c>
      <c r="BO666" s="2">
        <v>128.63999999999999</v>
      </c>
      <c r="BQ666" s="2" t="s">
        <v>82</v>
      </c>
      <c r="BR666" s="2" t="s">
        <v>103</v>
      </c>
      <c r="BS666" s="3">
        <v>43075</v>
      </c>
      <c r="BT666" s="4">
        <v>0.41666666666666669</v>
      </c>
      <c r="BU666" s="2" t="s">
        <v>139</v>
      </c>
      <c r="BV666" s="2" t="s">
        <v>85</v>
      </c>
      <c r="BY666" s="2">
        <v>23089.54</v>
      </c>
      <c r="CA666" s="2" t="s">
        <v>140</v>
      </c>
      <c r="CC666" s="2" t="s">
        <v>137</v>
      </c>
      <c r="CD666" s="2">
        <v>6001</v>
      </c>
      <c r="CE666" s="2" t="s">
        <v>95</v>
      </c>
      <c r="CF666" s="3">
        <v>43075</v>
      </c>
      <c r="CI666" s="2">
        <v>1</v>
      </c>
      <c r="CJ666" s="2">
        <v>1</v>
      </c>
      <c r="CK666" s="2">
        <v>21</v>
      </c>
      <c r="CL666" s="2" t="s">
        <v>89</v>
      </c>
    </row>
    <row r="667" spans="1:90">
      <c r="A667" s="2" t="s">
        <v>71</v>
      </c>
      <c r="B667" s="2" t="s">
        <v>72</v>
      </c>
      <c r="C667" s="2" t="s">
        <v>73</v>
      </c>
      <c r="E667" s="2" t="str">
        <f>"FES1162593937"</f>
        <v>FES1162593937</v>
      </c>
      <c r="F667" s="3">
        <v>43074</v>
      </c>
      <c r="G667" s="2">
        <v>201806</v>
      </c>
      <c r="H667" s="2" t="s">
        <v>74</v>
      </c>
      <c r="I667" s="2" t="s">
        <v>75</v>
      </c>
      <c r="J667" s="2" t="s">
        <v>97</v>
      </c>
      <c r="K667" s="2" t="s">
        <v>77</v>
      </c>
      <c r="L667" s="2" t="s">
        <v>98</v>
      </c>
      <c r="M667" s="2" t="s">
        <v>99</v>
      </c>
      <c r="N667" s="2" t="s">
        <v>1182</v>
      </c>
      <c r="O667" s="2" t="s">
        <v>101</v>
      </c>
      <c r="P667" s="2" t="str">
        <f>"21706059494                   "</f>
        <v xml:space="preserve">21706059494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5.65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45.15</v>
      </c>
      <c r="BM667" s="2">
        <v>6.32</v>
      </c>
      <c r="BN667" s="2">
        <v>51.47</v>
      </c>
      <c r="BO667" s="2">
        <v>51.47</v>
      </c>
      <c r="BQ667" s="2" t="s">
        <v>82</v>
      </c>
      <c r="BR667" s="2" t="s">
        <v>103</v>
      </c>
      <c r="BS667" s="3">
        <v>43075</v>
      </c>
      <c r="BT667" s="4">
        <v>0.38055555555555554</v>
      </c>
      <c r="BU667" s="2" t="s">
        <v>1183</v>
      </c>
      <c r="BV667" s="2" t="s">
        <v>85</v>
      </c>
      <c r="BY667" s="2">
        <v>1200</v>
      </c>
      <c r="CA667" s="2" t="s">
        <v>1184</v>
      </c>
      <c r="CC667" s="2" t="s">
        <v>99</v>
      </c>
      <c r="CD667" s="2">
        <v>3201</v>
      </c>
      <c r="CE667" s="2" t="s">
        <v>120</v>
      </c>
      <c r="CF667" s="3">
        <v>43077</v>
      </c>
      <c r="CI667" s="2">
        <v>1</v>
      </c>
      <c r="CJ667" s="2">
        <v>1</v>
      </c>
      <c r="CK667" s="2">
        <v>21</v>
      </c>
      <c r="CL667" s="2" t="s">
        <v>89</v>
      </c>
    </row>
    <row r="668" spans="1:90">
      <c r="A668" s="2" t="s">
        <v>71</v>
      </c>
      <c r="B668" s="2" t="s">
        <v>72</v>
      </c>
      <c r="C668" s="2" t="s">
        <v>73</v>
      </c>
      <c r="E668" s="2" t="str">
        <f>"FES1162593756"</f>
        <v>FES1162593756</v>
      </c>
      <c r="F668" s="3">
        <v>43074</v>
      </c>
      <c r="G668" s="2">
        <v>201806</v>
      </c>
      <c r="H668" s="2" t="s">
        <v>74</v>
      </c>
      <c r="I668" s="2" t="s">
        <v>75</v>
      </c>
      <c r="J668" s="2" t="s">
        <v>97</v>
      </c>
      <c r="K668" s="2" t="s">
        <v>77</v>
      </c>
      <c r="L668" s="2" t="s">
        <v>272</v>
      </c>
      <c r="M668" s="2" t="s">
        <v>272</v>
      </c>
      <c r="N668" s="2" t="s">
        <v>1185</v>
      </c>
      <c r="O668" s="2" t="s">
        <v>101</v>
      </c>
      <c r="P668" s="2" t="str">
        <f>"2170605849                    "</f>
        <v xml:space="preserve">2170605849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7.94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63.49</v>
      </c>
      <c r="BM668" s="2">
        <v>8.89</v>
      </c>
      <c r="BN668" s="2">
        <v>72.38</v>
      </c>
      <c r="BO668" s="2">
        <v>72.38</v>
      </c>
      <c r="BQ668" s="2" t="s">
        <v>1186</v>
      </c>
      <c r="BR668" s="2" t="s">
        <v>103</v>
      </c>
      <c r="BS668" s="3">
        <v>43075</v>
      </c>
      <c r="BT668" s="4">
        <v>0.4375</v>
      </c>
      <c r="BU668" s="2" t="s">
        <v>1187</v>
      </c>
      <c r="BV668" s="2" t="s">
        <v>85</v>
      </c>
      <c r="BY668" s="2">
        <v>1200</v>
      </c>
      <c r="CA668" s="2" t="s">
        <v>389</v>
      </c>
      <c r="CC668" s="2" t="s">
        <v>272</v>
      </c>
      <c r="CD668" s="2">
        <v>1491</v>
      </c>
      <c r="CE668" s="2" t="s">
        <v>120</v>
      </c>
      <c r="CF668" s="3">
        <v>43077</v>
      </c>
      <c r="CI668" s="2">
        <v>1</v>
      </c>
      <c r="CJ668" s="2">
        <v>1</v>
      </c>
      <c r="CK668" s="2">
        <v>24</v>
      </c>
      <c r="CL668" s="2" t="s">
        <v>89</v>
      </c>
    </row>
    <row r="669" spans="1:90">
      <c r="A669" s="2" t="s">
        <v>71</v>
      </c>
      <c r="B669" s="2" t="s">
        <v>72</v>
      </c>
      <c r="C669" s="2" t="s">
        <v>73</v>
      </c>
      <c r="E669" s="2" t="str">
        <f>"FES1162593843"</f>
        <v>FES1162593843</v>
      </c>
      <c r="F669" s="3">
        <v>43074</v>
      </c>
      <c r="G669" s="2">
        <v>201806</v>
      </c>
      <c r="H669" s="2" t="s">
        <v>74</v>
      </c>
      <c r="I669" s="2" t="s">
        <v>75</v>
      </c>
      <c r="J669" s="2" t="s">
        <v>97</v>
      </c>
      <c r="K669" s="2" t="s">
        <v>77</v>
      </c>
      <c r="L669" s="2" t="s">
        <v>131</v>
      </c>
      <c r="M669" s="2" t="s">
        <v>132</v>
      </c>
      <c r="N669" s="2" t="s">
        <v>133</v>
      </c>
      <c r="O669" s="2" t="s">
        <v>101</v>
      </c>
      <c r="P669" s="2" t="str">
        <f>"2170608529                    "</f>
        <v xml:space="preserve">2170608529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5.65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</v>
      </c>
      <c r="BJ669" s="2">
        <v>0.2</v>
      </c>
      <c r="BK669" s="2">
        <v>1</v>
      </c>
      <c r="BL669" s="2">
        <v>45.15</v>
      </c>
      <c r="BM669" s="2">
        <v>6.32</v>
      </c>
      <c r="BN669" s="2">
        <v>51.47</v>
      </c>
      <c r="BO669" s="2">
        <v>51.47</v>
      </c>
      <c r="BQ669" s="2" t="s">
        <v>102</v>
      </c>
      <c r="BR669" s="2" t="s">
        <v>103</v>
      </c>
      <c r="BS669" s="3">
        <v>43075</v>
      </c>
      <c r="BT669" s="4">
        <v>0.4375</v>
      </c>
      <c r="BU669" s="2" t="s">
        <v>134</v>
      </c>
      <c r="BV669" s="2" t="s">
        <v>85</v>
      </c>
      <c r="BY669" s="2">
        <v>1200</v>
      </c>
      <c r="CA669" s="2" t="s">
        <v>135</v>
      </c>
      <c r="CC669" s="2" t="s">
        <v>132</v>
      </c>
      <c r="CD669" s="2">
        <v>4302</v>
      </c>
      <c r="CE669" s="2" t="s">
        <v>120</v>
      </c>
      <c r="CF669" s="3">
        <v>43076</v>
      </c>
      <c r="CI669" s="2">
        <v>1</v>
      </c>
      <c r="CJ669" s="2">
        <v>1</v>
      </c>
      <c r="CK669" s="2">
        <v>21</v>
      </c>
      <c r="CL669" s="2" t="s">
        <v>89</v>
      </c>
    </row>
    <row r="670" spans="1:90">
      <c r="A670" s="2" t="s">
        <v>71</v>
      </c>
      <c r="B670" s="2" t="s">
        <v>72</v>
      </c>
      <c r="C670" s="2" t="s">
        <v>73</v>
      </c>
      <c r="E670" s="2" t="str">
        <f>"FES1162594025"</f>
        <v>FES1162594025</v>
      </c>
      <c r="F670" s="3">
        <v>43074</v>
      </c>
      <c r="G670" s="2">
        <v>201806</v>
      </c>
      <c r="H670" s="2" t="s">
        <v>74</v>
      </c>
      <c r="I670" s="2" t="s">
        <v>75</v>
      </c>
      <c r="J670" s="2" t="s">
        <v>97</v>
      </c>
      <c r="K670" s="2" t="s">
        <v>77</v>
      </c>
      <c r="L670" s="2" t="s">
        <v>168</v>
      </c>
      <c r="M670" s="2" t="s">
        <v>169</v>
      </c>
      <c r="N670" s="2" t="s">
        <v>1188</v>
      </c>
      <c r="O670" s="2" t="s">
        <v>101</v>
      </c>
      <c r="P670" s="2" t="str">
        <f>"2170605971                    "</f>
        <v xml:space="preserve">2170605971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5.65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1</v>
      </c>
      <c r="BJ670" s="2">
        <v>0.2</v>
      </c>
      <c r="BK670" s="2">
        <v>1</v>
      </c>
      <c r="BL670" s="2">
        <v>45.15</v>
      </c>
      <c r="BM670" s="2">
        <v>6.32</v>
      </c>
      <c r="BN670" s="2">
        <v>51.47</v>
      </c>
      <c r="BO670" s="2">
        <v>51.47</v>
      </c>
      <c r="BQ670" s="2" t="s">
        <v>1189</v>
      </c>
      <c r="BR670" s="2" t="s">
        <v>103</v>
      </c>
      <c r="BS670" s="3">
        <v>43075</v>
      </c>
      <c r="BT670" s="4">
        <v>0.42222222222222222</v>
      </c>
      <c r="BU670" s="2" t="s">
        <v>1190</v>
      </c>
      <c r="BV670" s="2" t="s">
        <v>85</v>
      </c>
      <c r="BY670" s="2">
        <v>1200</v>
      </c>
      <c r="CA670" s="2" t="s">
        <v>220</v>
      </c>
      <c r="CC670" s="2" t="s">
        <v>169</v>
      </c>
      <c r="CD670" s="2">
        <v>3610</v>
      </c>
      <c r="CE670" s="2" t="s">
        <v>120</v>
      </c>
      <c r="CF670" s="3">
        <v>43076</v>
      </c>
      <c r="CI670" s="2">
        <v>1</v>
      </c>
      <c r="CJ670" s="2">
        <v>1</v>
      </c>
      <c r="CK670" s="2">
        <v>21</v>
      </c>
      <c r="CL670" s="2" t="s">
        <v>89</v>
      </c>
    </row>
    <row r="671" spans="1:90">
      <c r="A671" s="2" t="s">
        <v>71</v>
      </c>
      <c r="B671" s="2" t="s">
        <v>72</v>
      </c>
      <c r="C671" s="2" t="s">
        <v>73</v>
      </c>
      <c r="E671" s="2" t="str">
        <f>"FES1162594012"</f>
        <v>FES1162594012</v>
      </c>
      <c r="F671" s="3">
        <v>43074</v>
      </c>
      <c r="G671" s="2">
        <v>201806</v>
      </c>
      <c r="H671" s="2" t="s">
        <v>74</v>
      </c>
      <c r="I671" s="2" t="s">
        <v>75</v>
      </c>
      <c r="J671" s="2" t="s">
        <v>97</v>
      </c>
      <c r="K671" s="2" t="s">
        <v>77</v>
      </c>
      <c r="L671" s="2" t="s">
        <v>136</v>
      </c>
      <c r="M671" s="2" t="s">
        <v>137</v>
      </c>
      <c r="N671" s="2" t="s">
        <v>138</v>
      </c>
      <c r="O671" s="2" t="s">
        <v>101</v>
      </c>
      <c r="P671" s="2" t="str">
        <f>"2170959724                    "</f>
        <v xml:space="preserve">2170959724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5.65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</v>
      </c>
      <c r="BJ671" s="2">
        <v>1.3</v>
      </c>
      <c r="BK671" s="2">
        <v>1.5</v>
      </c>
      <c r="BL671" s="2">
        <v>45.15</v>
      </c>
      <c r="BM671" s="2">
        <v>6.32</v>
      </c>
      <c r="BN671" s="2">
        <v>51.47</v>
      </c>
      <c r="BO671" s="2">
        <v>51.47</v>
      </c>
      <c r="BQ671" s="2" t="s">
        <v>82</v>
      </c>
      <c r="BR671" s="2" t="s">
        <v>103</v>
      </c>
      <c r="BS671" s="3">
        <v>43075</v>
      </c>
      <c r="BT671" s="4">
        <v>0.41666666666666669</v>
      </c>
      <c r="BU671" s="2" t="s">
        <v>139</v>
      </c>
      <c r="BV671" s="2" t="s">
        <v>85</v>
      </c>
      <c r="BY671" s="2">
        <v>6268.64</v>
      </c>
      <c r="CA671" s="2" t="s">
        <v>140</v>
      </c>
      <c r="CC671" s="2" t="s">
        <v>137</v>
      </c>
      <c r="CD671" s="2">
        <v>6001</v>
      </c>
      <c r="CE671" s="2" t="s">
        <v>95</v>
      </c>
      <c r="CF671" s="3">
        <v>43076</v>
      </c>
      <c r="CI671" s="2">
        <v>1</v>
      </c>
      <c r="CJ671" s="2">
        <v>1</v>
      </c>
      <c r="CK671" s="2">
        <v>21</v>
      </c>
      <c r="CL671" s="2" t="s">
        <v>89</v>
      </c>
    </row>
    <row r="672" spans="1:90">
      <c r="A672" s="2" t="s">
        <v>71</v>
      </c>
      <c r="B672" s="2" t="s">
        <v>72</v>
      </c>
      <c r="C672" s="2" t="s">
        <v>73</v>
      </c>
      <c r="E672" s="2" t="str">
        <f>"FES1162593936"</f>
        <v>FES1162593936</v>
      </c>
      <c r="F672" s="3">
        <v>43074</v>
      </c>
      <c r="G672" s="2">
        <v>201806</v>
      </c>
      <c r="H672" s="2" t="s">
        <v>74</v>
      </c>
      <c r="I672" s="2" t="s">
        <v>75</v>
      </c>
      <c r="J672" s="2" t="s">
        <v>97</v>
      </c>
      <c r="K672" s="2" t="s">
        <v>77</v>
      </c>
      <c r="L672" s="2" t="s">
        <v>173</v>
      </c>
      <c r="M672" s="2" t="s">
        <v>174</v>
      </c>
      <c r="N672" s="2" t="s">
        <v>433</v>
      </c>
      <c r="O672" s="2" t="s">
        <v>101</v>
      </c>
      <c r="P672" s="2" t="str">
        <f>"2170605937                    "</f>
        <v xml:space="preserve">2170605937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7.06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2.2000000000000002</v>
      </c>
      <c r="BJ672" s="2">
        <v>0.9</v>
      </c>
      <c r="BK672" s="2">
        <v>2.5</v>
      </c>
      <c r="BL672" s="2">
        <v>56.43</v>
      </c>
      <c r="BM672" s="2">
        <v>7.9</v>
      </c>
      <c r="BN672" s="2">
        <v>64.33</v>
      </c>
      <c r="BO672" s="2">
        <v>64.33</v>
      </c>
      <c r="BQ672" s="2" t="s">
        <v>102</v>
      </c>
      <c r="BR672" s="2" t="s">
        <v>103</v>
      </c>
      <c r="BS672" s="3">
        <v>43075</v>
      </c>
      <c r="BT672" s="4">
        <v>0.6958333333333333</v>
      </c>
      <c r="BU672" s="2" t="s">
        <v>434</v>
      </c>
      <c r="BV672" s="2" t="s">
        <v>89</v>
      </c>
      <c r="BW672" s="2" t="s">
        <v>149</v>
      </c>
      <c r="BX672" s="2" t="s">
        <v>368</v>
      </c>
      <c r="BY672" s="2">
        <v>4511.66</v>
      </c>
      <c r="CA672" s="2" t="s">
        <v>177</v>
      </c>
      <c r="CC672" s="2" t="s">
        <v>174</v>
      </c>
      <c r="CD672" s="2">
        <v>7441</v>
      </c>
      <c r="CE672" s="2" t="s">
        <v>95</v>
      </c>
      <c r="CF672" s="3">
        <v>43076</v>
      </c>
      <c r="CI672" s="2">
        <v>1</v>
      </c>
      <c r="CJ672" s="2">
        <v>1</v>
      </c>
      <c r="CK672" s="2">
        <v>21</v>
      </c>
      <c r="CL672" s="2" t="s">
        <v>89</v>
      </c>
    </row>
    <row r="673" spans="1:90">
      <c r="A673" s="2" t="s">
        <v>71</v>
      </c>
      <c r="B673" s="2" t="s">
        <v>72</v>
      </c>
      <c r="C673" s="2" t="s">
        <v>73</v>
      </c>
      <c r="E673" s="2" t="str">
        <f>"FES1162593976"</f>
        <v>FES1162593976</v>
      </c>
      <c r="F673" s="3">
        <v>43074</v>
      </c>
      <c r="G673" s="2">
        <v>201806</v>
      </c>
      <c r="H673" s="2" t="s">
        <v>74</v>
      </c>
      <c r="I673" s="2" t="s">
        <v>75</v>
      </c>
      <c r="J673" s="2" t="s">
        <v>97</v>
      </c>
      <c r="K673" s="2" t="s">
        <v>77</v>
      </c>
      <c r="L673" s="2" t="s">
        <v>136</v>
      </c>
      <c r="M673" s="2" t="s">
        <v>137</v>
      </c>
      <c r="N673" s="2" t="s">
        <v>138</v>
      </c>
      <c r="O673" s="2" t="s">
        <v>101</v>
      </c>
      <c r="P673" s="2" t="str">
        <f>"2170600690                    "</f>
        <v xml:space="preserve">2170600690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12.71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3</v>
      </c>
      <c r="BJ673" s="2">
        <v>4.0999999999999996</v>
      </c>
      <c r="BK673" s="2">
        <v>4.5</v>
      </c>
      <c r="BL673" s="2">
        <v>101.56</v>
      </c>
      <c r="BM673" s="2">
        <v>14.22</v>
      </c>
      <c r="BN673" s="2">
        <v>115.78</v>
      </c>
      <c r="BO673" s="2">
        <v>115.78</v>
      </c>
      <c r="BQ673" s="2" t="s">
        <v>82</v>
      </c>
      <c r="BR673" s="2" t="s">
        <v>103</v>
      </c>
      <c r="BS673" s="3">
        <v>43075</v>
      </c>
      <c r="BT673" s="4">
        <v>0.41666666666666669</v>
      </c>
      <c r="BU673" s="2" t="s">
        <v>139</v>
      </c>
      <c r="BV673" s="2" t="s">
        <v>85</v>
      </c>
      <c r="BY673" s="2">
        <v>20358</v>
      </c>
      <c r="CA673" s="2" t="s">
        <v>140</v>
      </c>
      <c r="CC673" s="2" t="s">
        <v>137</v>
      </c>
      <c r="CD673" s="2">
        <v>6001</v>
      </c>
      <c r="CE673" s="2" t="s">
        <v>95</v>
      </c>
      <c r="CF673" s="3">
        <v>43076</v>
      </c>
      <c r="CI673" s="2">
        <v>1</v>
      </c>
      <c r="CJ673" s="2">
        <v>1</v>
      </c>
      <c r="CK673" s="2">
        <v>21</v>
      </c>
      <c r="CL673" s="2" t="s">
        <v>89</v>
      </c>
    </row>
    <row r="674" spans="1:90">
      <c r="A674" s="2" t="s">
        <v>71</v>
      </c>
      <c r="B674" s="2" t="s">
        <v>72</v>
      </c>
      <c r="C674" s="2" t="s">
        <v>73</v>
      </c>
      <c r="E674" s="2" t="str">
        <f>"FES1162593999"</f>
        <v>FES1162593999</v>
      </c>
      <c r="F674" s="3">
        <v>43074</v>
      </c>
      <c r="G674" s="2">
        <v>201806</v>
      </c>
      <c r="H674" s="2" t="s">
        <v>74</v>
      </c>
      <c r="I674" s="2" t="s">
        <v>75</v>
      </c>
      <c r="J674" s="2" t="s">
        <v>97</v>
      </c>
      <c r="K674" s="2" t="s">
        <v>77</v>
      </c>
      <c r="L674" s="2" t="s">
        <v>212</v>
      </c>
      <c r="M674" s="2" t="s">
        <v>212</v>
      </c>
      <c r="N674" s="2" t="s">
        <v>370</v>
      </c>
      <c r="O674" s="2" t="s">
        <v>101</v>
      </c>
      <c r="P674" s="2" t="str">
        <f>"2170603606                    "</f>
        <v xml:space="preserve">2170603606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5.65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0.7</v>
      </c>
      <c r="BJ674" s="2">
        <v>1.3</v>
      </c>
      <c r="BK674" s="2">
        <v>1.5</v>
      </c>
      <c r="BL674" s="2">
        <v>45.15</v>
      </c>
      <c r="BM674" s="2">
        <v>6.32</v>
      </c>
      <c r="BN674" s="2">
        <v>51.47</v>
      </c>
      <c r="BO674" s="2">
        <v>51.47</v>
      </c>
      <c r="BQ674" s="2" t="s">
        <v>102</v>
      </c>
      <c r="BR674" s="2" t="s">
        <v>103</v>
      </c>
      <c r="BS674" s="3">
        <v>43075</v>
      </c>
      <c r="BT674" s="4">
        <v>0.57638888888888895</v>
      </c>
      <c r="BU674" s="2" t="s">
        <v>1119</v>
      </c>
      <c r="BV674" s="2" t="s">
        <v>85</v>
      </c>
      <c r="BY674" s="2">
        <v>6522.87</v>
      </c>
      <c r="CA674" s="2" t="s">
        <v>1108</v>
      </c>
      <c r="CC674" s="2" t="s">
        <v>212</v>
      </c>
      <c r="CD674" s="2">
        <v>7646</v>
      </c>
      <c r="CE674" s="2" t="s">
        <v>95</v>
      </c>
      <c r="CF674" s="3">
        <v>43075</v>
      </c>
      <c r="CI674" s="2">
        <v>1</v>
      </c>
      <c r="CJ674" s="2">
        <v>1</v>
      </c>
      <c r="CK674" s="2">
        <v>21</v>
      </c>
      <c r="CL674" s="2" t="s">
        <v>89</v>
      </c>
    </row>
    <row r="675" spans="1:90">
      <c r="A675" s="2" t="s">
        <v>71</v>
      </c>
      <c r="B675" s="2" t="s">
        <v>72</v>
      </c>
      <c r="C675" s="2" t="s">
        <v>73</v>
      </c>
      <c r="E675" s="2" t="str">
        <f>"FES1162593986"</f>
        <v>FES1162593986</v>
      </c>
      <c r="F675" s="3">
        <v>43074</v>
      </c>
      <c r="G675" s="2">
        <v>201806</v>
      </c>
      <c r="H675" s="2" t="s">
        <v>74</v>
      </c>
      <c r="I675" s="2" t="s">
        <v>75</v>
      </c>
      <c r="J675" s="2" t="s">
        <v>97</v>
      </c>
      <c r="K675" s="2" t="s">
        <v>77</v>
      </c>
      <c r="L675" s="2" t="s">
        <v>136</v>
      </c>
      <c r="M675" s="2" t="s">
        <v>137</v>
      </c>
      <c r="N675" s="2" t="s">
        <v>138</v>
      </c>
      <c r="O675" s="2" t="s">
        <v>101</v>
      </c>
      <c r="P675" s="2" t="str">
        <f>"217060196                     "</f>
        <v xml:space="preserve">217060196 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8.4700000000000006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</v>
      </c>
      <c r="BJ675" s="2">
        <v>2.9</v>
      </c>
      <c r="BK675" s="2">
        <v>3</v>
      </c>
      <c r="BL675" s="2">
        <v>67.709999999999994</v>
      </c>
      <c r="BM675" s="2">
        <v>9.48</v>
      </c>
      <c r="BN675" s="2">
        <v>77.19</v>
      </c>
      <c r="BO675" s="2">
        <v>77.19</v>
      </c>
      <c r="BQ675" s="2" t="s">
        <v>82</v>
      </c>
      <c r="BR675" s="2" t="s">
        <v>103</v>
      </c>
      <c r="BS675" s="3">
        <v>43075</v>
      </c>
      <c r="BT675" s="4">
        <v>0.41666666666666669</v>
      </c>
      <c r="BU675" s="2" t="s">
        <v>139</v>
      </c>
      <c r="BV675" s="2" t="s">
        <v>85</v>
      </c>
      <c r="BY675" s="2">
        <v>14700</v>
      </c>
      <c r="CA675" s="2" t="s">
        <v>140</v>
      </c>
      <c r="CC675" s="2" t="s">
        <v>137</v>
      </c>
      <c r="CD675" s="2">
        <v>6001</v>
      </c>
      <c r="CE675" s="2" t="s">
        <v>95</v>
      </c>
      <c r="CF675" s="3">
        <v>43076</v>
      </c>
      <c r="CI675" s="2">
        <v>1</v>
      </c>
      <c r="CJ675" s="2">
        <v>1</v>
      </c>
      <c r="CK675" s="2">
        <v>21</v>
      </c>
      <c r="CL675" s="2" t="s">
        <v>89</v>
      </c>
    </row>
    <row r="676" spans="1:90">
      <c r="A676" s="2" t="s">
        <v>71</v>
      </c>
      <c r="B676" s="2" t="s">
        <v>72</v>
      </c>
      <c r="C676" s="2" t="s">
        <v>73</v>
      </c>
      <c r="E676" s="2" t="str">
        <f>"FES1162593980"</f>
        <v>FES1162593980</v>
      </c>
      <c r="F676" s="3">
        <v>43074</v>
      </c>
      <c r="G676" s="2">
        <v>201806</v>
      </c>
      <c r="H676" s="2" t="s">
        <v>74</v>
      </c>
      <c r="I676" s="2" t="s">
        <v>75</v>
      </c>
      <c r="J676" s="2" t="s">
        <v>97</v>
      </c>
      <c r="K676" s="2" t="s">
        <v>77</v>
      </c>
      <c r="L676" s="2" t="s">
        <v>173</v>
      </c>
      <c r="M676" s="2" t="s">
        <v>174</v>
      </c>
      <c r="N676" s="2" t="s">
        <v>357</v>
      </c>
      <c r="O676" s="2" t="s">
        <v>101</v>
      </c>
      <c r="P676" s="2" t="str">
        <f>"2170601298                    "</f>
        <v xml:space="preserve">2170601298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5.65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0.4</v>
      </c>
      <c r="BJ676" s="2">
        <v>1.3</v>
      </c>
      <c r="BK676" s="2">
        <v>1.5</v>
      </c>
      <c r="BL676" s="2">
        <v>45.15</v>
      </c>
      <c r="BM676" s="2">
        <v>6.32</v>
      </c>
      <c r="BN676" s="2">
        <v>51.47</v>
      </c>
      <c r="BO676" s="2">
        <v>51.47</v>
      </c>
      <c r="BQ676" s="2" t="s">
        <v>358</v>
      </c>
      <c r="BR676" s="2" t="s">
        <v>103</v>
      </c>
      <c r="BS676" s="3">
        <v>43075</v>
      </c>
      <c r="BT676" s="4">
        <v>0.58124999999999993</v>
      </c>
      <c r="BU676" s="2" t="s">
        <v>359</v>
      </c>
      <c r="BV676" s="2" t="s">
        <v>89</v>
      </c>
      <c r="BW676" s="2" t="s">
        <v>149</v>
      </c>
      <c r="BX676" s="2" t="s">
        <v>411</v>
      </c>
      <c r="BY676" s="2">
        <v>6345.26</v>
      </c>
      <c r="CA676" s="2" t="s">
        <v>360</v>
      </c>
      <c r="CC676" s="2" t="s">
        <v>174</v>
      </c>
      <c r="CD676" s="2">
        <v>7405</v>
      </c>
      <c r="CE676" s="2" t="s">
        <v>95</v>
      </c>
      <c r="CF676" s="3">
        <v>43076</v>
      </c>
      <c r="CI676" s="2">
        <v>1</v>
      </c>
      <c r="CJ676" s="2">
        <v>1</v>
      </c>
      <c r="CK676" s="2">
        <v>21</v>
      </c>
      <c r="CL676" s="2" t="s">
        <v>89</v>
      </c>
    </row>
    <row r="677" spans="1:90">
      <c r="A677" s="2" t="s">
        <v>71</v>
      </c>
      <c r="B677" s="2" t="s">
        <v>72</v>
      </c>
      <c r="C677" s="2" t="s">
        <v>73</v>
      </c>
      <c r="E677" s="2" t="str">
        <f>"FES1162593742"</f>
        <v>FES1162593742</v>
      </c>
      <c r="F677" s="3">
        <v>43074</v>
      </c>
      <c r="G677" s="2">
        <v>201806</v>
      </c>
      <c r="H677" s="2" t="s">
        <v>74</v>
      </c>
      <c r="I677" s="2" t="s">
        <v>75</v>
      </c>
      <c r="J677" s="2" t="s">
        <v>97</v>
      </c>
      <c r="K677" s="2" t="s">
        <v>77</v>
      </c>
      <c r="L677" s="2" t="s">
        <v>158</v>
      </c>
      <c r="M677" s="2" t="s">
        <v>159</v>
      </c>
      <c r="N677" s="2" t="s">
        <v>1191</v>
      </c>
      <c r="O677" s="2" t="s">
        <v>101</v>
      </c>
      <c r="P677" s="2" t="str">
        <f>"2170605820                    "</f>
        <v xml:space="preserve">2170605820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5.65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</v>
      </c>
      <c r="BJ677" s="2">
        <v>0.2</v>
      </c>
      <c r="BK677" s="2">
        <v>1</v>
      </c>
      <c r="BL677" s="2">
        <v>45.15</v>
      </c>
      <c r="BM677" s="2">
        <v>6.32</v>
      </c>
      <c r="BN677" s="2">
        <v>51.47</v>
      </c>
      <c r="BO677" s="2">
        <v>51.47</v>
      </c>
      <c r="BQ677" s="2" t="s">
        <v>1192</v>
      </c>
      <c r="BR677" s="2" t="s">
        <v>103</v>
      </c>
      <c r="BS677" s="3">
        <v>43075</v>
      </c>
      <c r="BT677" s="4">
        <v>0.47569444444444442</v>
      </c>
      <c r="BU677" s="2" t="s">
        <v>1193</v>
      </c>
      <c r="BV677" s="2" t="s">
        <v>89</v>
      </c>
      <c r="BW677" s="2" t="s">
        <v>156</v>
      </c>
      <c r="BX677" s="2" t="s">
        <v>968</v>
      </c>
      <c r="BY677" s="2">
        <v>1200</v>
      </c>
      <c r="CC677" s="2" t="s">
        <v>159</v>
      </c>
      <c r="CD677" s="2">
        <v>200</v>
      </c>
      <c r="CE677" s="2" t="s">
        <v>120</v>
      </c>
      <c r="CF677" s="3">
        <v>43077</v>
      </c>
      <c r="CI677" s="2">
        <v>1</v>
      </c>
      <c r="CJ677" s="2">
        <v>1</v>
      </c>
      <c r="CK677" s="2">
        <v>21</v>
      </c>
      <c r="CL677" s="2" t="s">
        <v>89</v>
      </c>
    </row>
    <row r="678" spans="1:90">
      <c r="A678" s="2" t="s">
        <v>71</v>
      </c>
      <c r="B678" s="2" t="s">
        <v>72</v>
      </c>
      <c r="C678" s="2" t="s">
        <v>73</v>
      </c>
      <c r="E678" s="2" t="str">
        <f>"FES1162593805"</f>
        <v>FES1162593805</v>
      </c>
      <c r="F678" s="3">
        <v>43074</v>
      </c>
      <c r="G678" s="2">
        <v>201806</v>
      </c>
      <c r="H678" s="2" t="s">
        <v>74</v>
      </c>
      <c r="I678" s="2" t="s">
        <v>75</v>
      </c>
      <c r="J678" s="2" t="s">
        <v>97</v>
      </c>
      <c r="K678" s="2" t="s">
        <v>77</v>
      </c>
      <c r="L678" s="2" t="s">
        <v>1194</v>
      </c>
      <c r="M678" s="2" t="s">
        <v>1195</v>
      </c>
      <c r="N678" s="2" t="s">
        <v>1196</v>
      </c>
      <c r="O678" s="2" t="s">
        <v>101</v>
      </c>
      <c r="P678" s="2" t="str">
        <f>"2170605365                    "</f>
        <v xml:space="preserve">2170605365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10.94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1</v>
      </c>
      <c r="BJ678" s="2">
        <v>0.2</v>
      </c>
      <c r="BK678" s="2">
        <v>1</v>
      </c>
      <c r="BL678" s="2">
        <v>87.47</v>
      </c>
      <c r="BM678" s="2">
        <v>12.25</v>
      </c>
      <c r="BN678" s="2">
        <v>99.72</v>
      </c>
      <c r="BO678" s="2">
        <v>99.72</v>
      </c>
      <c r="BQ678" s="2" t="s">
        <v>128</v>
      </c>
      <c r="BR678" s="2" t="s">
        <v>103</v>
      </c>
      <c r="BS678" s="3">
        <v>43076</v>
      </c>
      <c r="BT678" s="4">
        <v>0.65625</v>
      </c>
      <c r="BU678" s="2" t="s">
        <v>1197</v>
      </c>
      <c r="BV678" s="2" t="s">
        <v>85</v>
      </c>
      <c r="BY678" s="2">
        <v>1200</v>
      </c>
      <c r="CA678" s="2" t="s">
        <v>1198</v>
      </c>
      <c r="CC678" s="2" t="s">
        <v>1195</v>
      </c>
      <c r="CD678" s="2">
        <v>7390</v>
      </c>
      <c r="CE678" s="2" t="s">
        <v>120</v>
      </c>
      <c r="CF678" s="3">
        <v>43080</v>
      </c>
      <c r="CI678" s="2">
        <v>3</v>
      </c>
      <c r="CJ678" s="2">
        <v>2</v>
      </c>
      <c r="CK678" s="2">
        <v>23</v>
      </c>
      <c r="CL678" s="2" t="s">
        <v>89</v>
      </c>
    </row>
    <row r="679" spans="1:90">
      <c r="A679" s="2" t="s">
        <v>71</v>
      </c>
      <c r="B679" s="2" t="s">
        <v>72</v>
      </c>
      <c r="C679" s="2" t="s">
        <v>73</v>
      </c>
      <c r="E679" s="2" t="str">
        <f>"FES1162593800"</f>
        <v>FES1162593800</v>
      </c>
      <c r="F679" s="3">
        <v>43074</v>
      </c>
      <c r="G679" s="2">
        <v>201806</v>
      </c>
      <c r="H679" s="2" t="s">
        <v>74</v>
      </c>
      <c r="I679" s="2" t="s">
        <v>75</v>
      </c>
      <c r="J679" s="2" t="s">
        <v>97</v>
      </c>
      <c r="K679" s="2" t="s">
        <v>77</v>
      </c>
      <c r="L679" s="2" t="s">
        <v>173</v>
      </c>
      <c r="M679" s="2" t="s">
        <v>174</v>
      </c>
      <c r="N679" s="2" t="s">
        <v>232</v>
      </c>
      <c r="O679" s="2" t="s">
        <v>101</v>
      </c>
      <c r="P679" s="2" t="str">
        <f>"2170605045                    "</f>
        <v xml:space="preserve">2170605045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5.65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45.15</v>
      </c>
      <c r="BM679" s="2">
        <v>6.32</v>
      </c>
      <c r="BN679" s="2">
        <v>51.47</v>
      </c>
      <c r="BO679" s="2">
        <v>51.47</v>
      </c>
      <c r="BQ679" s="2" t="s">
        <v>102</v>
      </c>
      <c r="BR679" s="2" t="s">
        <v>103</v>
      </c>
      <c r="BS679" s="3">
        <v>43075</v>
      </c>
      <c r="BT679" s="4">
        <v>0.39999999999999997</v>
      </c>
      <c r="BU679" s="2" t="s">
        <v>1199</v>
      </c>
      <c r="BV679" s="2" t="s">
        <v>85</v>
      </c>
      <c r="BY679" s="2">
        <v>1200</v>
      </c>
      <c r="CA679" s="2" t="s">
        <v>234</v>
      </c>
      <c r="CC679" s="2" t="s">
        <v>174</v>
      </c>
      <c r="CD679" s="2">
        <v>7530</v>
      </c>
      <c r="CE679" s="2" t="s">
        <v>120</v>
      </c>
      <c r="CF679" s="3">
        <v>43076</v>
      </c>
      <c r="CI679" s="2">
        <v>1</v>
      </c>
      <c r="CJ679" s="2">
        <v>1</v>
      </c>
      <c r="CK679" s="2">
        <v>21</v>
      </c>
      <c r="CL679" s="2" t="s">
        <v>89</v>
      </c>
    </row>
    <row r="680" spans="1:90">
      <c r="A680" s="2" t="s">
        <v>71</v>
      </c>
      <c r="B680" s="2" t="s">
        <v>72</v>
      </c>
      <c r="C680" s="2" t="s">
        <v>73</v>
      </c>
      <c r="E680" s="2" t="str">
        <f>"FES1162593824"</f>
        <v>FES1162593824</v>
      </c>
      <c r="F680" s="3">
        <v>43074</v>
      </c>
      <c r="G680" s="2">
        <v>201806</v>
      </c>
      <c r="H680" s="2" t="s">
        <v>74</v>
      </c>
      <c r="I680" s="2" t="s">
        <v>75</v>
      </c>
      <c r="J680" s="2" t="s">
        <v>97</v>
      </c>
      <c r="K680" s="2" t="s">
        <v>77</v>
      </c>
      <c r="L680" s="2" t="s">
        <v>136</v>
      </c>
      <c r="M680" s="2" t="s">
        <v>137</v>
      </c>
      <c r="N680" s="2" t="s">
        <v>918</v>
      </c>
      <c r="O680" s="2" t="s">
        <v>101</v>
      </c>
      <c r="P680" s="2" t="str">
        <f>"2170605874                    "</f>
        <v xml:space="preserve">2170605874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5.65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45.15</v>
      </c>
      <c r="BM680" s="2">
        <v>6.32</v>
      </c>
      <c r="BN680" s="2">
        <v>51.47</v>
      </c>
      <c r="BO680" s="2">
        <v>51.47</v>
      </c>
      <c r="BQ680" s="2" t="s">
        <v>128</v>
      </c>
      <c r="BR680" s="2" t="s">
        <v>103</v>
      </c>
      <c r="BS680" s="3">
        <v>43075</v>
      </c>
      <c r="BT680" s="4">
        <v>0.3125</v>
      </c>
      <c r="BU680" s="2" t="s">
        <v>965</v>
      </c>
      <c r="BV680" s="2" t="s">
        <v>85</v>
      </c>
      <c r="BY680" s="2">
        <v>1200</v>
      </c>
      <c r="CA680" s="2" t="s">
        <v>140</v>
      </c>
      <c r="CC680" s="2" t="s">
        <v>137</v>
      </c>
      <c r="CD680" s="2">
        <v>6012</v>
      </c>
      <c r="CE680" s="2" t="s">
        <v>120</v>
      </c>
      <c r="CF680" s="3">
        <v>43076</v>
      </c>
      <c r="CI680" s="2">
        <v>1</v>
      </c>
      <c r="CJ680" s="2">
        <v>1</v>
      </c>
      <c r="CK680" s="2">
        <v>21</v>
      </c>
      <c r="CL680" s="2" t="s">
        <v>89</v>
      </c>
    </row>
    <row r="681" spans="1:90">
      <c r="A681" s="2" t="s">
        <v>71</v>
      </c>
      <c r="B681" s="2" t="s">
        <v>72</v>
      </c>
      <c r="C681" s="2" t="s">
        <v>73</v>
      </c>
      <c r="E681" s="2" t="str">
        <f>"FES1162593867"</f>
        <v>FES1162593867</v>
      </c>
      <c r="F681" s="3">
        <v>43074</v>
      </c>
      <c r="G681" s="2">
        <v>201806</v>
      </c>
      <c r="H681" s="2" t="s">
        <v>74</v>
      </c>
      <c r="I681" s="2" t="s">
        <v>75</v>
      </c>
      <c r="J681" s="2" t="s">
        <v>97</v>
      </c>
      <c r="K681" s="2" t="s">
        <v>77</v>
      </c>
      <c r="L681" s="2" t="s">
        <v>262</v>
      </c>
      <c r="M681" s="2" t="s">
        <v>263</v>
      </c>
      <c r="N681" s="2" t="s">
        <v>789</v>
      </c>
      <c r="O681" s="2" t="s">
        <v>101</v>
      </c>
      <c r="P681" s="2" t="str">
        <f>"2170605640                    "</f>
        <v xml:space="preserve">2170605640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5.65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45.15</v>
      </c>
      <c r="BM681" s="2">
        <v>6.32</v>
      </c>
      <c r="BN681" s="2">
        <v>51.47</v>
      </c>
      <c r="BO681" s="2">
        <v>51.47</v>
      </c>
      <c r="BQ681" s="2" t="s">
        <v>1200</v>
      </c>
      <c r="BR681" s="2" t="s">
        <v>103</v>
      </c>
      <c r="BS681" s="3">
        <v>43075</v>
      </c>
      <c r="BT681" s="4">
        <v>0.31527777777777777</v>
      </c>
      <c r="BU681" s="2" t="s">
        <v>1201</v>
      </c>
      <c r="BV681" s="2" t="s">
        <v>85</v>
      </c>
      <c r="BY681" s="2">
        <v>1200</v>
      </c>
      <c r="CA681" s="2" t="s">
        <v>1171</v>
      </c>
      <c r="CC681" s="2" t="s">
        <v>263</v>
      </c>
      <c r="CD681" s="2">
        <v>6229</v>
      </c>
      <c r="CE681" s="2" t="s">
        <v>120</v>
      </c>
      <c r="CF681" s="3">
        <v>43076</v>
      </c>
      <c r="CI681" s="2">
        <v>1</v>
      </c>
      <c r="CJ681" s="2">
        <v>1</v>
      </c>
      <c r="CK681" s="2">
        <v>21</v>
      </c>
      <c r="CL681" s="2" t="s">
        <v>89</v>
      </c>
    </row>
    <row r="682" spans="1:90">
      <c r="A682" s="2" t="s">
        <v>71</v>
      </c>
      <c r="B682" s="2" t="s">
        <v>72</v>
      </c>
      <c r="C682" s="2" t="s">
        <v>73</v>
      </c>
      <c r="E682" s="2" t="str">
        <f>"FES1162593664"</f>
        <v>FES1162593664</v>
      </c>
      <c r="F682" s="3">
        <v>43074</v>
      </c>
      <c r="G682" s="2">
        <v>201806</v>
      </c>
      <c r="H682" s="2" t="s">
        <v>74</v>
      </c>
      <c r="I682" s="2" t="s">
        <v>75</v>
      </c>
      <c r="J682" s="2" t="s">
        <v>97</v>
      </c>
      <c r="K682" s="2" t="s">
        <v>77</v>
      </c>
      <c r="L682" s="2" t="s">
        <v>74</v>
      </c>
      <c r="M682" s="2" t="s">
        <v>75</v>
      </c>
      <c r="N682" s="2" t="s">
        <v>201</v>
      </c>
      <c r="O682" s="2" t="s">
        <v>101</v>
      </c>
      <c r="P682" s="2" t="str">
        <f>"2170604493                    "</f>
        <v xml:space="preserve">2170604493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4.41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35.270000000000003</v>
      </c>
      <c r="BM682" s="2">
        <v>4.9400000000000004</v>
      </c>
      <c r="BN682" s="2">
        <v>40.21</v>
      </c>
      <c r="BO682" s="2">
        <v>40.21</v>
      </c>
      <c r="BQ682" s="2" t="s">
        <v>102</v>
      </c>
      <c r="BR682" s="2" t="s">
        <v>103</v>
      </c>
      <c r="BS682" s="3">
        <v>43075</v>
      </c>
      <c r="BT682" s="4">
        <v>0.41666666666666669</v>
      </c>
      <c r="BU682" s="2" t="s">
        <v>202</v>
      </c>
      <c r="BV682" s="2" t="s">
        <v>85</v>
      </c>
      <c r="BY682" s="2">
        <v>1200</v>
      </c>
      <c r="CA682" s="2" t="s">
        <v>203</v>
      </c>
      <c r="CC682" s="2" t="s">
        <v>75</v>
      </c>
      <c r="CD682" s="2">
        <v>1665</v>
      </c>
      <c r="CE682" s="2" t="s">
        <v>120</v>
      </c>
      <c r="CF682" s="3">
        <v>43077</v>
      </c>
      <c r="CI682" s="2">
        <v>1</v>
      </c>
      <c r="CJ682" s="2">
        <v>1</v>
      </c>
      <c r="CK682" s="2">
        <v>22</v>
      </c>
      <c r="CL682" s="2" t="s">
        <v>89</v>
      </c>
    </row>
    <row r="683" spans="1:90">
      <c r="A683" s="2" t="s">
        <v>71</v>
      </c>
      <c r="B683" s="2" t="s">
        <v>72</v>
      </c>
      <c r="C683" s="2" t="s">
        <v>73</v>
      </c>
      <c r="E683" s="2" t="str">
        <f>"FES1162594003"</f>
        <v>FES1162594003</v>
      </c>
      <c r="F683" s="3">
        <v>43074</v>
      </c>
      <c r="G683" s="2">
        <v>201806</v>
      </c>
      <c r="H683" s="2" t="s">
        <v>74</v>
      </c>
      <c r="I683" s="2" t="s">
        <v>75</v>
      </c>
      <c r="J683" s="2" t="s">
        <v>97</v>
      </c>
      <c r="K683" s="2" t="s">
        <v>77</v>
      </c>
      <c r="L683" s="2" t="s">
        <v>173</v>
      </c>
      <c r="M683" s="2" t="s">
        <v>174</v>
      </c>
      <c r="N683" s="2" t="s">
        <v>376</v>
      </c>
      <c r="O683" s="2" t="s">
        <v>101</v>
      </c>
      <c r="P683" s="2" t="str">
        <f>"2170601405                    "</f>
        <v xml:space="preserve">2170601405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14.12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2.7</v>
      </c>
      <c r="BJ683" s="2">
        <v>4.9000000000000004</v>
      </c>
      <c r="BK683" s="2">
        <v>5</v>
      </c>
      <c r="BL683" s="2">
        <v>112.84</v>
      </c>
      <c r="BM683" s="2">
        <v>15.8</v>
      </c>
      <c r="BN683" s="2">
        <v>128.63999999999999</v>
      </c>
      <c r="BO683" s="2">
        <v>128.63999999999999</v>
      </c>
      <c r="BQ683" s="2" t="s">
        <v>102</v>
      </c>
      <c r="BR683" s="2" t="s">
        <v>103</v>
      </c>
      <c r="BS683" s="3">
        <v>43075</v>
      </c>
      <c r="BT683" s="4">
        <v>0.49305555555555558</v>
      </c>
      <c r="BU683" s="2" t="s">
        <v>1202</v>
      </c>
      <c r="BV683" s="2" t="s">
        <v>89</v>
      </c>
      <c r="BW683" s="2" t="s">
        <v>149</v>
      </c>
      <c r="BX683" s="2" t="s">
        <v>368</v>
      </c>
      <c r="BY683" s="2">
        <v>24691.81</v>
      </c>
      <c r="CA683" s="2" t="s">
        <v>378</v>
      </c>
      <c r="CC683" s="2" t="s">
        <v>174</v>
      </c>
      <c r="CD683" s="2">
        <v>7490</v>
      </c>
      <c r="CE683" s="2" t="s">
        <v>87</v>
      </c>
      <c r="CF683" s="3">
        <v>43076</v>
      </c>
      <c r="CI683" s="2">
        <v>1</v>
      </c>
      <c r="CJ683" s="2">
        <v>1</v>
      </c>
      <c r="CK683" s="2">
        <v>21</v>
      </c>
      <c r="CL683" s="2" t="s">
        <v>89</v>
      </c>
    </row>
    <row r="684" spans="1:90">
      <c r="A684" s="2" t="s">
        <v>71</v>
      </c>
      <c r="B684" s="2" t="s">
        <v>72</v>
      </c>
      <c r="C684" s="2" t="s">
        <v>73</v>
      </c>
      <c r="E684" s="2" t="str">
        <f>"FES1162594023"</f>
        <v>FES1162594023</v>
      </c>
      <c r="F684" s="3">
        <v>43074</v>
      </c>
      <c r="G684" s="2">
        <v>201806</v>
      </c>
      <c r="H684" s="2" t="s">
        <v>74</v>
      </c>
      <c r="I684" s="2" t="s">
        <v>75</v>
      </c>
      <c r="J684" s="2" t="s">
        <v>97</v>
      </c>
      <c r="K684" s="2" t="s">
        <v>77</v>
      </c>
      <c r="L684" s="2" t="s">
        <v>844</v>
      </c>
      <c r="M684" s="2" t="s">
        <v>844</v>
      </c>
      <c r="N684" s="2" t="s">
        <v>845</v>
      </c>
      <c r="O684" s="2" t="s">
        <v>101</v>
      </c>
      <c r="P684" s="2" t="str">
        <f>"21706034                      "</f>
        <v xml:space="preserve">21706034  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12.71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4.2</v>
      </c>
      <c r="BJ684" s="2">
        <v>3.9</v>
      </c>
      <c r="BK684" s="2">
        <v>4.5</v>
      </c>
      <c r="BL684" s="2">
        <v>101.56</v>
      </c>
      <c r="BM684" s="2">
        <v>14.22</v>
      </c>
      <c r="BN684" s="2">
        <v>115.78</v>
      </c>
      <c r="BO684" s="2">
        <v>115.78</v>
      </c>
      <c r="BQ684" s="2" t="s">
        <v>187</v>
      </c>
      <c r="BR684" s="2" t="s">
        <v>103</v>
      </c>
      <c r="BS684" s="3">
        <v>43076</v>
      </c>
      <c r="BT684" s="4">
        <v>0.62291666666666667</v>
      </c>
      <c r="BU684" s="2" t="s">
        <v>1203</v>
      </c>
      <c r="BV684" s="2" t="s">
        <v>85</v>
      </c>
      <c r="BY684" s="2">
        <v>19335.310000000001</v>
      </c>
      <c r="CA684" s="2" t="s">
        <v>847</v>
      </c>
      <c r="CC684" s="2" t="s">
        <v>844</v>
      </c>
      <c r="CD684" s="2">
        <v>6835</v>
      </c>
      <c r="CE684" s="2" t="s">
        <v>95</v>
      </c>
      <c r="CF684" s="3">
        <v>43080</v>
      </c>
      <c r="CI684" s="2">
        <v>3</v>
      </c>
      <c r="CJ684" s="2">
        <v>2</v>
      </c>
      <c r="CK684" s="2">
        <v>21</v>
      </c>
      <c r="CL684" s="2" t="s">
        <v>89</v>
      </c>
    </row>
    <row r="685" spans="1:90">
      <c r="A685" s="2" t="s">
        <v>71</v>
      </c>
      <c r="B685" s="2" t="s">
        <v>72</v>
      </c>
      <c r="C685" s="2" t="s">
        <v>73</v>
      </c>
      <c r="E685" s="2" t="str">
        <f>"FES1162593900"</f>
        <v>FES1162593900</v>
      </c>
      <c r="F685" s="3">
        <v>43074</v>
      </c>
      <c r="G685" s="2">
        <v>201806</v>
      </c>
      <c r="H685" s="2" t="s">
        <v>74</v>
      </c>
      <c r="I685" s="2" t="s">
        <v>75</v>
      </c>
      <c r="J685" s="2" t="s">
        <v>97</v>
      </c>
      <c r="K685" s="2" t="s">
        <v>77</v>
      </c>
      <c r="L685" s="2" t="s">
        <v>136</v>
      </c>
      <c r="M685" s="2" t="s">
        <v>137</v>
      </c>
      <c r="N685" s="2" t="s">
        <v>1204</v>
      </c>
      <c r="O685" s="2" t="s">
        <v>101</v>
      </c>
      <c r="P685" s="2" t="str">
        <f>"2170605935                    "</f>
        <v xml:space="preserve">2170605935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5.65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0.2</v>
      </c>
      <c r="BK685" s="2">
        <v>1</v>
      </c>
      <c r="BL685" s="2">
        <v>45.15</v>
      </c>
      <c r="BM685" s="2">
        <v>6.32</v>
      </c>
      <c r="BN685" s="2">
        <v>51.47</v>
      </c>
      <c r="BO685" s="2">
        <v>51.47</v>
      </c>
      <c r="BQ685" s="2" t="s">
        <v>102</v>
      </c>
      <c r="BR685" s="2" t="s">
        <v>103</v>
      </c>
      <c r="BS685" s="3">
        <v>43075</v>
      </c>
      <c r="BT685" s="4">
        <v>0.3611111111111111</v>
      </c>
      <c r="BU685" s="2" t="s">
        <v>1205</v>
      </c>
      <c r="BV685" s="2" t="s">
        <v>85</v>
      </c>
      <c r="BY685" s="2">
        <v>1200</v>
      </c>
      <c r="CA685" s="2" t="s">
        <v>140</v>
      </c>
      <c r="CC685" s="2" t="s">
        <v>137</v>
      </c>
      <c r="CD685" s="2">
        <v>6001</v>
      </c>
      <c r="CE685" s="2" t="s">
        <v>120</v>
      </c>
      <c r="CF685" s="3">
        <v>43076</v>
      </c>
      <c r="CI685" s="2">
        <v>1</v>
      </c>
      <c r="CJ685" s="2">
        <v>1</v>
      </c>
      <c r="CK685" s="2">
        <v>21</v>
      </c>
      <c r="CL685" s="2" t="s">
        <v>89</v>
      </c>
    </row>
    <row r="686" spans="1:90">
      <c r="A686" s="2" t="s">
        <v>71</v>
      </c>
      <c r="B686" s="2" t="s">
        <v>72</v>
      </c>
      <c r="C686" s="2" t="s">
        <v>73</v>
      </c>
      <c r="E686" s="2" t="str">
        <f>"FES1162594030"</f>
        <v>FES1162594030</v>
      </c>
      <c r="F686" s="3">
        <v>43074</v>
      </c>
      <c r="G686" s="2">
        <v>201806</v>
      </c>
      <c r="H686" s="2" t="s">
        <v>74</v>
      </c>
      <c r="I686" s="2" t="s">
        <v>75</v>
      </c>
      <c r="J686" s="2" t="s">
        <v>97</v>
      </c>
      <c r="K686" s="2" t="s">
        <v>77</v>
      </c>
      <c r="L686" s="2" t="s">
        <v>173</v>
      </c>
      <c r="M686" s="2" t="s">
        <v>174</v>
      </c>
      <c r="N686" s="2" t="s">
        <v>357</v>
      </c>
      <c r="O686" s="2" t="s">
        <v>101</v>
      </c>
      <c r="P686" s="2" t="str">
        <f>"2170606034                    "</f>
        <v xml:space="preserve">2170606034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5.65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1.1000000000000001</v>
      </c>
      <c r="BJ686" s="2">
        <v>1.4</v>
      </c>
      <c r="BK686" s="2">
        <v>1.5</v>
      </c>
      <c r="BL686" s="2">
        <v>45.15</v>
      </c>
      <c r="BM686" s="2">
        <v>6.32</v>
      </c>
      <c r="BN686" s="2">
        <v>51.47</v>
      </c>
      <c r="BO686" s="2">
        <v>51.47</v>
      </c>
      <c r="BQ686" s="2" t="s">
        <v>82</v>
      </c>
      <c r="BR686" s="2" t="s">
        <v>103</v>
      </c>
      <c r="BS686" s="3">
        <v>43075</v>
      </c>
      <c r="BT686" s="4">
        <v>0.58124999999999993</v>
      </c>
      <c r="BU686" s="2" t="s">
        <v>359</v>
      </c>
      <c r="BV686" s="2" t="s">
        <v>89</v>
      </c>
      <c r="BW686" s="2" t="s">
        <v>149</v>
      </c>
      <c r="BX686" s="2" t="s">
        <v>411</v>
      </c>
      <c r="BY686" s="2">
        <v>6878.03</v>
      </c>
      <c r="CA686" s="2" t="s">
        <v>360</v>
      </c>
      <c r="CC686" s="2" t="s">
        <v>174</v>
      </c>
      <c r="CD686" s="2">
        <v>7405</v>
      </c>
      <c r="CE686" s="2" t="s">
        <v>95</v>
      </c>
      <c r="CF686" s="3">
        <v>43076</v>
      </c>
      <c r="CI686" s="2">
        <v>1</v>
      </c>
      <c r="CJ686" s="2">
        <v>1</v>
      </c>
      <c r="CK686" s="2">
        <v>21</v>
      </c>
      <c r="CL686" s="2" t="s">
        <v>89</v>
      </c>
    </row>
    <row r="687" spans="1:90">
      <c r="A687" s="2" t="s">
        <v>71</v>
      </c>
      <c r="B687" s="2" t="s">
        <v>72</v>
      </c>
      <c r="C687" s="2" t="s">
        <v>73</v>
      </c>
      <c r="E687" s="2" t="str">
        <f>"FES1162593871"</f>
        <v>FES1162593871</v>
      </c>
      <c r="F687" s="3">
        <v>43074</v>
      </c>
      <c r="G687" s="2">
        <v>201806</v>
      </c>
      <c r="H687" s="2" t="s">
        <v>74</v>
      </c>
      <c r="I687" s="2" t="s">
        <v>75</v>
      </c>
      <c r="J687" s="2" t="s">
        <v>97</v>
      </c>
      <c r="K687" s="2" t="s">
        <v>77</v>
      </c>
      <c r="L687" s="2" t="s">
        <v>526</v>
      </c>
      <c r="M687" s="2" t="s">
        <v>527</v>
      </c>
      <c r="N687" s="2" t="s">
        <v>1206</v>
      </c>
      <c r="O687" s="2" t="s">
        <v>101</v>
      </c>
      <c r="P687" s="2" t="str">
        <f>"2170605825                    "</f>
        <v xml:space="preserve">2170605825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18.350000000000001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6.2</v>
      </c>
      <c r="BJ687" s="2">
        <v>3.3</v>
      </c>
      <c r="BK687" s="2">
        <v>6.5</v>
      </c>
      <c r="BL687" s="2">
        <v>146.68</v>
      </c>
      <c r="BM687" s="2">
        <v>20.54</v>
      </c>
      <c r="BN687" s="2">
        <v>167.22</v>
      </c>
      <c r="BO687" s="2">
        <v>167.22</v>
      </c>
      <c r="BQ687" s="2" t="s">
        <v>82</v>
      </c>
      <c r="BR687" s="2" t="s">
        <v>103</v>
      </c>
      <c r="BS687" s="3">
        <v>43075</v>
      </c>
      <c r="BT687" s="4">
        <v>0.59791666666666665</v>
      </c>
      <c r="BU687" s="2" t="s">
        <v>1207</v>
      </c>
      <c r="BV687" s="2" t="s">
        <v>85</v>
      </c>
      <c r="BY687" s="2">
        <v>16668.48</v>
      </c>
      <c r="CA687" s="2" t="s">
        <v>530</v>
      </c>
      <c r="CC687" s="2" t="s">
        <v>527</v>
      </c>
      <c r="CD687" s="2">
        <v>6849</v>
      </c>
      <c r="CE687" s="2" t="s">
        <v>95</v>
      </c>
      <c r="CF687" s="3">
        <v>43075</v>
      </c>
      <c r="CI687" s="2">
        <v>3</v>
      </c>
      <c r="CJ687" s="2">
        <v>1</v>
      </c>
      <c r="CK687" s="2">
        <v>21</v>
      </c>
      <c r="CL687" s="2" t="s">
        <v>89</v>
      </c>
    </row>
    <row r="688" spans="1:90">
      <c r="A688" s="2" t="s">
        <v>71</v>
      </c>
      <c r="B688" s="2" t="s">
        <v>72</v>
      </c>
      <c r="C688" s="2" t="s">
        <v>73</v>
      </c>
      <c r="E688" s="2" t="str">
        <f>"FES1162594018"</f>
        <v>FES1162594018</v>
      </c>
      <c r="F688" s="3">
        <v>43074</v>
      </c>
      <c r="G688" s="2">
        <v>201806</v>
      </c>
      <c r="H688" s="2" t="s">
        <v>74</v>
      </c>
      <c r="I688" s="2" t="s">
        <v>75</v>
      </c>
      <c r="J688" s="2" t="s">
        <v>97</v>
      </c>
      <c r="K688" s="2" t="s">
        <v>77</v>
      </c>
      <c r="L688" s="2" t="s">
        <v>173</v>
      </c>
      <c r="M688" s="2" t="s">
        <v>174</v>
      </c>
      <c r="N688" s="2" t="s">
        <v>1208</v>
      </c>
      <c r="O688" s="2" t="s">
        <v>101</v>
      </c>
      <c r="P688" s="2" t="str">
        <f>"2170606025                    "</f>
        <v xml:space="preserve">2170606025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9.8800000000000008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1.5</v>
      </c>
      <c r="BJ688" s="2">
        <v>3.5</v>
      </c>
      <c r="BK688" s="2">
        <v>3.5</v>
      </c>
      <c r="BL688" s="2">
        <v>78.989999999999995</v>
      </c>
      <c r="BM688" s="2">
        <v>11.06</v>
      </c>
      <c r="BN688" s="2">
        <v>90.05</v>
      </c>
      <c r="BO688" s="2">
        <v>90.05</v>
      </c>
      <c r="BQ688" s="2" t="s">
        <v>102</v>
      </c>
      <c r="BR688" s="2" t="s">
        <v>103</v>
      </c>
      <c r="BS688" s="3">
        <v>43075</v>
      </c>
      <c r="BT688" s="4">
        <v>0.59930555555555554</v>
      </c>
      <c r="BU688" s="2" t="s">
        <v>1209</v>
      </c>
      <c r="BV688" s="2" t="s">
        <v>89</v>
      </c>
      <c r="BW688" s="2" t="s">
        <v>149</v>
      </c>
      <c r="BX688" s="2" t="s">
        <v>411</v>
      </c>
      <c r="BY688" s="2">
        <v>17421.080000000002</v>
      </c>
      <c r="CA688" s="2" t="s">
        <v>743</v>
      </c>
      <c r="CC688" s="2" t="s">
        <v>174</v>
      </c>
      <c r="CD688" s="2">
        <v>7925</v>
      </c>
      <c r="CE688" s="2" t="s">
        <v>95</v>
      </c>
      <c r="CF688" s="3">
        <v>43076</v>
      </c>
      <c r="CI688" s="2">
        <v>1</v>
      </c>
      <c r="CJ688" s="2">
        <v>1</v>
      </c>
      <c r="CK688" s="2">
        <v>21</v>
      </c>
      <c r="CL688" s="2" t="s">
        <v>89</v>
      </c>
    </row>
    <row r="689" spans="1:90">
      <c r="A689" s="2" t="s">
        <v>71</v>
      </c>
      <c r="B689" s="2" t="s">
        <v>72</v>
      </c>
      <c r="C689" s="2" t="s">
        <v>73</v>
      </c>
      <c r="E689" s="2" t="str">
        <f>"FES1162594004"</f>
        <v>FES1162594004</v>
      </c>
      <c r="F689" s="3">
        <v>43074</v>
      </c>
      <c r="G689" s="2">
        <v>201806</v>
      </c>
      <c r="H689" s="2" t="s">
        <v>74</v>
      </c>
      <c r="I689" s="2" t="s">
        <v>75</v>
      </c>
      <c r="J689" s="2" t="s">
        <v>97</v>
      </c>
      <c r="K689" s="2" t="s">
        <v>77</v>
      </c>
      <c r="L689" s="2" t="s">
        <v>136</v>
      </c>
      <c r="M689" s="2" t="s">
        <v>137</v>
      </c>
      <c r="N689" s="2" t="s">
        <v>138</v>
      </c>
      <c r="O689" s="2" t="s">
        <v>101</v>
      </c>
      <c r="P689" s="2" t="str">
        <f>"2170597645                    "</f>
        <v xml:space="preserve">2170597645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21.17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4.5999999999999996</v>
      </c>
      <c r="BJ689" s="2">
        <v>7.4</v>
      </c>
      <c r="BK689" s="2">
        <v>7.5</v>
      </c>
      <c r="BL689" s="2">
        <v>169.24</v>
      </c>
      <c r="BM689" s="2">
        <v>23.69</v>
      </c>
      <c r="BN689" s="2">
        <v>192.93</v>
      </c>
      <c r="BO689" s="2">
        <v>192.93</v>
      </c>
      <c r="BQ689" s="2" t="s">
        <v>82</v>
      </c>
      <c r="BR689" s="2" t="s">
        <v>103</v>
      </c>
      <c r="BS689" s="3">
        <v>43075</v>
      </c>
      <c r="BT689" s="4">
        <v>0.41666666666666669</v>
      </c>
      <c r="BU689" s="2" t="s">
        <v>139</v>
      </c>
      <c r="BV689" s="2" t="s">
        <v>85</v>
      </c>
      <c r="BY689" s="2">
        <v>37003.550000000003</v>
      </c>
      <c r="CA689" s="2" t="s">
        <v>140</v>
      </c>
      <c r="CC689" s="2" t="s">
        <v>137</v>
      </c>
      <c r="CD689" s="2">
        <v>6001</v>
      </c>
      <c r="CE689" s="2" t="s">
        <v>87</v>
      </c>
      <c r="CF689" s="3">
        <v>43076</v>
      </c>
      <c r="CI689" s="2">
        <v>1</v>
      </c>
      <c r="CJ689" s="2">
        <v>1</v>
      </c>
      <c r="CK689" s="2">
        <v>21</v>
      </c>
      <c r="CL689" s="2" t="s">
        <v>89</v>
      </c>
    </row>
    <row r="690" spans="1:90">
      <c r="A690" s="2" t="s">
        <v>71</v>
      </c>
      <c r="B690" s="2" t="s">
        <v>72</v>
      </c>
      <c r="C690" s="2" t="s">
        <v>73</v>
      </c>
      <c r="E690" s="2" t="str">
        <f>"FES1162593967"</f>
        <v>FES1162593967</v>
      </c>
      <c r="F690" s="3">
        <v>43074</v>
      </c>
      <c r="G690" s="2">
        <v>201806</v>
      </c>
      <c r="H690" s="2" t="s">
        <v>74</v>
      </c>
      <c r="I690" s="2" t="s">
        <v>75</v>
      </c>
      <c r="J690" s="2" t="s">
        <v>97</v>
      </c>
      <c r="K690" s="2" t="s">
        <v>77</v>
      </c>
      <c r="L690" s="2" t="s">
        <v>136</v>
      </c>
      <c r="M690" s="2" t="s">
        <v>137</v>
      </c>
      <c r="N690" s="2" t="s">
        <v>1210</v>
      </c>
      <c r="O690" s="2" t="s">
        <v>101</v>
      </c>
      <c r="P690" s="2" t="str">
        <f>"2170596436                    "</f>
        <v xml:space="preserve">2170596436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5.65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1.3</v>
      </c>
      <c r="BJ690" s="2">
        <v>1.3</v>
      </c>
      <c r="BK690" s="2">
        <v>1.5</v>
      </c>
      <c r="BL690" s="2">
        <v>45.15</v>
      </c>
      <c r="BM690" s="2">
        <v>6.32</v>
      </c>
      <c r="BN690" s="2">
        <v>51.47</v>
      </c>
      <c r="BO690" s="2">
        <v>51.47</v>
      </c>
      <c r="BQ690" s="2" t="s">
        <v>82</v>
      </c>
      <c r="BR690" s="2" t="s">
        <v>103</v>
      </c>
      <c r="BS690" s="3">
        <v>43075</v>
      </c>
      <c r="BT690" s="4">
        <v>0.31944444444444448</v>
      </c>
      <c r="BU690" s="2" t="s">
        <v>1211</v>
      </c>
      <c r="BV690" s="2" t="s">
        <v>85</v>
      </c>
      <c r="BY690" s="2">
        <v>6258.99</v>
      </c>
      <c r="CA690" s="2" t="s">
        <v>180</v>
      </c>
      <c r="CC690" s="2" t="s">
        <v>137</v>
      </c>
      <c r="CD690" s="2">
        <v>6001</v>
      </c>
      <c r="CE690" s="2" t="s">
        <v>95</v>
      </c>
      <c r="CF690" s="3">
        <v>43077</v>
      </c>
      <c r="CI690" s="2">
        <v>1</v>
      </c>
      <c r="CJ690" s="2">
        <v>1</v>
      </c>
      <c r="CK690" s="2">
        <v>21</v>
      </c>
      <c r="CL690" s="2" t="s">
        <v>89</v>
      </c>
    </row>
    <row r="691" spans="1:90">
      <c r="A691" s="2" t="s">
        <v>71</v>
      </c>
      <c r="B691" s="2" t="s">
        <v>72</v>
      </c>
      <c r="C691" s="2" t="s">
        <v>73</v>
      </c>
      <c r="E691" s="2" t="str">
        <f>"FES1162593601"</f>
        <v>FES1162593601</v>
      </c>
      <c r="F691" s="3">
        <v>43074</v>
      </c>
      <c r="G691" s="2">
        <v>201806</v>
      </c>
      <c r="H691" s="2" t="s">
        <v>74</v>
      </c>
      <c r="I691" s="2" t="s">
        <v>75</v>
      </c>
      <c r="J691" s="2" t="s">
        <v>97</v>
      </c>
      <c r="K691" s="2" t="s">
        <v>77</v>
      </c>
      <c r="L691" s="2" t="s">
        <v>158</v>
      </c>
      <c r="M691" s="2" t="s">
        <v>159</v>
      </c>
      <c r="N691" s="2" t="s">
        <v>1212</v>
      </c>
      <c r="O691" s="2" t="s">
        <v>101</v>
      </c>
      <c r="P691" s="2" t="str">
        <f>"2170600851                    "</f>
        <v xml:space="preserve">2170600851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5.65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45.15</v>
      </c>
      <c r="BM691" s="2">
        <v>6.32</v>
      </c>
      <c r="BN691" s="2">
        <v>51.47</v>
      </c>
      <c r="BO691" s="2">
        <v>51.47</v>
      </c>
      <c r="BQ691" s="2" t="s">
        <v>1213</v>
      </c>
      <c r="BR691" s="2" t="s">
        <v>103</v>
      </c>
      <c r="BS691" s="3">
        <v>43075</v>
      </c>
      <c r="BT691" s="4">
        <v>0.41666666666666669</v>
      </c>
      <c r="BU691" s="2" t="s">
        <v>345</v>
      </c>
      <c r="BV691" s="2" t="s">
        <v>85</v>
      </c>
      <c r="BY691" s="2">
        <v>1200</v>
      </c>
      <c r="CC691" s="2" t="s">
        <v>159</v>
      </c>
      <c r="CD691" s="2">
        <v>200</v>
      </c>
      <c r="CE691" s="2" t="s">
        <v>120</v>
      </c>
      <c r="CF691" s="3">
        <v>43077</v>
      </c>
      <c r="CI691" s="2">
        <v>1</v>
      </c>
      <c r="CJ691" s="2">
        <v>1</v>
      </c>
      <c r="CK691" s="2">
        <v>21</v>
      </c>
      <c r="CL691" s="2" t="s">
        <v>89</v>
      </c>
    </row>
    <row r="692" spans="1:90">
      <c r="A692" s="2" t="s">
        <v>71</v>
      </c>
      <c r="B692" s="2" t="s">
        <v>72</v>
      </c>
      <c r="C692" s="2" t="s">
        <v>73</v>
      </c>
      <c r="E692" s="2" t="str">
        <f>"FES1162593677"</f>
        <v>FES1162593677</v>
      </c>
      <c r="F692" s="3">
        <v>43074</v>
      </c>
      <c r="G692" s="2">
        <v>201806</v>
      </c>
      <c r="H692" s="2" t="s">
        <v>74</v>
      </c>
      <c r="I692" s="2" t="s">
        <v>75</v>
      </c>
      <c r="J692" s="2" t="s">
        <v>97</v>
      </c>
      <c r="K692" s="2" t="s">
        <v>77</v>
      </c>
      <c r="L692" s="2" t="s">
        <v>74</v>
      </c>
      <c r="M692" s="2" t="s">
        <v>75</v>
      </c>
      <c r="N692" s="2" t="s">
        <v>201</v>
      </c>
      <c r="O692" s="2" t="s">
        <v>101</v>
      </c>
      <c r="P692" s="2" t="str">
        <f>"2170604493                    "</f>
        <v xml:space="preserve">2170604493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4.41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</v>
      </c>
      <c r="BJ692" s="2">
        <v>0.2</v>
      </c>
      <c r="BK692" s="2">
        <v>1</v>
      </c>
      <c r="BL692" s="2">
        <v>35.270000000000003</v>
      </c>
      <c r="BM692" s="2">
        <v>4.9400000000000004</v>
      </c>
      <c r="BN692" s="2">
        <v>40.21</v>
      </c>
      <c r="BO692" s="2">
        <v>40.21</v>
      </c>
      <c r="BQ692" s="2" t="s">
        <v>102</v>
      </c>
      <c r="BR692" s="2" t="s">
        <v>103</v>
      </c>
      <c r="BS692" s="3">
        <v>43075</v>
      </c>
      <c r="BT692" s="4">
        <v>0.41666666666666669</v>
      </c>
      <c r="BU692" s="2" t="s">
        <v>202</v>
      </c>
      <c r="BV692" s="2" t="s">
        <v>85</v>
      </c>
      <c r="BY692" s="2">
        <v>1200</v>
      </c>
      <c r="CA692" s="2" t="s">
        <v>203</v>
      </c>
      <c r="CC692" s="2" t="s">
        <v>75</v>
      </c>
      <c r="CD692" s="2">
        <v>1665</v>
      </c>
      <c r="CE692" s="2" t="s">
        <v>120</v>
      </c>
      <c r="CF692" s="3">
        <v>43077</v>
      </c>
      <c r="CI692" s="2">
        <v>1</v>
      </c>
      <c r="CJ692" s="2">
        <v>1</v>
      </c>
      <c r="CK692" s="2">
        <v>22</v>
      </c>
      <c r="CL692" s="2" t="s">
        <v>89</v>
      </c>
    </row>
    <row r="693" spans="1:90">
      <c r="A693" s="2" t="s">
        <v>71</v>
      </c>
      <c r="B693" s="2" t="s">
        <v>72</v>
      </c>
      <c r="C693" s="2" t="s">
        <v>73</v>
      </c>
      <c r="E693" s="2" t="str">
        <f>"FES1162593701"</f>
        <v>FES1162593701</v>
      </c>
      <c r="F693" s="3">
        <v>43074</v>
      </c>
      <c r="G693" s="2">
        <v>201806</v>
      </c>
      <c r="H693" s="2" t="s">
        <v>74</v>
      </c>
      <c r="I693" s="2" t="s">
        <v>75</v>
      </c>
      <c r="J693" s="2" t="s">
        <v>97</v>
      </c>
      <c r="K693" s="2" t="s">
        <v>77</v>
      </c>
      <c r="L693" s="2" t="s">
        <v>651</v>
      </c>
      <c r="M693" s="2" t="s">
        <v>652</v>
      </c>
      <c r="N693" s="2" t="s">
        <v>734</v>
      </c>
      <c r="O693" s="2" t="s">
        <v>101</v>
      </c>
      <c r="P693" s="2" t="str">
        <f>"2170605391                    "</f>
        <v xml:space="preserve">2170605391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7.94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</v>
      </c>
      <c r="BJ693" s="2">
        <v>0.2</v>
      </c>
      <c r="BK693" s="2">
        <v>1</v>
      </c>
      <c r="BL693" s="2">
        <v>63.49</v>
      </c>
      <c r="BM693" s="2">
        <v>8.89</v>
      </c>
      <c r="BN693" s="2">
        <v>72.38</v>
      </c>
      <c r="BO693" s="2">
        <v>72.38</v>
      </c>
      <c r="BQ693" s="2" t="s">
        <v>735</v>
      </c>
      <c r="BR693" s="2" t="s">
        <v>103</v>
      </c>
      <c r="BS693" s="3">
        <v>43075</v>
      </c>
      <c r="BT693" s="4">
        <v>0.57430555555555551</v>
      </c>
      <c r="BU693" s="2" t="s">
        <v>736</v>
      </c>
      <c r="BV693" s="2" t="s">
        <v>85</v>
      </c>
      <c r="BY693" s="2">
        <v>1200</v>
      </c>
      <c r="CA693" s="2" t="s">
        <v>656</v>
      </c>
      <c r="CC693" s="2" t="s">
        <v>652</v>
      </c>
      <c r="CD693" s="2">
        <v>250</v>
      </c>
      <c r="CE693" s="2" t="s">
        <v>120</v>
      </c>
      <c r="CF693" s="3">
        <v>43077</v>
      </c>
      <c r="CI693" s="2">
        <v>1</v>
      </c>
      <c r="CJ693" s="2">
        <v>1</v>
      </c>
      <c r="CK693" s="2">
        <v>24</v>
      </c>
      <c r="CL693" s="2" t="s">
        <v>89</v>
      </c>
    </row>
    <row r="694" spans="1:90">
      <c r="A694" s="2" t="s">
        <v>71</v>
      </c>
      <c r="B694" s="2" t="s">
        <v>72</v>
      </c>
      <c r="C694" s="2" t="s">
        <v>73</v>
      </c>
      <c r="E694" s="2" t="str">
        <f>"FES1162593663"</f>
        <v>FES1162593663</v>
      </c>
      <c r="F694" s="3">
        <v>43074</v>
      </c>
      <c r="G694" s="2">
        <v>201806</v>
      </c>
      <c r="H694" s="2" t="s">
        <v>74</v>
      </c>
      <c r="I694" s="2" t="s">
        <v>75</v>
      </c>
      <c r="J694" s="2" t="s">
        <v>97</v>
      </c>
      <c r="K694" s="2" t="s">
        <v>77</v>
      </c>
      <c r="L694" s="2" t="s">
        <v>74</v>
      </c>
      <c r="M694" s="2" t="s">
        <v>75</v>
      </c>
      <c r="N694" s="2" t="s">
        <v>201</v>
      </c>
      <c r="O694" s="2" t="s">
        <v>101</v>
      </c>
      <c r="P694" s="2" t="str">
        <f>"2170604498                    "</f>
        <v xml:space="preserve">2170604498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4.41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35.270000000000003</v>
      </c>
      <c r="BM694" s="2">
        <v>4.9400000000000004</v>
      </c>
      <c r="BN694" s="2">
        <v>40.21</v>
      </c>
      <c r="BO694" s="2">
        <v>40.21</v>
      </c>
      <c r="BQ694" s="2" t="s">
        <v>102</v>
      </c>
      <c r="BR694" s="2" t="s">
        <v>103</v>
      </c>
      <c r="BS694" s="3">
        <v>43075</v>
      </c>
      <c r="BT694" s="4">
        <v>0.41666666666666669</v>
      </c>
      <c r="BU694" s="2" t="s">
        <v>202</v>
      </c>
      <c r="BV694" s="2" t="s">
        <v>85</v>
      </c>
      <c r="BY694" s="2">
        <v>1200</v>
      </c>
      <c r="CA694" s="2" t="s">
        <v>203</v>
      </c>
      <c r="CC694" s="2" t="s">
        <v>75</v>
      </c>
      <c r="CD694" s="2">
        <v>1665</v>
      </c>
      <c r="CE694" s="2" t="s">
        <v>120</v>
      </c>
      <c r="CF694" s="3">
        <v>43077</v>
      </c>
      <c r="CI694" s="2">
        <v>1</v>
      </c>
      <c r="CJ694" s="2">
        <v>1</v>
      </c>
      <c r="CK694" s="2">
        <v>22</v>
      </c>
      <c r="CL694" s="2" t="s">
        <v>89</v>
      </c>
    </row>
    <row r="695" spans="1:90">
      <c r="A695" s="2" t="s">
        <v>71</v>
      </c>
      <c r="B695" s="2" t="s">
        <v>72</v>
      </c>
      <c r="C695" s="2" t="s">
        <v>73</v>
      </c>
      <c r="E695" s="2" t="str">
        <f>"FES1162594020"</f>
        <v>FES1162594020</v>
      </c>
      <c r="F695" s="3">
        <v>43074</v>
      </c>
      <c r="G695" s="2">
        <v>201806</v>
      </c>
      <c r="H695" s="2" t="s">
        <v>74</v>
      </c>
      <c r="I695" s="2" t="s">
        <v>75</v>
      </c>
      <c r="J695" s="2" t="s">
        <v>97</v>
      </c>
      <c r="K695" s="2" t="s">
        <v>77</v>
      </c>
      <c r="L695" s="2" t="s">
        <v>136</v>
      </c>
      <c r="M695" s="2" t="s">
        <v>137</v>
      </c>
      <c r="N695" s="2" t="s">
        <v>138</v>
      </c>
      <c r="O695" s="2" t="s">
        <v>101</v>
      </c>
      <c r="P695" s="2" t="str">
        <f>"2170603610                    "</f>
        <v xml:space="preserve">2170603610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12.71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3</v>
      </c>
      <c r="BJ695" s="2">
        <v>4.0999999999999996</v>
      </c>
      <c r="BK695" s="2">
        <v>4.5</v>
      </c>
      <c r="BL695" s="2">
        <v>101.56</v>
      </c>
      <c r="BM695" s="2">
        <v>14.22</v>
      </c>
      <c r="BN695" s="2">
        <v>115.78</v>
      </c>
      <c r="BO695" s="2">
        <v>115.78</v>
      </c>
      <c r="BQ695" s="2" t="s">
        <v>82</v>
      </c>
      <c r="BR695" s="2" t="s">
        <v>103</v>
      </c>
      <c r="BS695" s="3">
        <v>43075</v>
      </c>
      <c r="BT695" s="4">
        <v>0.41666666666666669</v>
      </c>
      <c r="BU695" s="2" t="s">
        <v>139</v>
      </c>
      <c r="BV695" s="2" t="s">
        <v>85</v>
      </c>
      <c r="BY695" s="2">
        <v>20358</v>
      </c>
      <c r="CA695" s="2" t="s">
        <v>140</v>
      </c>
      <c r="CC695" s="2" t="s">
        <v>137</v>
      </c>
      <c r="CD695" s="2">
        <v>6001</v>
      </c>
      <c r="CE695" s="2" t="s">
        <v>95</v>
      </c>
      <c r="CF695" s="3">
        <v>43076</v>
      </c>
      <c r="CI695" s="2">
        <v>1</v>
      </c>
      <c r="CJ695" s="2">
        <v>1</v>
      </c>
      <c r="CK695" s="2">
        <v>21</v>
      </c>
      <c r="CL695" s="2" t="s">
        <v>89</v>
      </c>
    </row>
    <row r="696" spans="1:90">
      <c r="A696" s="2" t="s">
        <v>71</v>
      </c>
      <c r="B696" s="2" t="s">
        <v>72</v>
      </c>
      <c r="C696" s="2" t="s">
        <v>73</v>
      </c>
      <c r="E696" s="2" t="str">
        <f>"FES1162593788"</f>
        <v>FES1162593788</v>
      </c>
      <c r="F696" s="3">
        <v>43074</v>
      </c>
      <c r="G696" s="2">
        <v>201806</v>
      </c>
      <c r="H696" s="2" t="s">
        <v>74</v>
      </c>
      <c r="I696" s="2" t="s">
        <v>75</v>
      </c>
      <c r="J696" s="2" t="s">
        <v>97</v>
      </c>
      <c r="K696" s="2" t="s">
        <v>77</v>
      </c>
      <c r="L696" s="2" t="s">
        <v>136</v>
      </c>
      <c r="M696" s="2" t="s">
        <v>137</v>
      </c>
      <c r="N696" s="2" t="s">
        <v>1204</v>
      </c>
      <c r="O696" s="2" t="s">
        <v>101</v>
      </c>
      <c r="P696" s="2" t="str">
        <f>"2170604443                    "</f>
        <v xml:space="preserve">2170604443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5.65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0.2</v>
      </c>
      <c r="BK696" s="2">
        <v>1</v>
      </c>
      <c r="BL696" s="2">
        <v>45.15</v>
      </c>
      <c r="BM696" s="2">
        <v>6.32</v>
      </c>
      <c r="BN696" s="2">
        <v>51.47</v>
      </c>
      <c r="BO696" s="2">
        <v>51.47</v>
      </c>
      <c r="BQ696" s="2" t="s">
        <v>102</v>
      </c>
      <c r="BR696" s="2" t="s">
        <v>103</v>
      </c>
      <c r="BS696" s="3">
        <v>43075</v>
      </c>
      <c r="BT696" s="4">
        <v>0.3611111111111111</v>
      </c>
      <c r="BU696" s="2" t="s">
        <v>1205</v>
      </c>
      <c r="BV696" s="2" t="s">
        <v>85</v>
      </c>
      <c r="BY696" s="2">
        <v>1200</v>
      </c>
      <c r="CA696" s="2" t="s">
        <v>140</v>
      </c>
      <c r="CC696" s="2" t="s">
        <v>137</v>
      </c>
      <c r="CD696" s="2">
        <v>6001</v>
      </c>
      <c r="CE696" s="2" t="s">
        <v>120</v>
      </c>
      <c r="CF696" s="3">
        <v>43076</v>
      </c>
      <c r="CI696" s="2">
        <v>1</v>
      </c>
      <c r="CJ696" s="2">
        <v>1</v>
      </c>
      <c r="CK696" s="2">
        <v>21</v>
      </c>
      <c r="CL696" s="2" t="s">
        <v>89</v>
      </c>
    </row>
    <row r="697" spans="1:90">
      <c r="A697" s="2" t="s">
        <v>71</v>
      </c>
      <c r="B697" s="2" t="s">
        <v>72</v>
      </c>
      <c r="C697" s="2" t="s">
        <v>73</v>
      </c>
      <c r="E697" s="2" t="str">
        <f>"FES1162593797"</f>
        <v>FES1162593797</v>
      </c>
      <c r="F697" s="3">
        <v>43074</v>
      </c>
      <c r="G697" s="2">
        <v>201806</v>
      </c>
      <c r="H697" s="2" t="s">
        <v>74</v>
      </c>
      <c r="I697" s="2" t="s">
        <v>75</v>
      </c>
      <c r="J697" s="2" t="s">
        <v>97</v>
      </c>
      <c r="K697" s="2" t="s">
        <v>77</v>
      </c>
      <c r="L697" s="2" t="s">
        <v>136</v>
      </c>
      <c r="M697" s="2" t="s">
        <v>137</v>
      </c>
      <c r="N697" s="2" t="s">
        <v>662</v>
      </c>
      <c r="O697" s="2" t="s">
        <v>101</v>
      </c>
      <c r="P697" s="2" t="str">
        <f>"2170604920                    "</f>
        <v xml:space="preserve">2170604920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5.65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1</v>
      </c>
      <c r="BJ697" s="2">
        <v>0.2</v>
      </c>
      <c r="BK697" s="2">
        <v>1</v>
      </c>
      <c r="BL697" s="2">
        <v>45.15</v>
      </c>
      <c r="BM697" s="2">
        <v>6.32</v>
      </c>
      <c r="BN697" s="2">
        <v>51.47</v>
      </c>
      <c r="BO697" s="2">
        <v>51.47</v>
      </c>
      <c r="BQ697" s="2" t="s">
        <v>128</v>
      </c>
      <c r="BR697" s="2" t="s">
        <v>103</v>
      </c>
      <c r="BS697" s="3">
        <v>43075</v>
      </c>
      <c r="BT697" s="4">
        <v>0.30555555555555552</v>
      </c>
      <c r="BU697" s="2" t="s">
        <v>1214</v>
      </c>
      <c r="BV697" s="2" t="s">
        <v>85</v>
      </c>
      <c r="BY697" s="2">
        <v>1200</v>
      </c>
      <c r="CA697" s="2" t="s">
        <v>140</v>
      </c>
      <c r="CC697" s="2" t="s">
        <v>137</v>
      </c>
      <c r="CD697" s="2">
        <v>6012</v>
      </c>
      <c r="CE697" s="2" t="s">
        <v>120</v>
      </c>
      <c r="CF697" s="3">
        <v>43076</v>
      </c>
      <c r="CI697" s="2">
        <v>1</v>
      </c>
      <c r="CJ697" s="2">
        <v>1</v>
      </c>
      <c r="CK697" s="2">
        <v>21</v>
      </c>
      <c r="CL697" s="2" t="s">
        <v>89</v>
      </c>
    </row>
    <row r="698" spans="1:90">
      <c r="A698" s="2" t="s">
        <v>71</v>
      </c>
      <c r="B698" s="2" t="s">
        <v>72</v>
      </c>
      <c r="C698" s="2" t="s">
        <v>73</v>
      </c>
      <c r="E698" s="2" t="str">
        <f>"FES1162593771"</f>
        <v>FES1162593771</v>
      </c>
      <c r="F698" s="3">
        <v>43074</v>
      </c>
      <c r="G698" s="2">
        <v>201806</v>
      </c>
      <c r="H698" s="2" t="s">
        <v>74</v>
      </c>
      <c r="I698" s="2" t="s">
        <v>75</v>
      </c>
      <c r="J698" s="2" t="s">
        <v>97</v>
      </c>
      <c r="K698" s="2" t="s">
        <v>77</v>
      </c>
      <c r="L698" s="2" t="s">
        <v>136</v>
      </c>
      <c r="M698" s="2" t="s">
        <v>137</v>
      </c>
      <c r="N698" s="2" t="s">
        <v>138</v>
      </c>
      <c r="O698" s="2" t="s">
        <v>101</v>
      </c>
      <c r="P698" s="2" t="str">
        <f>"2170598190                    "</f>
        <v xml:space="preserve">2170598190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5.65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45.15</v>
      </c>
      <c r="BM698" s="2">
        <v>6.32</v>
      </c>
      <c r="BN698" s="2">
        <v>51.47</v>
      </c>
      <c r="BO698" s="2">
        <v>51.47</v>
      </c>
      <c r="BQ698" s="2" t="s">
        <v>82</v>
      </c>
      <c r="BR698" s="2" t="s">
        <v>103</v>
      </c>
      <c r="BS698" s="3">
        <v>43075</v>
      </c>
      <c r="BT698" s="4">
        <v>0.41666666666666669</v>
      </c>
      <c r="BU698" s="2" t="s">
        <v>139</v>
      </c>
      <c r="BV698" s="2" t="s">
        <v>85</v>
      </c>
      <c r="BY698" s="2">
        <v>1200</v>
      </c>
      <c r="CA698" s="2" t="s">
        <v>140</v>
      </c>
      <c r="CC698" s="2" t="s">
        <v>137</v>
      </c>
      <c r="CD698" s="2">
        <v>6001</v>
      </c>
      <c r="CE698" s="2" t="s">
        <v>120</v>
      </c>
      <c r="CF698" s="3">
        <v>43076</v>
      </c>
      <c r="CI698" s="2">
        <v>1</v>
      </c>
      <c r="CJ698" s="2">
        <v>1</v>
      </c>
      <c r="CK698" s="2">
        <v>21</v>
      </c>
      <c r="CL698" s="2" t="s">
        <v>89</v>
      </c>
    </row>
    <row r="699" spans="1:90">
      <c r="A699" s="2" t="s">
        <v>71</v>
      </c>
      <c r="B699" s="2" t="s">
        <v>72</v>
      </c>
      <c r="C699" s="2" t="s">
        <v>73</v>
      </c>
      <c r="E699" s="2" t="str">
        <f>"FES1162593811"</f>
        <v>FES1162593811</v>
      </c>
      <c r="F699" s="3">
        <v>43074</v>
      </c>
      <c r="G699" s="2">
        <v>201806</v>
      </c>
      <c r="H699" s="2" t="s">
        <v>74</v>
      </c>
      <c r="I699" s="2" t="s">
        <v>75</v>
      </c>
      <c r="J699" s="2" t="s">
        <v>97</v>
      </c>
      <c r="K699" s="2" t="s">
        <v>77</v>
      </c>
      <c r="L699" s="2" t="s">
        <v>1215</v>
      </c>
      <c r="M699" s="2" t="s">
        <v>1216</v>
      </c>
      <c r="N699" s="2" t="s">
        <v>1217</v>
      </c>
      <c r="O699" s="2" t="s">
        <v>101</v>
      </c>
      <c r="P699" s="2" t="str">
        <f>"2170605760                    "</f>
        <v xml:space="preserve">2170605760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5.65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45.15</v>
      </c>
      <c r="BM699" s="2">
        <v>6.32</v>
      </c>
      <c r="BN699" s="2">
        <v>51.47</v>
      </c>
      <c r="BO699" s="2">
        <v>51.47</v>
      </c>
      <c r="BQ699" s="2" t="s">
        <v>102</v>
      </c>
      <c r="BR699" s="2" t="s">
        <v>103</v>
      </c>
      <c r="BS699" s="3">
        <v>43075</v>
      </c>
      <c r="BT699" s="4">
        <v>0.55138888888888882</v>
      </c>
      <c r="BU699" s="2" t="s">
        <v>1218</v>
      </c>
      <c r="BV699" s="2" t="s">
        <v>85</v>
      </c>
      <c r="BY699" s="2">
        <v>1200</v>
      </c>
      <c r="CA699" s="2" t="s">
        <v>1219</v>
      </c>
      <c r="CC699" s="2" t="s">
        <v>1216</v>
      </c>
      <c r="CD699" s="2">
        <v>5257</v>
      </c>
      <c r="CE699" s="2" t="s">
        <v>120</v>
      </c>
      <c r="CF699" s="3">
        <v>43077</v>
      </c>
      <c r="CI699" s="2">
        <v>1</v>
      </c>
      <c r="CJ699" s="2">
        <v>1</v>
      </c>
      <c r="CK699" s="2">
        <v>21</v>
      </c>
      <c r="CL699" s="2" t="s">
        <v>89</v>
      </c>
    </row>
    <row r="700" spans="1:90">
      <c r="A700" s="2" t="s">
        <v>71</v>
      </c>
      <c r="B700" s="2" t="s">
        <v>72</v>
      </c>
      <c r="C700" s="2" t="s">
        <v>73</v>
      </c>
      <c r="E700" s="2" t="str">
        <f>"FES1162593823"</f>
        <v>FES1162593823</v>
      </c>
      <c r="F700" s="3">
        <v>43074</v>
      </c>
      <c r="G700" s="2">
        <v>201806</v>
      </c>
      <c r="H700" s="2" t="s">
        <v>74</v>
      </c>
      <c r="I700" s="2" t="s">
        <v>75</v>
      </c>
      <c r="J700" s="2" t="s">
        <v>97</v>
      </c>
      <c r="K700" s="2" t="s">
        <v>77</v>
      </c>
      <c r="L700" s="2" t="s">
        <v>136</v>
      </c>
      <c r="M700" s="2" t="s">
        <v>137</v>
      </c>
      <c r="N700" s="2" t="s">
        <v>580</v>
      </c>
      <c r="O700" s="2" t="s">
        <v>101</v>
      </c>
      <c r="P700" s="2" t="str">
        <f>"2170605872                    "</f>
        <v xml:space="preserve">2170605872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5.65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45.15</v>
      </c>
      <c r="BM700" s="2">
        <v>6.32</v>
      </c>
      <c r="BN700" s="2">
        <v>51.47</v>
      </c>
      <c r="BO700" s="2">
        <v>51.47</v>
      </c>
      <c r="BQ700" s="2" t="s">
        <v>102</v>
      </c>
      <c r="BR700" s="2" t="s">
        <v>103</v>
      </c>
      <c r="BS700" s="3">
        <v>43075</v>
      </c>
      <c r="BT700" s="4">
        <v>0.30902777777777779</v>
      </c>
      <c r="BU700" s="2" t="s">
        <v>581</v>
      </c>
      <c r="BV700" s="2" t="s">
        <v>85</v>
      </c>
      <c r="BY700" s="2">
        <v>1200</v>
      </c>
      <c r="CA700" s="2" t="s">
        <v>180</v>
      </c>
      <c r="CC700" s="2" t="s">
        <v>137</v>
      </c>
      <c r="CD700" s="2">
        <v>6001</v>
      </c>
      <c r="CE700" s="2" t="s">
        <v>120</v>
      </c>
      <c r="CF700" s="3">
        <v>43077</v>
      </c>
      <c r="CI700" s="2">
        <v>1</v>
      </c>
      <c r="CJ700" s="2">
        <v>1</v>
      </c>
      <c r="CK700" s="2">
        <v>21</v>
      </c>
      <c r="CL700" s="2" t="s">
        <v>89</v>
      </c>
    </row>
    <row r="701" spans="1:90">
      <c r="A701" s="2" t="s">
        <v>71</v>
      </c>
      <c r="B701" s="2" t="s">
        <v>72</v>
      </c>
      <c r="C701" s="2" t="s">
        <v>73</v>
      </c>
      <c r="E701" s="2" t="str">
        <f>"FES1162593817"</f>
        <v>FES1162593817</v>
      </c>
      <c r="F701" s="3">
        <v>43074</v>
      </c>
      <c r="G701" s="2">
        <v>201806</v>
      </c>
      <c r="H701" s="2" t="s">
        <v>74</v>
      </c>
      <c r="I701" s="2" t="s">
        <v>75</v>
      </c>
      <c r="J701" s="2" t="s">
        <v>97</v>
      </c>
      <c r="K701" s="2" t="s">
        <v>77</v>
      </c>
      <c r="L701" s="2" t="s">
        <v>136</v>
      </c>
      <c r="M701" s="2" t="s">
        <v>137</v>
      </c>
      <c r="N701" s="2" t="s">
        <v>918</v>
      </c>
      <c r="O701" s="2" t="s">
        <v>101</v>
      </c>
      <c r="P701" s="2" t="str">
        <f>"2170605853                    "</f>
        <v xml:space="preserve">2170605853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5.65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45.15</v>
      </c>
      <c r="BM701" s="2">
        <v>6.32</v>
      </c>
      <c r="BN701" s="2">
        <v>51.47</v>
      </c>
      <c r="BO701" s="2">
        <v>51.47</v>
      </c>
      <c r="BQ701" s="2" t="s">
        <v>128</v>
      </c>
      <c r="BR701" s="2" t="s">
        <v>103</v>
      </c>
      <c r="BS701" s="3">
        <v>43075</v>
      </c>
      <c r="BT701" s="4">
        <v>0.3125</v>
      </c>
      <c r="BU701" s="2" t="s">
        <v>965</v>
      </c>
      <c r="BV701" s="2" t="s">
        <v>85</v>
      </c>
      <c r="BY701" s="2">
        <v>1200</v>
      </c>
      <c r="CA701" s="2" t="s">
        <v>140</v>
      </c>
      <c r="CC701" s="2" t="s">
        <v>137</v>
      </c>
      <c r="CD701" s="2">
        <v>6012</v>
      </c>
      <c r="CE701" s="2" t="s">
        <v>120</v>
      </c>
      <c r="CF701" s="3">
        <v>43076</v>
      </c>
      <c r="CI701" s="2">
        <v>1</v>
      </c>
      <c r="CJ701" s="2">
        <v>1</v>
      </c>
      <c r="CK701" s="2">
        <v>21</v>
      </c>
      <c r="CL701" s="2" t="s">
        <v>89</v>
      </c>
    </row>
    <row r="702" spans="1:90">
      <c r="A702" s="2" t="s">
        <v>71</v>
      </c>
      <c r="B702" s="2" t="s">
        <v>72</v>
      </c>
      <c r="C702" s="2" t="s">
        <v>73</v>
      </c>
      <c r="E702" s="2" t="str">
        <f>"FES1162593612"</f>
        <v>FES1162593612</v>
      </c>
      <c r="F702" s="3">
        <v>43074</v>
      </c>
      <c r="G702" s="2">
        <v>201806</v>
      </c>
      <c r="H702" s="2" t="s">
        <v>74</v>
      </c>
      <c r="I702" s="2" t="s">
        <v>75</v>
      </c>
      <c r="J702" s="2" t="s">
        <v>97</v>
      </c>
      <c r="K702" s="2" t="s">
        <v>77</v>
      </c>
      <c r="L702" s="2" t="s">
        <v>173</v>
      </c>
      <c r="M702" s="2" t="s">
        <v>174</v>
      </c>
      <c r="N702" s="2" t="s">
        <v>175</v>
      </c>
      <c r="O702" s="2" t="s">
        <v>101</v>
      </c>
      <c r="P702" s="2" t="str">
        <f>"2170605571                    "</f>
        <v xml:space="preserve">2170605571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24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8.1999999999999993</v>
      </c>
      <c r="BJ702" s="2">
        <v>3.5</v>
      </c>
      <c r="BK702" s="2">
        <v>8.5</v>
      </c>
      <c r="BL702" s="2">
        <v>191.81</v>
      </c>
      <c r="BM702" s="2">
        <v>26.85</v>
      </c>
      <c r="BN702" s="2">
        <v>218.66</v>
      </c>
      <c r="BO702" s="2">
        <v>218.66</v>
      </c>
      <c r="BQ702" s="2" t="s">
        <v>102</v>
      </c>
      <c r="BR702" s="2" t="s">
        <v>103</v>
      </c>
      <c r="BS702" s="3">
        <v>43075</v>
      </c>
      <c r="BT702" s="4">
        <v>0.68958333333333333</v>
      </c>
      <c r="BU702" s="2" t="s">
        <v>1220</v>
      </c>
      <c r="BV702" s="2" t="s">
        <v>89</v>
      </c>
      <c r="BW702" s="2" t="s">
        <v>149</v>
      </c>
      <c r="BX702" s="2" t="s">
        <v>368</v>
      </c>
      <c r="BY702" s="2">
        <v>17609.57</v>
      </c>
      <c r="CA702" s="2" t="s">
        <v>1221</v>
      </c>
      <c r="CC702" s="2" t="s">
        <v>174</v>
      </c>
      <c r="CD702" s="2">
        <v>7405</v>
      </c>
      <c r="CE702" s="2" t="s">
        <v>95</v>
      </c>
      <c r="CF702" s="3">
        <v>43076</v>
      </c>
      <c r="CI702" s="2">
        <v>1</v>
      </c>
      <c r="CJ702" s="2">
        <v>1</v>
      </c>
      <c r="CK702" s="2">
        <v>21</v>
      </c>
      <c r="CL702" s="2" t="s">
        <v>89</v>
      </c>
    </row>
    <row r="703" spans="1:90">
      <c r="A703" s="2" t="s">
        <v>71</v>
      </c>
      <c r="B703" s="2" t="s">
        <v>72</v>
      </c>
      <c r="C703" s="2" t="s">
        <v>73</v>
      </c>
      <c r="E703" s="2" t="str">
        <f>"FES1162593643"</f>
        <v>FES1162593643</v>
      </c>
      <c r="F703" s="3">
        <v>43074</v>
      </c>
      <c r="G703" s="2">
        <v>201806</v>
      </c>
      <c r="H703" s="2" t="s">
        <v>74</v>
      </c>
      <c r="I703" s="2" t="s">
        <v>75</v>
      </c>
      <c r="J703" s="2" t="s">
        <v>97</v>
      </c>
      <c r="K703" s="2" t="s">
        <v>77</v>
      </c>
      <c r="L703" s="2" t="s">
        <v>173</v>
      </c>
      <c r="M703" s="2" t="s">
        <v>174</v>
      </c>
      <c r="N703" s="2" t="s">
        <v>533</v>
      </c>
      <c r="O703" s="2" t="s">
        <v>101</v>
      </c>
      <c r="P703" s="2" t="str">
        <f>"2170603320                    "</f>
        <v xml:space="preserve">2170603320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46.58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2</v>
      </c>
      <c r="BI703" s="2">
        <v>16.5</v>
      </c>
      <c r="BJ703" s="2">
        <v>4.8</v>
      </c>
      <c r="BK703" s="2">
        <v>16.5</v>
      </c>
      <c r="BL703" s="2">
        <v>372.31</v>
      </c>
      <c r="BM703" s="2">
        <v>52.12</v>
      </c>
      <c r="BN703" s="2">
        <v>424.43</v>
      </c>
      <c r="BO703" s="2">
        <v>424.43</v>
      </c>
      <c r="BQ703" s="2" t="s">
        <v>102</v>
      </c>
      <c r="BR703" s="2" t="s">
        <v>103</v>
      </c>
      <c r="BS703" s="3">
        <v>43075</v>
      </c>
      <c r="BT703" s="4">
        <v>0.3888888888888889</v>
      </c>
      <c r="BU703" s="2" t="s">
        <v>535</v>
      </c>
      <c r="BV703" s="2" t="s">
        <v>85</v>
      </c>
      <c r="BY703" s="2">
        <v>23918.91</v>
      </c>
      <c r="CA703" s="2" t="s">
        <v>378</v>
      </c>
      <c r="CC703" s="2" t="s">
        <v>174</v>
      </c>
      <c r="CD703" s="2">
        <v>7500</v>
      </c>
      <c r="CE703" s="2" t="s">
        <v>1222</v>
      </c>
      <c r="CF703" s="3">
        <v>43076</v>
      </c>
      <c r="CI703" s="2">
        <v>1</v>
      </c>
      <c r="CJ703" s="2">
        <v>1</v>
      </c>
      <c r="CK703" s="2">
        <v>21</v>
      </c>
      <c r="CL703" s="2" t="s">
        <v>89</v>
      </c>
    </row>
    <row r="704" spans="1:90">
      <c r="A704" s="2" t="s">
        <v>71</v>
      </c>
      <c r="B704" s="2" t="s">
        <v>72</v>
      </c>
      <c r="C704" s="2" t="s">
        <v>73</v>
      </c>
      <c r="E704" s="2" t="str">
        <f>"FES1162593721"</f>
        <v>FES1162593721</v>
      </c>
      <c r="F704" s="3">
        <v>43074</v>
      </c>
      <c r="G704" s="2">
        <v>201806</v>
      </c>
      <c r="H704" s="2" t="s">
        <v>74</v>
      </c>
      <c r="I704" s="2" t="s">
        <v>75</v>
      </c>
      <c r="J704" s="2" t="s">
        <v>97</v>
      </c>
      <c r="K704" s="2" t="s">
        <v>77</v>
      </c>
      <c r="L704" s="2" t="s">
        <v>173</v>
      </c>
      <c r="M704" s="2" t="s">
        <v>174</v>
      </c>
      <c r="N704" s="2" t="s">
        <v>433</v>
      </c>
      <c r="O704" s="2" t="s">
        <v>101</v>
      </c>
      <c r="P704" s="2" t="str">
        <f>"2170604239                    "</f>
        <v xml:space="preserve">2170604239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5.65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1.9</v>
      </c>
      <c r="BJ704" s="2">
        <v>1.2</v>
      </c>
      <c r="BK704" s="2">
        <v>2</v>
      </c>
      <c r="BL704" s="2">
        <v>45.15</v>
      </c>
      <c r="BM704" s="2">
        <v>6.32</v>
      </c>
      <c r="BN704" s="2">
        <v>51.47</v>
      </c>
      <c r="BO704" s="2">
        <v>51.47</v>
      </c>
      <c r="BQ704" s="2" t="s">
        <v>102</v>
      </c>
      <c r="BR704" s="2" t="s">
        <v>103</v>
      </c>
      <c r="BS704" s="3">
        <v>43075</v>
      </c>
      <c r="BT704" s="4">
        <v>0.41666666666666669</v>
      </c>
      <c r="BU704" s="2" t="s">
        <v>434</v>
      </c>
      <c r="BV704" s="2" t="s">
        <v>85</v>
      </c>
      <c r="BY704" s="2">
        <v>5816.92</v>
      </c>
      <c r="CA704" s="2" t="s">
        <v>177</v>
      </c>
      <c r="CC704" s="2" t="s">
        <v>174</v>
      </c>
      <c r="CD704" s="2">
        <v>7441</v>
      </c>
      <c r="CE704" s="2" t="s">
        <v>356</v>
      </c>
      <c r="CF704" s="3">
        <v>43076</v>
      </c>
      <c r="CI704" s="2">
        <v>1</v>
      </c>
      <c r="CJ704" s="2">
        <v>1</v>
      </c>
      <c r="CK704" s="2">
        <v>21</v>
      </c>
      <c r="CL704" s="2" t="s">
        <v>89</v>
      </c>
    </row>
    <row r="705" spans="1:90">
      <c r="A705" s="2" t="s">
        <v>71</v>
      </c>
      <c r="B705" s="2" t="s">
        <v>72</v>
      </c>
      <c r="C705" s="2" t="s">
        <v>73</v>
      </c>
      <c r="E705" s="2" t="str">
        <f>"FES1162593812"</f>
        <v>FES1162593812</v>
      </c>
      <c r="F705" s="3">
        <v>43074</v>
      </c>
      <c r="G705" s="2">
        <v>201806</v>
      </c>
      <c r="H705" s="2" t="s">
        <v>74</v>
      </c>
      <c r="I705" s="2" t="s">
        <v>75</v>
      </c>
      <c r="J705" s="2" t="s">
        <v>97</v>
      </c>
      <c r="K705" s="2" t="s">
        <v>77</v>
      </c>
      <c r="L705" s="2" t="s">
        <v>883</v>
      </c>
      <c r="M705" s="2" t="s">
        <v>884</v>
      </c>
      <c r="N705" s="2" t="s">
        <v>934</v>
      </c>
      <c r="O705" s="2" t="s">
        <v>101</v>
      </c>
      <c r="P705" s="2" t="str">
        <f>"2170605773                    "</f>
        <v xml:space="preserve">2170605773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5.65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45.15</v>
      </c>
      <c r="BM705" s="2">
        <v>6.32</v>
      </c>
      <c r="BN705" s="2">
        <v>51.47</v>
      </c>
      <c r="BO705" s="2">
        <v>51.47</v>
      </c>
      <c r="BQ705" s="2" t="s">
        <v>82</v>
      </c>
      <c r="BR705" s="2" t="s">
        <v>103</v>
      </c>
      <c r="BS705" s="3">
        <v>43075</v>
      </c>
      <c r="BT705" s="4">
        <v>0.42777777777777781</v>
      </c>
      <c r="BU705" s="2" t="s">
        <v>935</v>
      </c>
      <c r="BV705" s="2" t="s">
        <v>85</v>
      </c>
      <c r="BY705" s="2">
        <v>1200</v>
      </c>
      <c r="CA705" s="2" t="s">
        <v>936</v>
      </c>
      <c r="CC705" s="2" t="s">
        <v>884</v>
      </c>
      <c r="CD705" s="2">
        <v>7600</v>
      </c>
      <c r="CE705" s="2" t="s">
        <v>120</v>
      </c>
      <c r="CF705" s="3">
        <v>43076</v>
      </c>
      <c r="CI705" s="2">
        <v>1</v>
      </c>
      <c r="CJ705" s="2">
        <v>1</v>
      </c>
      <c r="CK705" s="2">
        <v>21</v>
      </c>
      <c r="CL705" s="2" t="s">
        <v>89</v>
      </c>
    </row>
    <row r="706" spans="1:90">
      <c r="A706" s="2" t="s">
        <v>71</v>
      </c>
      <c r="B706" s="2" t="s">
        <v>72</v>
      </c>
      <c r="C706" s="2" t="s">
        <v>73</v>
      </c>
      <c r="E706" s="2" t="str">
        <f>"FES1162593734"</f>
        <v>FES1162593734</v>
      </c>
      <c r="F706" s="3">
        <v>43074</v>
      </c>
      <c r="G706" s="2">
        <v>201806</v>
      </c>
      <c r="H706" s="2" t="s">
        <v>74</v>
      </c>
      <c r="I706" s="2" t="s">
        <v>75</v>
      </c>
      <c r="J706" s="2" t="s">
        <v>97</v>
      </c>
      <c r="K706" s="2" t="s">
        <v>77</v>
      </c>
      <c r="L706" s="2" t="s">
        <v>173</v>
      </c>
      <c r="M706" s="2" t="s">
        <v>174</v>
      </c>
      <c r="N706" s="2" t="s">
        <v>323</v>
      </c>
      <c r="O706" s="2" t="s">
        <v>101</v>
      </c>
      <c r="P706" s="2" t="str">
        <f>"2170601449                    "</f>
        <v xml:space="preserve">2170601449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7.06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2</v>
      </c>
      <c r="BJ706" s="2">
        <v>2.1</v>
      </c>
      <c r="BK706" s="2">
        <v>2.5</v>
      </c>
      <c r="BL706" s="2">
        <v>56.43</v>
      </c>
      <c r="BM706" s="2">
        <v>7.9</v>
      </c>
      <c r="BN706" s="2">
        <v>64.33</v>
      </c>
      <c r="BO706" s="2">
        <v>64.33</v>
      </c>
      <c r="BQ706" s="2" t="s">
        <v>82</v>
      </c>
      <c r="BR706" s="2" t="s">
        <v>103</v>
      </c>
      <c r="BS706" s="3">
        <v>43075</v>
      </c>
      <c r="BT706" s="4">
        <v>0.69236111111111109</v>
      </c>
      <c r="BU706" s="2" t="s">
        <v>1223</v>
      </c>
      <c r="BV706" s="2" t="s">
        <v>89</v>
      </c>
      <c r="BW706" s="2" t="s">
        <v>149</v>
      </c>
      <c r="BX706" s="2" t="s">
        <v>368</v>
      </c>
      <c r="BY706" s="2">
        <v>10260</v>
      </c>
      <c r="CA706" s="2" t="s">
        <v>1221</v>
      </c>
      <c r="CC706" s="2" t="s">
        <v>174</v>
      </c>
      <c r="CD706" s="2">
        <v>7405</v>
      </c>
      <c r="CE706" s="2" t="s">
        <v>356</v>
      </c>
      <c r="CF706" s="3">
        <v>43076</v>
      </c>
      <c r="CI706" s="2">
        <v>1</v>
      </c>
      <c r="CJ706" s="2">
        <v>1</v>
      </c>
      <c r="CK706" s="2">
        <v>21</v>
      </c>
      <c r="CL706" s="2" t="s">
        <v>89</v>
      </c>
    </row>
    <row r="707" spans="1:90">
      <c r="A707" s="2" t="s">
        <v>71</v>
      </c>
      <c r="B707" s="2" t="s">
        <v>72</v>
      </c>
      <c r="C707" s="2" t="s">
        <v>73</v>
      </c>
      <c r="E707" s="2" t="str">
        <f>"FES1162593770"</f>
        <v>FES1162593770</v>
      </c>
      <c r="F707" s="3">
        <v>43074</v>
      </c>
      <c r="G707" s="2">
        <v>201806</v>
      </c>
      <c r="H707" s="2" t="s">
        <v>74</v>
      </c>
      <c r="I707" s="2" t="s">
        <v>75</v>
      </c>
      <c r="J707" s="2" t="s">
        <v>97</v>
      </c>
      <c r="K707" s="2" t="s">
        <v>77</v>
      </c>
      <c r="L707" s="2" t="s">
        <v>136</v>
      </c>
      <c r="M707" s="2" t="s">
        <v>137</v>
      </c>
      <c r="N707" s="2" t="s">
        <v>138</v>
      </c>
      <c r="O707" s="2" t="s">
        <v>101</v>
      </c>
      <c r="P707" s="2" t="str">
        <f>"2170597568                    "</f>
        <v xml:space="preserve">2170597568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7.06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2.4</v>
      </c>
      <c r="BJ707" s="2">
        <v>1.4</v>
      </c>
      <c r="BK707" s="2">
        <v>2.5</v>
      </c>
      <c r="BL707" s="2">
        <v>56.43</v>
      </c>
      <c r="BM707" s="2">
        <v>7.9</v>
      </c>
      <c r="BN707" s="2">
        <v>64.33</v>
      </c>
      <c r="BO707" s="2">
        <v>64.33</v>
      </c>
      <c r="BQ707" s="2" t="s">
        <v>82</v>
      </c>
      <c r="BR707" s="2" t="s">
        <v>103</v>
      </c>
      <c r="BS707" s="3">
        <v>43075</v>
      </c>
      <c r="BT707" s="4">
        <v>0.41666666666666669</v>
      </c>
      <c r="BU707" s="2" t="s">
        <v>139</v>
      </c>
      <c r="BV707" s="2" t="s">
        <v>85</v>
      </c>
      <c r="BY707" s="2">
        <v>6935.04</v>
      </c>
      <c r="CA707" s="2" t="s">
        <v>140</v>
      </c>
      <c r="CC707" s="2" t="s">
        <v>137</v>
      </c>
      <c r="CD707" s="2">
        <v>6001</v>
      </c>
      <c r="CE707" s="2" t="s">
        <v>95</v>
      </c>
      <c r="CF707" s="3">
        <v>43076</v>
      </c>
      <c r="CI707" s="2">
        <v>1</v>
      </c>
      <c r="CJ707" s="2">
        <v>1</v>
      </c>
      <c r="CK707" s="2">
        <v>21</v>
      </c>
      <c r="CL707" s="2" t="s">
        <v>89</v>
      </c>
    </row>
    <row r="708" spans="1:90">
      <c r="A708" s="2" t="s">
        <v>71</v>
      </c>
      <c r="B708" s="2" t="s">
        <v>72</v>
      </c>
      <c r="C708" s="2" t="s">
        <v>73</v>
      </c>
      <c r="E708" s="2" t="str">
        <f>"FES1162593785"</f>
        <v>FES1162593785</v>
      </c>
      <c r="F708" s="3">
        <v>43074</v>
      </c>
      <c r="G708" s="2">
        <v>201806</v>
      </c>
      <c r="H708" s="2" t="s">
        <v>74</v>
      </c>
      <c r="I708" s="2" t="s">
        <v>75</v>
      </c>
      <c r="J708" s="2" t="s">
        <v>97</v>
      </c>
      <c r="K708" s="2" t="s">
        <v>77</v>
      </c>
      <c r="L708" s="2" t="s">
        <v>111</v>
      </c>
      <c r="M708" s="2" t="s">
        <v>112</v>
      </c>
      <c r="N708" s="2" t="s">
        <v>113</v>
      </c>
      <c r="O708" s="2" t="s">
        <v>101</v>
      </c>
      <c r="P708" s="2" t="str">
        <f>"2170604289                    "</f>
        <v xml:space="preserve">2170604289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16.940000000000001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5.6</v>
      </c>
      <c r="BJ708" s="2">
        <v>3.4</v>
      </c>
      <c r="BK708" s="2">
        <v>6</v>
      </c>
      <c r="BL708" s="2">
        <v>135.4</v>
      </c>
      <c r="BM708" s="2">
        <v>18.96</v>
      </c>
      <c r="BN708" s="2">
        <v>154.36000000000001</v>
      </c>
      <c r="BO708" s="2">
        <v>154.36000000000001</v>
      </c>
      <c r="BQ708" s="2" t="s">
        <v>82</v>
      </c>
      <c r="BR708" s="2" t="s">
        <v>103</v>
      </c>
      <c r="BS708" s="3">
        <v>43075</v>
      </c>
      <c r="BT708" s="4">
        <v>0.41736111111111113</v>
      </c>
      <c r="BU708" s="2" t="s">
        <v>604</v>
      </c>
      <c r="BV708" s="2" t="s">
        <v>85</v>
      </c>
      <c r="BY708" s="2">
        <v>17110.91</v>
      </c>
      <c r="CA708" s="2" t="s">
        <v>605</v>
      </c>
      <c r="CC708" s="2" t="s">
        <v>112</v>
      </c>
      <c r="CD708" s="2">
        <v>6220</v>
      </c>
      <c r="CE708" s="2" t="s">
        <v>120</v>
      </c>
      <c r="CI708" s="2">
        <v>1</v>
      </c>
      <c r="CJ708" s="2">
        <v>1</v>
      </c>
      <c r="CK708" s="2">
        <v>21</v>
      </c>
      <c r="CL708" s="2" t="s">
        <v>89</v>
      </c>
    </row>
    <row r="709" spans="1:90">
      <c r="A709" s="2" t="s">
        <v>71</v>
      </c>
      <c r="B709" s="2" t="s">
        <v>72</v>
      </c>
      <c r="C709" s="2" t="s">
        <v>73</v>
      </c>
      <c r="E709" s="2" t="str">
        <f>"FES1162593772"</f>
        <v>FES1162593772</v>
      </c>
      <c r="F709" s="3">
        <v>43074</v>
      </c>
      <c r="G709" s="2">
        <v>201806</v>
      </c>
      <c r="H709" s="2" t="s">
        <v>74</v>
      </c>
      <c r="I709" s="2" t="s">
        <v>75</v>
      </c>
      <c r="J709" s="2" t="s">
        <v>97</v>
      </c>
      <c r="K709" s="2" t="s">
        <v>77</v>
      </c>
      <c r="L709" s="2" t="s">
        <v>136</v>
      </c>
      <c r="M709" s="2" t="s">
        <v>137</v>
      </c>
      <c r="N709" s="2" t="s">
        <v>138</v>
      </c>
      <c r="O709" s="2" t="s">
        <v>101</v>
      </c>
      <c r="P709" s="2" t="str">
        <f>"2170598812                    "</f>
        <v xml:space="preserve">2170598812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11.29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3</v>
      </c>
      <c r="BJ709" s="2">
        <v>3.6</v>
      </c>
      <c r="BK709" s="2">
        <v>4</v>
      </c>
      <c r="BL709" s="2">
        <v>90.27</v>
      </c>
      <c r="BM709" s="2">
        <v>12.64</v>
      </c>
      <c r="BN709" s="2">
        <v>102.91</v>
      </c>
      <c r="BO709" s="2">
        <v>102.91</v>
      </c>
      <c r="BQ709" s="2" t="s">
        <v>82</v>
      </c>
      <c r="BR709" s="2" t="s">
        <v>103</v>
      </c>
      <c r="BS709" s="3">
        <v>43075</v>
      </c>
      <c r="BT709" s="4">
        <v>0.41666666666666669</v>
      </c>
      <c r="BU709" s="2" t="s">
        <v>139</v>
      </c>
      <c r="BV709" s="2" t="s">
        <v>85</v>
      </c>
      <c r="BY709" s="2">
        <v>18058.43</v>
      </c>
      <c r="CA709" s="2" t="s">
        <v>140</v>
      </c>
      <c r="CC709" s="2" t="s">
        <v>137</v>
      </c>
      <c r="CD709" s="2">
        <v>6001</v>
      </c>
      <c r="CE709" s="2" t="s">
        <v>95</v>
      </c>
      <c r="CF709" s="3">
        <v>43076</v>
      </c>
      <c r="CI709" s="2">
        <v>1</v>
      </c>
      <c r="CJ709" s="2">
        <v>1</v>
      </c>
      <c r="CK709" s="2">
        <v>21</v>
      </c>
      <c r="CL709" s="2" t="s">
        <v>89</v>
      </c>
    </row>
    <row r="710" spans="1:90">
      <c r="A710" s="2" t="s">
        <v>71</v>
      </c>
      <c r="B710" s="2" t="s">
        <v>72</v>
      </c>
      <c r="C710" s="2" t="s">
        <v>73</v>
      </c>
      <c r="E710" s="2" t="str">
        <f>"FES1162593830"</f>
        <v>FES1162593830</v>
      </c>
      <c r="F710" s="3">
        <v>43074</v>
      </c>
      <c r="G710" s="2">
        <v>201806</v>
      </c>
      <c r="H710" s="2" t="s">
        <v>74</v>
      </c>
      <c r="I710" s="2" t="s">
        <v>75</v>
      </c>
      <c r="J710" s="2" t="s">
        <v>97</v>
      </c>
      <c r="K710" s="2" t="s">
        <v>77</v>
      </c>
      <c r="L710" s="2" t="s">
        <v>136</v>
      </c>
      <c r="M710" s="2" t="s">
        <v>137</v>
      </c>
      <c r="N710" s="2" t="s">
        <v>580</v>
      </c>
      <c r="O710" s="2" t="s">
        <v>101</v>
      </c>
      <c r="P710" s="2" t="str">
        <f>"2170605880                    "</f>
        <v xml:space="preserve">2170605880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12.71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4.0999999999999996</v>
      </c>
      <c r="BJ710" s="2">
        <v>1.9</v>
      </c>
      <c r="BK710" s="2">
        <v>4.5</v>
      </c>
      <c r="BL710" s="2">
        <v>101.56</v>
      </c>
      <c r="BM710" s="2">
        <v>14.22</v>
      </c>
      <c r="BN710" s="2">
        <v>115.78</v>
      </c>
      <c r="BO710" s="2">
        <v>115.78</v>
      </c>
      <c r="BQ710" s="2" t="s">
        <v>102</v>
      </c>
      <c r="BR710" s="2" t="s">
        <v>103</v>
      </c>
      <c r="BS710" s="3">
        <v>43075</v>
      </c>
      <c r="BT710" s="4">
        <v>0.30902777777777779</v>
      </c>
      <c r="BU710" s="2" t="s">
        <v>581</v>
      </c>
      <c r="BV710" s="2" t="s">
        <v>85</v>
      </c>
      <c r="BY710" s="2">
        <v>9646.85</v>
      </c>
      <c r="CA710" s="2" t="s">
        <v>180</v>
      </c>
      <c r="CC710" s="2" t="s">
        <v>137</v>
      </c>
      <c r="CD710" s="2">
        <v>6001</v>
      </c>
      <c r="CE710" s="2" t="s">
        <v>356</v>
      </c>
      <c r="CF710" s="3">
        <v>43077</v>
      </c>
      <c r="CI710" s="2">
        <v>1</v>
      </c>
      <c r="CJ710" s="2">
        <v>1</v>
      </c>
      <c r="CK710" s="2">
        <v>21</v>
      </c>
      <c r="CL710" s="2" t="s">
        <v>89</v>
      </c>
    </row>
    <row r="711" spans="1:90">
      <c r="A711" s="2" t="s">
        <v>71</v>
      </c>
      <c r="B711" s="2" t="s">
        <v>72</v>
      </c>
      <c r="C711" s="2" t="s">
        <v>73</v>
      </c>
      <c r="E711" s="2" t="str">
        <f>"FES1162593773"</f>
        <v>FES1162593773</v>
      </c>
      <c r="F711" s="3">
        <v>43074</v>
      </c>
      <c r="G711" s="2">
        <v>201806</v>
      </c>
      <c r="H711" s="2" t="s">
        <v>74</v>
      </c>
      <c r="I711" s="2" t="s">
        <v>75</v>
      </c>
      <c r="J711" s="2" t="s">
        <v>97</v>
      </c>
      <c r="K711" s="2" t="s">
        <v>77</v>
      </c>
      <c r="L711" s="2" t="s">
        <v>136</v>
      </c>
      <c r="M711" s="2" t="s">
        <v>137</v>
      </c>
      <c r="N711" s="2" t="s">
        <v>138</v>
      </c>
      <c r="O711" s="2" t="s">
        <v>101</v>
      </c>
      <c r="P711" s="2" t="str">
        <f>"2170598950                    "</f>
        <v xml:space="preserve">2170598950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11.29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2.7</v>
      </c>
      <c r="BJ711" s="2">
        <v>3.7</v>
      </c>
      <c r="BK711" s="2">
        <v>4</v>
      </c>
      <c r="BL711" s="2">
        <v>90.27</v>
      </c>
      <c r="BM711" s="2">
        <v>12.64</v>
      </c>
      <c r="BN711" s="2">
        <v>102.91</v>
      </c>
      <c r="BO711" s="2">
        <v>102.91</v>
      </c>
      <c r="BQ711" s="2" t="s">
        <v>82</v>
      </c>
      <c r="BR711" s="2" t="s">
        <v>103</v>
      </c>
      <c r="BS711" s="3">
        <v>43075</v>
      </c>
      <c r="BT711" s="4">
        <v>0.41666666666666669</v>
      </c>
      <c r="BU711" s="2" t="s">
        <v>139</v>
      </c>
      <c r="BV711" s="2" t="s">
        <v>85</v>
      </c>
      <c r="BY711" s="2">
        <v>18467.25</v>
      </c>
      <c r="CA711" s="2" t="s">
        <v>140</v>
      </c>
      <c r="CC711" s="2" t="s">
        <v>137</v>
      </c>
      <c r="CD711" s="2">
        <v>6001</v>
      </c>
      <c r="CE711" s="2" t="s">
        <v>95</v>
      </c>
      <c r="CF711" s="3">
        <v>43076</v>
      </c>
      <c r="CI711" s="2">
        <v>1</v>
      </c>
      <c r="CJ711" s="2">
        <v>1</v>
      </c>
      <c r="CK711" s="2">
        <v>21</v>
      </c>
      <c r="CL711" s="2" t="s">
        <v>89</v>
      </c>
    </row>
    <row r="712" spans="1:90">
      <c r="A712" s="2" t="s">
        <v>71</v>
      </c>
      <c r="B712" s="2" t="s">
        <v>72</v>
      </c>
      <c r="C712" s="2" t="s">
        <v>73</v>
      </c>
      <c r="E712" s="2" t="str">
        <f>"FES1162593594"</f>
        <v>FES1162593594</v>
      </c>
      <c r="F712" s="3">
        <v>43074</v>
      </c>
      <c r="G712" s="2">
        <v>201806</v>
      </c>
      <c r="H712" s="2" t="s">
        <v>74</v>
      </c>
      <c r="I712" s="2" t="s">
        <v>75</v>
      </c>
      <c r="J712" s="2" t="s">
        <v>97</v>
      </c>
      <c r="K712" s="2" t="s">
        <v>77</v>
      </c>
      <c r="L712" s="2" t="s">
        <v>162</v>
      </c>
      <c r="M712" s="2" t="s">
        <v>163</v>
      </c>
      <c r="N712" s="2" t="s">
        <v>1224</v>
      </c>
      <c r="O712" s="2" t="s">
        <v>101</v>
      </c>
      <c r="P712" s="2" t="str">
        <f>"2170605709                    "</f>
        <v xml:space="preserve">2170605709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4.41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</v>
      </c>
      <c r="BJ712" s="2">
        <v>0.9</v>
      </c>
      <c r="BK712" s="2">
        <v>1</v>
      </c>
      <c r="BL712" s="2">
        <v>35.270000000000003</v>
      </c>
      <c r="BM712" s="2">
        <v>4.9400000000000004</v>
      </c>
      <c r="BN712" s="2">
        <v>40.21</v>
      </c>
      <c r="BO712" s="2">
        <v>40.21</v>
      </c>
      <c r="BQ712" s="2" t="s">
        <v>102</v>
      </c>
      <c r="BR712" s="2" t="s">
        <v>103</v>
      </c>
      <c r="BS712" s="3">
        <v>43075</v>
      </c>
      <c r="BT712" s="4">
        <v>0.3576388888888889</v>
      </c>
      <c r="BU712" s="2" t="s">
        <v>1225</v>
      </c>
      <c r="BV712" s="2" t="s">
        <v>85</v>
      </c>
      <c r="BY712" s="2">
        <v>4617</v>
      </c>
      <c r="CA712" s="2" t="s">
        <v>1226</v>
      </c>
      <c r="CC712" s="2" t="s">
        <v>163</v>
      </c>
      <c r="CD712" s="2">
        <v>1451</v>
      </c>
      <c r="CE712" s="2" t="s">
        <v>356</v>
      </c>
      <c r="CF712" s="3">
        <v>43077</v>
      </c>
      <c r="CI712" s="2">
        <v>1</v>
      </c>
      <c r="CJ712" s="2">
        <v>1</v>
      </c>
      <c r="CK712" s="2">
        <v>22</v>
      </c>
      <c r="CL712" s="2" t="s">
        <v>89</v>
      </c>
    </row>
    <row r="713" spans="1:90">
      <c r="A713" s="2" t="s">
        <v>71</v>
      </c>
      <c r="B713" s="2" t="s">
        <v>72</v>
      </c>
      <c r="C713" s="2" t="s">
        <v>73</v>
      </c>
      <c r="E713" s="2" t="str">
        <f>"FES1162593693"</f>
        <v>FES1162593693</v>
      </c>
      <c r="F713" s="3">
        <v>43074</v>
      </c>
      <c r="G713" s="2">
        <v>201806</v>
      </c>
      <c r="H713" s="2" t="s">
        <v>74</v>
      </c>
      <c r="I713" s="2" t="s">
        <v>75</v>
      </c>
      <c r="J713" s="2" t="s">
        <v>97</v>
      </c>
      <c r="K713" s="2" t="s">
        <v>77</v>
      </c>
      <c r="L713" s="2" t="s">
        <v>106</v>
      </c>
      <c r="M713" s="2" t="s">
        <v>107</v>
      </c>
      <c r="N713" s="2" t="s">
        <v>472</v>
      </c>
      <c r="O713" s="2" t="s">
        <v>101</v>
      </c>
      <c r="P713" s="2" t="str">
        <f>"2170605169                    "</f>
        <v xml:space="preserve">2170605169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4.41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35.270000000000003</v>
      </c>
      <c r="BM713" s="2">
        <v>4.9400000000000004</v>
      </c>
      <c r="BN713" s="2">
        <v>40.21</v>
      </c>
      <c r="BO713" s="2">
        <v>40.21</v>
      </c>
      <c r="BQ713" s="2" t="s">
        <v>102</v>
      </c>
      <c r="BR713" s="2" t="s">
        <v>103</v>
      </c>
      <c r="BS713" s="3">
        <v>43075</v>
      </c>
      <c r="BT713" s="4">
        <v>0.43402777777777773</v>
      </c>
      <c r="BU713" s="2" t="s">
        <v>473</v>
      </c>
      <c r="BV713" s="2" t="s">
        <v>85</v>
      </c>
      <c r="BY713" s="2">
        <v>1200</v>
      </c>
      <c r="CA713" s="2" t="s">
        <v>110</v>
      </c>
      <c r="CC713" s="2" t="s">
        <v>107</v>
      </c>
      <c r="CD713" s="2">
        <v>2197</v>
      </c>
      <c r="CE713" s="2" t="s">
        <v>120</v>
      </c>
      <c r="CF713" s="3">
        <v>43077</v>
      </c>
      <c r="CI713" s="2">
        <v>1</v>
      </c>
      <c r="CJ713" s="2">
        <v>1</v>
      </c>
      <c r="CK713" s="2">
        <v>22</v>
      </c>
      <c r="CL713" s="2" t="s">
        <v>89</v>
      </c>
    </row>
    <row r="714" spans="1:90">
      <c r="A714" s="2" t="s">
        <v>71</v>
      </c>
      <c r="B714" s="2" t="s">
        <v>72</v>
      </c>
      <c r="C714" s="2" t="s">
        <v>73</v>
      </c>
      <c r="E714" s="2" t="str">
        <f>"FES1162593763"</f>
        <v>FES1162593763</v>
      </c>
      <c r="F714" s="3">
        <v>43074</v>
      </c>
      <c r="G714" s="2">
        <v>201806</v>
      </c>
      <c r="H714" s="2" t="s">
        <v>74</v>
      </c>
      <c r="I714" s="2" t="s">
        <v>75</v>
      </c>
      <c r="J714" s="2" t="s">
        <v>97</v>
      </c>
      <c r="K714" s="2" t="s">
        <v>77</v>
      </c>
      <c r="L714" s="2" t="s">
        <v>158</v>
      </c>
      <c r="M714" s="2" t="s">
        <v>159</v>
      </c>
      <c r="N714" s="2" t="s">
        <v>564</v>
      </c>
      <c r="O714" s="2" t="s">
        <v>101</v>
      </c>
      <c r="P714" s="2" t="str">
        <f>"2170605859                    "</f>
        <v xml:space="preserve">2170605859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5.65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0.2</v>
      </c>
      <c r="BK714" s="2">
        <v>1</v>
      </c>
      <c r="BL714" s="2">
        <v>45.15</v>
      </c>
      <c r="BM714" s="2">
        <v>6.32</v>
      </c>
      <c r="BN714" s="2">
        <v>51.47</v>
      </c>
      <c r="BO714" s="2">
        <v>51.47</v>
      </c>
      <c r="BQ714" s="2" t="s">
        <v>128</v>
      </c>
      <c r="BR714" s="2" t="s">
        <v>103</v>
      </c>
      <c r="BS714" s="3">
        <v>43075</v>
      </c>
      <c r="BT714" s="4">
        <v>0.5</v>
      </c>
      <c r="BU714" s="2" t="s">
        <v>1181</v>
      </c>
      <c r="BV714" s="2" t="s">
        <v>89</v>
      </c>
      <c r="BW714" s="2" t="s">
        <v>156</v>
      </c>
      <c r="BX714" s="2" t="s">
        <v>968</v>
      </c>
      <c r="BY714" s="2">
        <v>1200</v>
      </c>
      <c r="CC714" s="2" t="s">
        <v>159</v>
      </c>
      <c r="CD714" s="2">
        <v>200</v>
      </c>
      <c r="CE714" s="2" t="s">
        <v>120</v>
      </c>
      <c r="CF714" s="3">
        <v>43077</v>
      </c>
      <c r="CI714" s="2">
        <v>1</v>
      </c>
      <c r="CJ714" s="2">
        <v>1</v>
      </c>
      <c r="CK714" s="2">
        <v>21</v>
      </c>
      <c r="CL714" s="2" t="s">
        <v>89</v>
      </c>
    </row>
    <row r="715" spans="1:90">
      <c r="A715" s="2" t="s">
        <v>71</v>
      </c>
      <c r="B715" s="2" t="s">
        <v>72</v>
      </c>
      <c r="C715" s="2" t="s">
        <v>73</v>
      </c>
      <c r="E715" s="2" t="str">
        <f>"FES1162593703"</f>
        <v>FES1162593703</v>
      </c>
      <c r="F715" s="3">
        <v>43074</v>
      </c>
      <c r="G715" s="2">
        <v>201806</v>
      </c>
      <c r="H715" s="2" t="s">
        <v>74</v>
      </c>
      <c r="I715" s="2" t="s">
        <v>75</v>
      </c>
      <c r="J715" s="2" t="s">
        <v>97</v>
      </c>
      <c r="K715" s="2" t="s">
        <v>77</v>
      </c>
      <c r="L715" s="2" t="s">
        <v>106</v>
      </c>
      <c r="M715" s="2" t="s">
        <v>107</v>
      </c>
      <c r="N715" s="2" t="s">
        <v>108</v>
      </c>
      <c r="O715" s="2" t="s">
        <v>101</v>
      </c>
      <c r="P715" s="2" t="str">
        <f>"2170605565                    "</f>
        <v xml:space="preserve">2170605565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4.41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35.270000000000003</v>
      </c>
      <c r="BM715" s="2">
        <v>4.9400000000000004</v>
      </c>
      <c r="BN715" s="2">
        <v>40.21</v>
      </c>
      <c r="BO715" s="2">
        <v>40.21</v>
      </c>
      <c r="BQ715" s="2" t="s">
        <v>82</v>
      </c>
      <c r="BR715" s="2" t="s">
        <v>103</v>
      </c>
      <c r="BS715" s="3">
        <v>43075</v>
      </c>
      <c r="BT715" s="4">
        <v>0.40902777777777777</v>
      </c>
      <c r="BU715" s="2" t="s">
        <v>1227</v>
      </c>
      <c r="BV715" s="2" t="s">
        <v>85</v>
      </c>
      <c r="BY715" s="2">
        <v>1200</v>
      </c>
      <c r="CA715" s="2" t="s">
        <v>110</v>
      </c>
      <c r="CC715" s="2" t="s">
        <v>107</v>
      </c>
      <c r="CD715" s="2">
        <v>2094</v>
      </c>
      <c r="CE715" s="2" t="s">
        <v>120</v>
      </c>
      <c r="CF715" s="3">
        <v>43077</v>
      </c>
      <c r="CI715" s="2">
        <v>1</v>
      </c>
      <c r="CJ715" s="2">
        <v>1</v>
      </c>
      <c r="CK715" s="2">
        <v>22</v>
      </c>
      <c r="CL715" s="2" t="s">
        <v>89</v>
      </c>
    </row>
    <row r="716" spans="1:90">
      <c r="A716" s="2" t="s">
        <v>71</v>
      </c>
      <c r="B716" s="2" t="s">
        <v>72</v>
      </c>
      <c r="C716" s="2" t="s">
        <v>73</v>
      </c>
      <c r="E716" s="2" t="str">
        <f>"FES1162593683"</f>
        <v>FES1162593683</v>
      </c>
      <c r="F716" s="3">
        <v>43074</v>
      </c>
      <c r="G716" s="2">
        <v>201806</v>
      </c>
      <c r="H716" s="2" t="s">
        <v>74</v>
      </c>
      <c r="I716" s="2" t="s">
        <v>75</v>
      </c>
      <c r="J716" s="2" t="s">
        <v>97</v>
      </c>
      <c r="K716" s="2" t="s">
        <v>77</v>
      </c>
      <c r="L716" s="2" t="s">
        <v>449</v>
      </c>
      <c r="M716" s="2" t="s">
        <v>450</v>
      </c>
      <c r="N716" s="2" t="s">
        <v>1228</v>
      </c>
      <c r="O716" s="2" t="s">
        <v>101</v>
      </c>
      <c r="P716" s="2" t="str">
        <f>"2170604723                    "</f>
        <v xml:space="preserve">2170604723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4.41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</v>
      </c>
      <c r="BJ716" s="2">
        <v>0.2</v>
      </c>
      <c r="BK716" s="2">
        <v>1</v>
      </c>
      <c r="BL716" s="2">
        <v>35.270000000000003</v>
      </c>
      <c r="BM716" s="2">
        <v>4.9400000000000004</v>
      </c>
      <c r="BN716" s="2">
        <v>40.21</v>
      </c>
      <c r="BO716" s="2">
        <v>40.21</v>
      </c>
      <c r="BQ716" s="2" t="s">
        <v>128</v>
      </c>
      <c r="BR716" s="2" t="s">
        <v>103</v>
      </c>
      <c r="BS716" s="3">
        <v>43075</v>
      </c>
      <c r="BT716" s="4">
        <v>0.36805555555555558</v>
      </c>
      <c r="BU716" s="2" t="s">
        <v>205</v>
      </c>
      <c r="BV716" s="2" t="s">
        <v>85</v>
      </c>
      <c r="BY716" s="2">
        <v>1200</v>
      </c>
      <c r="CA716" s="2" t="s">
        <v>453</v>
      </c>
      <c r="CC716" s="2" t="s">
        <v>450</v>
      </c>
      <c r="CD716" s="2">
        <v>1709</v>
      </c>
      <c r="CE716" s="2" t="s">
        <v>120</v>
      </c>
      <c r="CF716" s="3">
        <v>43077</v>
      </c>
      <c r="CI716" s="2">
        <v>1</v>
      </c>
      <c r="CJ716" s="2">
        <v>1</v>
      </c>
      <c r="CK716" s="2">
        <v>22</v>
      </c>
      <c r="CL716" s="2" t="s">
        <v>89</v>
      </c>
    </row>
    <row r="717" spans="1:90">
      <c r="A717" s="2" t="s">
        <v>71</v>
      </c>
      <c r="B717" s="2" t="s">
        <v>72</v>
      </c>
      <c r="C717" s="2" t="s">
        <v>73</v>
      </c>
      <c r="E717" s="2" t="str">
        <f>"FES1162593784"</f>
        <v>FES1162593784</v>
      </c>
      <c r="F717" s="3">
        <v>43074</v>
      </c>
      <c r="G717" s="2">
        <v>201806</v>
      </c>
      <c r="H717" s="2" t="s">
        <v>74</v>
      </c>
      <c r="I717" s="2" t="s">
        <v>75</v>
      </c>
      <c r="J717" s="2" t="s">
        <v>97</v>
      </c>
      <c r="K717" s="2" t="s">
        <v>77</v>
      </c>
      <c r="L717" s="2" t="s">
        <v>173</v>
      </c>
      <c r="M717" s="2" t="s">
        <v>174</v>
      </c>
      <c r="N717" s="2" t="s">
        <v>1229</v>
      </c>
      <c r="O717" s="2" t="s">
        <v>101</v>
      </c>
      <c r="P717" s="2" t="str">
        <f>"2170604274                    "</f>
        <v xml:space="preserve">2170604274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5.65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1.5</v>
      </c>
      <c r="BK717" s="2">
        <v>1.5</v>
      </c>
      <c r="BL717" s="2">
        <v>45.15</v>
      </c>
      <c r="BM717" s="2">
        <v>6.32</v>
      </c>
      <c r="BN717" s="2">
        <v>51.47</v>
      </c>
      <c r="BO717" s="2">
        <v>51.47</v>
      </c>
      <c r="BQ717" s="2" t="s">
        <v>229</v>
      </c>
      <c r="BR717" s="2" t="s">
        <v>103</v>
      </c>
      <c r="BS717" s="3">
        <v>43075</v>
      </c>
      <c r="BT717" s="4">
        <v>0.41666666666666669</v>
      </c>
      <c r="BU717" s="2" t="s">
        <v>1230</v>
      </c>
      <c r="BV717" s="2" t="s">
        <v>85</v>
      </c>
      <c r="BY717" s="2">
        <v>7540</v>
      </c>
      <c r="CA717" s="2" t="s">
        <v>293</v>
      </c>
      <c r="CC717" s="2" t="s">
        <v>174</v>
      </c>
      <c r="CD717" s="2">
        <v>7460</v>
      </c>
      <c r="CE717" s="2" t="s">
        <v>95</v>
      </c>
      <c r="CF717" s="3">
        <v>43076</v>
      </c>
      <c r="CI717" s="2">
        <v>1</v>
      </c>
      <c r="CJ717" s="2">
        <v>1</v>
      </c>
      <c r="CK717" s="2">
        <v>21</v>
      </c>
      <c r="CL717" s="2" t="s">
        <v>89</v>
      </c>
    </row>
    <row r="718" spans="1:90">
      <c r="A718" s="2" t="s">
        <v>71</v>
      </c>
      <c r="B718" s="2" t="s">
        <v>72</v>
      </c>
      <c r="C718" s="2" t="s">
        <v>73</v>
      </c>
      <c r="E718" s="2" t="str">
        <f>"FES1162593636"</f>
        <v>FES1162593636</v>
      </c>
      <c r="F718" s="3">
        <v>43074</v>
      </c>
      <c r="G718" s="2">
        <v>201806</v>
      </c>
      <c r="H718" s="2" t="s">
        <v>74</v>
      </c>
      <c r="I718" s="2" t="s">
        <v>75</v>
      </c>
      <c r="J718" s="2" t="s">
        <v>97</v>
      </c>
      <c r="K718" s="2" t="s">
        <v>77</v>
      </c>
      <c r="L718" s="2" t="s">
        <v>158</v>
      </c>
      <c r="M718" s="2" t="s">
        <v>159</v>
      </c>
      <c r="N718" s="2" t="s">
        <v>1231</v>
      </c>
      <c r="O718" s="2" t="s">
        <v>101</v>
      </c>
      <c r="P718" s="2" t="str">
        <f>"2170605748                    "</f>
        <v xml:space="preserve">2170605748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8.4700000000000006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3</v>
      </c>
      <c r="BK718" s="2">
        <v>3</v>
      </c>
      <c r="BL718" s="2">
        <v>67.709999999999994</v>
      </c>
      <c r="BM718" s="2">
        <v>9.48</v>
      </c>
      <c r="BN718" s="2">
        <v>77.19</v>
      </c>
      <c r="BO718" s="2">
        <v>77.19</v>
      </c>
      <c r="BQ718" s="2" t="s">
        <v>102</v>
      </c>
      <c r="BR718" s="2" t="s">
        <v>103</v>
      </c>
      <c r="BS718" s="3">
        <v>43075</v>
      </c>
      <c r="BT718" s="4">
        <v>0.7680555555555556</v>
      </c>
      <c r="BU718" s="2" t="s">
        <v>746</v>
      </c>
      <c r="BV718" s="2" t="s">
        <v>89</v>
      </c>
      <c r="BW718" s="2" t="s">
        <v>156</v>
      </c>
      <c r="BX718" s="2" t="s">
        <v>968</v>
      </c>
      <c r="BY718" s="2">
        <v>15246</v>
      </c>
      <c r="CA718" s="2" t="s">
        <v>678</v>
      </c>
      <c r="CC718" s="2" t="s">
        <v>159</v>
      </c>
      <c r="CD718" s="2">
        <v>184</v>
      </c>
      <c r="CE718" s="2" t="s">
        <v>356</v>
      </c>
      <c r="CF718" s="3">
        <v>43077</v>
      </c>
      <c r="CI718" s="2">
        <v>1</v>
      </c>
      <c r="CJ718" s="2">
        <v>1</v>
      </c>
      <c r="CK718" s="2">
        <v>21</v>
      </c>
      <c r="CL718" s="2" t="s">
        <v>89</v>
      </c>
    </row>
    <row r="719" spans="1:90">
      <c r="A719" s="2" t="s">
        <v>71</v>
      </c>
      <c r="B719" s="2" t="s">
        <v>72</v>
      </c>
      <c r="C719" s="2" t="s">
        <v>73</v>
      </c>
      <c r="E719" s="2" t="str">
        <f>"FES1162593633"</f>
        <v>FES1162593633</v>
      </c>
      <c r="F719" s="3">
        <v>43074</v>
      </c>
      <c r="G719" s="2">
        <v>201806</v>
      </c>
      <c r="H719" s="2" t="s">
        <v>74</v>
      </c>
      <c r="I719" s="2" t="s">
        <v>75</v>
      </c>
      <c r="J719" s="2" t="s">
        <v>97</v>
      </c>
      <c r="K719" s="2" t="s">
        <v>77</v>
      </c>
      <c r="L719" s="2" t="s">
        <v>162</v>
      </c>
      <c r="M719" s="2" t="s">
        <v>163</v>
      </c>
      <c r="N719" s="2" t="s">
        <v>164</v>
      </c>
      <c r="O719" s="2" t="s">
        <v>101</v>
      </c>
      <c r="P719" s="2" t="str">
        <f>"2170605745                    "</f>
        <v xml:space="preserve">2170605745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4.41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1.6</v>
      </c>
      <c r="BJ719" s="2">
        <v>1.4</v>
      </c>
      <c r="BK719" s="2">
        <v>2</v>
      </c>
      <c r="BL719" s="2">
        <v>35.270000000000003</v>
      </c>
      <c r="BM719" s="2">
        <v>4.9400000000000004</v>
      </c>
      <c r="BN719" s="2">
        <v>40.21</v>
      </c>
      <c r="BO719" s="2">
        <v>40.21</v>
      </c>
      <c r="BQ719" s="2" t="s">
        <v>102</v>
      </c>
      <c r="BR719" s="2" t="s">
        <v>103</v>
      </c>
      <c r="BS719" s="3">
        <v>43075</v>
      </c>
      <c r="BT719" s="4">
        <v>0.38611111111111113</v>
      </c>
      <c r="BU719" s="2" t="s">
        <v>1232</v>
      </c>
      <c r="BV719" s="2" t="s">
        <v>85</v>
      </c>
      <c r="BY719" s="2">
        <v>6838.5</v>
      </c>
      <c r="CA719" s="2" t="s">
        <v>1226</v>
      </c>
      <c r="CC719" s="2" t="s">
        <v>163</v>
      </c>
      <c r="CD719" s="2">
        <v>1451</v>
      </c>
      <c r="CE719" s="2" t="s">
        <v>95</v>
      </c>
      <c r="CF719" s="3">
        <v>43077</v>
      </c>
      <c r="CI719" s="2">
        <v>1</v>
      </c>
      <c r="CJ719" s="2">
        <v>1</v>
      </c>
      <c r="CK719" s="2">
        <v>22</v>
      </c>
      <c r="CL719" s="2" t="s">
        <v>89</v>
      </c>
    </row>
    <row r="720" spans="1:90">
      <c r="A720" s="2" t="s">
        <v>71</v>
      </c>
      <c r="B720" s="2" t="s">
        <v>72</v>
      </c>
      <c r="C720" s="2" t="s">
        <v>73</v>
      </c>
      <c r="E720" s="2" t="str">
        <f>"FES1162593486"</f>
        <v>FES1162593486</v>
      </c>
      <c r="F720" s="3">
        <v>43074</v>
      </c>
      <c r="G720" s="2">
        <v>201806</v>
      </c>
      <c r="H720" s="2" t="s">
        <v>74</v>
      </c>
      <c r="I720" s="2" t="s">
        <v>75</v>
      </c>
      <c r="J720" s="2" t="s">
        <v>97</v>
      </c>
      <c r="K720" s="2" t="s">
        <v>77</v>
      </c>
      <c r="L720" s="2" t="s">
        <v>74</v>
      </c>
      <c r="M720" s="2" t="s">
        <v>75</v>
      </c>
      <c r="N720" s="2" t="s">
        <v>596</v>
      </c>
      <c r="O720" s="2" t="s">
        <v>101</v>
      </c>
      <c r="P720" s="2" t="str">
        <f>"2170605065                    "</f>
        <v xml:space="preserve">2170605065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4.41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4.2</v>
      </c>
      <c r="BJ720" s="2">
        <v>1.7</v>
      </c>
      <c r="BK720" s="2">
        <v>5</v>
      </c>
      <c r="BL720" s="2">
        <v>35.270000000000003</v>
      </c>
      <c r="BM720" s="2">
        <v>4.9400000000000004</v>
      </c>
      <c r="BN720" s="2">
        <v>40.21</v>
      </c>
      <c r="BO720" s="2">
        <v>40.21</v>
      </c>
      <c r="BQ720" s="2" t="s">
        <v>82</v>
      </c>
      <c r="BR720" s="2" t="s">
        <v>103</v>
      </c>
      <c r="BS720" s="3">
        <v>43075</v>
      </c>
      <c r="BT720" s="4">
        <v>0.41666666666666669</v>
      </c>
      <c r="BU720" s="2" t="s">
        <v>597</v>
      </c>
      <c r="BV720" s="2" t="s">
        <v>85</v>
      </c>
      <c r="BY720" s="2">
        <v>8255.27</v>
      </c>
      <c r="CA720" s="2" t="s">
        <v>203</v>
      </c>
      <c r="CC720" s="2" t="s">
        <v>75</v>
      </c>
      <c r="CD720" s="2">
        <v>1665</v>
      </c>
      <c r="CE720" s="2" t="s">
        <v>95</v>
      </c>
      <c r="CF720" s="3">
        <v>43077</v>
      </c>
      <c r="CI720" s="2">
        <v>1</v>
      </c>
      <c r="CJ720" s="2">
        <v>1</v>
      </c>
      <c r="CK720" s="2">
        <v>22</v>
      </c>
      <c r="CL720" s="2" t="s">
        <v>89</v>
      </c>
    </row>
    <row r="721" spans="1:90">
      <c r="A721" s="2" t="s">
        <v>71</v>
      </c>
      <c r="B721" s="2" t="s">
        <v>72</v>
      </c>
      <c r="C721" s="2" t="s">
        <v>73</v>
      </c>
      <c r="E721" s="2" t="str">
        <f>"FES1162593622"</f>
        <v>FES1162593622</v>
      </c>
      <c r="F721" s="3">
        <v>43074</v>
      </c>
      <c r="G721" s="2">
        <v>201806</v>
      </c>
      <c r="H721" s="2" t="s">
        <v>74</v>
      </c>
      <c r="I721" s="2" t="s">
        <v>75</v>
      </c>
      <c r="J721" s="2" t="s">
        <v>97</v>
      </c>
      <c r="K721" s="2" t="s">
        <v>77</v>
      </c>
      <c r="L721" s="2" t="s">
        <v>74</v>
      </c>
      <c r="M721" s="2" t="s">
        <v>75</v>
      </c>
      <c r="N721" s="2" t="s">
        <v>1233</v>
      </c>
      <c r="O721" s="2" t="s">
        <v>101</v>
      </c>
      <c r="P721" s="2" t="str">
        <f>"2170605512                    "</f>
        <v xml:space="preserve">2170605512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4.41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2</v>
      </c>
      <c r="BI721" s="2">
        <v>6.3</v>
      </c>
      <c r="BJ721" s="2">
        <v>3.7</v>
      </c>
      <c r="BK721" s="2">
        <v>7</v>
      </c>
      <c r="BL721" s="2">
        <v>35.270000000000003</v>
      </c>
      <c r="BM721" s="2">
        <v>4.9400000000000004</v>
      </c>
      <c r="BN721" s="2">
        <v>40.21</v>
      </c>
      <c r="BO721" s="2">
        <v>40.21</v>
      </c>
      <c r="BQ721" s="2" t="s">
        <v>102</v>
      </c>
      <c r="BR721" s="2" t="s">
        <v>103</v>
      </c>
      <c r="BS721" s="3">
        <v>43075</v>
      </c>
      <c r="BT721" s="4">
        <v>0.3979166666666667</v>
      </c>
      <c r="BU721" s="2" t="s">
        <v>205</v>
      </c>
      <c r="BV721" s="2" t="s">
        <v>85</v>
      </c>
      <c r="BY721" s="2">
        <v>18745.2</v>
      </c>
      <c r="CA721" s="2" t="s">
        <v>206</v>
      </c>
      <c r="CC721" s="2" t="s">
        <v>75</v>
      </c>
      <c r="CD721" s="2">
        <v>1609</v>
      </c>
      <c r="CE721" s="2" t="s">
        <v>95</v>
      </c>
      <c r="CF721" s="3">
        <v>43077</v>
      </c>
      <c r="CI721" s="2">
        <v>1</v>
      </c>
      <c r="CJ721" s="2">
        <v>1</v>
      </c>
      <c r="CK721" s="2">
        <v>22</v>
      </c>
      <c r="CL721" s="2" t="s">
        <v>89</v>
      </c>
    </row>
    <row r="722" spans="1:90">
      <c r="A722" s="2" t="s">
        <v>71</v>
      </c>
      <c r="B722" s="2" t="s">
        <v>72</v>
      </c>
      <c r="C722" s="2" t="s">
        <v>73</v>
      </c>
      <c r="E722" s="2" t="str">
        <f>"FES1162593655"</f>
        <v>FES1162593655</v>
      </c>
      <c r="F722" s="3">
        <v>43074</v>
      </c>
      <c r="G722" s="2">
        <v>201806</v>
      </c>
      <c r="H722" s="2" t="s">
        <v>74</v>
      </c>
      <c r="I722" s="2" t="s">
        <v>75</v>
      </c>
      <c r="J722" s="2" t="s">
        <v>97</v>
      </c>
      <c r="K722" s="2" t="s">
        <v>77</v>
      </c>
      <c r="L722" s="2" t="s">
        <v>106</v>
      </c>
      <c r="M722" s="2" t="s">
        <v>107</v>
      </c>
      <c r="N722" s="2" t="s">
        <v>108</v>
      </c>
      <c r="O722" s="2" t="s">
        <v>101</v>
      </c>
      <c r="P722" s="2" t="str">
        <f>"2170605770                    "</f>
        <v xml:space="preserve">2170605770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4.41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1</v>
      </c>
      <c r="BJ722" s="2">
        <v>0.2</v>
      </c>
      <c r="BK722" s="2">
        <v>1</v>
      </c>
      <c r="BL722" s="2">
        <v>35.270000000000003</v>
      </c>
      <c r="BM722" s="2">
        <v>4.9400000000000004</v>
      </c>
      <c r="BN722" s="2">
        <v>40.21</v>
      </c>
      <c r="BO722" s="2">
        <v>40.21</v>
      </c>
      <c r="BQ722" s="2" t="s">
        <v>82</v>
      </c>
      <c r="BR722" s="2" t="s">
        <v>103</v>
      </c>
      <c r="BS722" s="3">
        <v>43075</v>
      </c>
      <c r="BT722" s="4">
        <v>0.40763888888888888</v>
      </c>
      <c r="BU722" s="2" t="s">
        <v>1227</v>
      </c>
      <c r="BV722" s="2" t="s">
        <v>85</v>
      </c>
      <c r="BY722" s="2">
        <v>1200</v>
      </c>
      <c r="CA722" s="2" t="s">
        <v>110</v>
      </c>
      <c r="CC722" s="2" t="s">
        <v>107</v>
      </c>
      <c r="CD722" s="2">
        <v>2094</v>
      </c>
      <c r="CE722" s="2" t="s">
        <v>120</v>
      </c>
      <c r="CF722" s="3">
        <v>43077</v>
      </c>
      <c r="CI722" s="2">
        <v>1</v>
      </c>
      <c r="CJ722" s="2">
        <v>1</v>
      </c>
      <c r="CK722" s="2">
        <v>22</v>
      </c>
      <c r="CL722" s="2" t="s">
        <v>89</v>
      </c>
    </row>
    <row r="723" spans="1:90">
      <c r="A723" s="2" t="s">
        <v>71</v>
      </c>
      <c r="B723" s="2" t="s">
        <v>72</v>
      </c>
      <c r="C723" s="2" t="s">
        <v>73</v>
      </c>
      <c r="E723" s="2" t="str">
        <f>"FES1162593747"</f>
        <v>FES1162593747</v>
      </c>
      <c r="F723" s="3">
        <v>43074</v>
      </c>
      <c r="G723" s="2">
        <v>201806</v>
      </c>
      <c r="H723" s="2" t="s">
        <v>74</v>
      </c>
      <c r="I723" s="2" t="s">
        <v>75</v>
      </c>
      <c r="J723" s="2" t="s">
        <v>97</v>
      </c>
      <c r="K723" s="2" t="s">
        <v>77</v>
      </c>
      <c r="L723" s="2" t="s">
        <v>168</v>
      </c>
      <c r="M723" s="2" t="s">
        <v>169</v>
      </c>
      <c r="N723" s="2" t="s">
        <v>351</v>
      </c>
      <c r="O723" s="2" t="s">
        <v>101</v>
      </c>
      <c r="P723" s="2" t="str">
        <f>"2170605834                    "</f>
        <v xml:space="preserve">2170605834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5.65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1</v>
      </c>
      <c r="BJ723" s="2">
        <v>0.2</v>
      </c>
      <c r="BK723" s="2">
        <v>1</v>
      </c>
      <c r="BL723" s="2">
        <v>45.15</v>
      </c>
      <c r="BM723" s="2">
        <v>6.32</v>
      </c>
      <c r="BN723" s="2">
        <v>51.47</v>
      </c>
      <c r="BO723" s="2">
        <v>51.47</v>
      </c>
      <c r="BQ723" s="2" t="s">
        <v>102</v>
      </c>
      <c r="BR723" s="2" t="s">
        <v>103</v>
      </c>
      <c r="BS723" s="3">
        <v>43076</v>
      </c>
      <c r="BT723" s="4">
        <v>0.33333333333333331</v>
      </c>
      <c r="BU723" s="2" t="s">
        <v>1234</v>
      </c>
      <c r="BV723" s="2" t="s">
        <v>89</v>
      </c>
      <c r="BW723" s="2" t="s">
        <v>149</v>
      </c>
      <c r="BX723" s="2" t="s">
        <v>594</v>
      </c>
      <c r="BY723" s="2">
        <v>1200</v>
      </c>
      <c r="CA723" s="2" t="s">
        <v>1235</v>
      </c>
      <c r="CC723" s="2" t="s">
        <v>169</v>
      </c>
      <c r="CD723" s="2">
        <v>3610</v>
      </c>
      <c r="CE723" s="2" t="s">
        <v>120</v>
      </c>
      <c r="CF723" s="3">
        <v>43080</v>
      </c>
      <c r="CI723" s="2">
        <v>1</v>
      </c>
      <c r="CJ723" s="2">
        <v>2</v>
      </c>
      <c r="CK723" s="2">
        <v>21</v>
      </c>
      <c r="CL723" s="2" t="s">
        <v>89</v>
      </c>
    </row>
    <row r="724" spans="1:90">
      <c r="A724" s="2" t="s">
        <v>71</v>
      </c>
      <c r="B724" s="2" t="s">
        <v>72</v>
      </c>
      <c r="C724" s="2" t="s">
        <v>73</v>
      </c>
      <c r="E724" s="2" t="str">
        <f>"FES1162593737"</f>
        <v>FES1162593737</v>
      </c>
      <c r="F724" s="3">
        <v>43074</v>
      </c>
      <c r="G724" s="2">
        <v>201806</v>
      </c>
      <c r="H724" s="2" t="s">
        <v>74</v>
      </c>
      <c r="I724" s="2" t="s">
        <v>75</v>
      </c>
      <c r="J724" s="2" t="s">
        <v>97</v>
      </c>
      <c r="K724" s="2" t="s">
        <v>77</v>
      </c>
      <c r="L724" s="2" t="s">
        <v>98</v>
      </c>
      <c r="M724" s="2" t="s">
        <v>99</v>
      </c>
      <c r="N724" s="2" t="s">
        <v>1236</v>
      </c>
      <c r="O724" s="2" t="s">
        <v>101</v>
      </c>
      <c r="P724" s="2" t="str">
        <f>"2170605797                    "</f>
        <v xml:space="preserve">2170605797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5.65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</v>
      </c>
      <c r="BJ724" s="2">
        <v>0.2</v>
      </c>
      <c r="BK724" s="2">
        <v>1</v>
      </c>
      <c r="BL724" s="2">
        <v>45.15</v>
      </c>
      <c r="BM724" s="2">
        <v>6.32</v>
      </c>
      <c r="BN724" s="2">
        <v>51.47</v>
      </c>
      <c r="BO724" s="2">
        <v>51.47</v>
      </c>
      <c r="BQ724" s="2" t="s">
        <v>128</v>
      </c>
      <c r="BR724" s="2" t="s">
        <v>103</v>
      </c>
      <c r="BS724" s="3">
        <v>43075</v>
      </c>
      <c r="BT724" s="4">
        <v>0.3840277777777778</v>
      </c>
      <c r="BU724" s="2" t="s">
        <v>1237</v>
      </c>
      <c r="BV724" s="2" t="s">
        <v>85</v>
      </c>
      <c r="BY724" s="2">
        <v>1200</v>
      </c>
      <c r="CA724" s="2" t="s">
        <v>497</v>
      </c>
      <c r="CC724" s="2" t="s">
        <v>99</v>
      </c>
      <c r="CD724" s="2">
        <v>3201</v>
      </c>
      <c r="CE724" s="2" t="s">
        <v>120</v>
      </c>
      <c r="CF724" s="3">
        <v>43076</v>
      </c>
      <c r="CI724" s="2">
        <v>1</v>
      </c>
      <c r="CJ724" s="2">
        <v>1</v>
      </c>
      <c r="CK724" s="2">
        <v>21</v>
      </c>
      <c r="CL724" s="2" t="s">
        <v>89</v>
      </c>
    </row>
    <row r="725" spans="1:90">
      <c r="A725" s="2" t="s">
        <v>71</v>
      </c>
      <c r="B725" s="2" t="s">
        <v>72</v>
      </c>
      <c r="C725" s="2" t="s">
        <v>73</v>
      </c>
      <c r="E725" s="2" t="str">
        <f>"FES1162593877"</f>
        <v>FES1162593877</v>
      </c>
      <c r="F725" s="3">
        <v>43074</v>
      </c>
      <c r="G725" s="2">
        <v>201806</v>
      </c>
      <c r="H725" s="2" t="s">
        <v>74</v>
      </c>
      <c r="I725" s="2" t="s">
        <v>75</v>
      </c>
      <c r="J725" s="2" t="s">
        <v>97</v>
      </c>
      <c r="K725" s="2" t="s">
        <v>77</v>
      </c>
      <c r="L725" s="2" t="s">
        <v>106</v>
      </c>
      <c r="M725" s="2" t="s">
        <v>107</v>
      </c>
      <c r="N725" s="2" t="s">
        <v>1238</v>
      </c>
      <c r="O725" s="2" t="s">
        <v>101</v>
      </c>
      <c r="P725" s="2" t="str">
        <f>"2170605897                    "</f>
        <v xml:space="preserve">2170605897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4.41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</v>
      </c>
      <c r="BJ725" s="2">
        <v>0.2</v>
      </c>
      <c r="BK725" s="2">
        <v>1</v>
      </c>
      <c r="BL725" s="2">
        <v>35.270000000000003</v>
      </c>
      <c r="BM725" s="2">
        <v>4.9400000000000004</v>
      </c>
      <c r="BN725" s="2">
        <v>40.21</v>
      </c>
      <c r="BO725" s="2">
        <v>40.21</v>
      </c>
      <c r="BQ725" s="2" t="s">
        <v>102</v>
      </c>
      <c r="BR725" s="2" t="s">
        <v>103</v>
      </c>
      <c r="BS725" s="3">
        <v>43075</v>
      </c>
      <c r="BT725" s="4">
        <v>0.78402777777777777</v>
      </c>
      <c r="BU725" s="2" t="s">
        <v>1239</v>
      </c>
      <c r="BV725" s="2" t="s">
        <v>89</v>
      </c>
      <c r="BW725" s="2" t="s">
        <v>437</v>
      </c>
      <c r="BX725" s="2" t="s">
        <v>1140</v>
      </c>
      <c r="BY725" s="2">
        <v>1200</v>
      </c>
      <c r="CA725" s="2" t="s">
        <v>1240</v>
      </c>
      <c r="CC725" s="2" t="s">
        <v>107</v>
      </c>
      <c r="CD725" s="2">
        <v>2092</v>
      </c>
      <c r="CE725" s="2" t="s">
        <v>120</v>
      </c>
      <c r="CF725" s="3">
        <v>43077</v>
      </c>
      <c r="CI725" s="2">
        <v>1</v>
      </c>
      <c r="CJ725" s="2">
        <v>1</v>
      </c>
      <c r="CK725" s="2">
        <v>22</v>
      </c>
      <c r="CL725" s="2" t="s">
        <v>89</v>
      </c>
    </row>
    <row r="726" spans="1:90">
      <c r="A726" s="2" t="s">
        <v>71</v>
      </c>
      <c r="B726" s="2" t="s">
        <v>72</v>
      </c>
      <c r="C726" s="2" t="s">
        <v>73</v>
      </c>
      <c r="E726" s="2" t="str">
        <f>"FES1162593657"</f>
        <v>FES1162593657</v>
      </c>
      <c r="F726" s="3">
        <v>43074</v>
      </c>
      <c r="G726" s="2">
        <v>201806</v>
      </c>
      <c r="H726" s="2" t="s">
        <v>74</v>
      </c>
      <c r="I726" s="2" t="s">
        <v>75</v>
      </c>
      <c r="J726" s="2" t="s">
        <v>97</v>
      </c>
      <c r="K726" s="2" t="s">
        <v>77</v>
      </c>
      <c r="L726" s="2" t="s">
        <v>168</v>
      </c>
      <c r="M726" s="2" t="s">
        <v>169</v>
      </c>
      <c r="N726" s="2" t="s">
        <v>1099</v>
      </c>
      <c r="O726" s="2" t="s">
        <v>101</v>
      </c>
      <c r="P726" s="2" t="str">
        <f>"2170605774                    "</f>
        <v xml:space="preserve">2170605774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5.65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1</v>
      </c>
      <c r="BJ726" s="2">
        <v>0.2</v>
      </c>
      <c r="BK726" s="2">
        <v>1</v>
      </c>
      <c r="BL726" s="2">
        <v>45.15</v>
      </c>
      <c r="BM726" s="2">
        <v>6.32</v>
      </c>
      <c r="BN726" s="2">
        <v>51.47</v>
      </c>
      <c r="BO726" s="2">
        <v>51.47</v>
      </c>
      <c r="BQ726" s="2" t="s">
        <v>82</v>
      </c>
      <c r="BR726" s="2" t="s">
        <v>103</v>
      </c>
      <c r="BS726" s="3">
        <v>43075</v>
      </c>
      <c r="BT726" s="4">
        <v>0.40972222222222227</v>
      </c>
      <c r="BU726" s="2" t="s">
        <v>1100</v>
      </c>
      <c r="BV726" s="2" t="s">
        <v>85</v>
      </c>
      <c r="BY726" s="2">
        <v>1200</v>
      </c>
      <c r="CA726" s="2" t="s">
        <v>172</v>
      </c>
      <c r="CC726" s="2" t="s">
        <v>169</v>
      </c>
      <c r="CD726" s="2">
        <v>3610</v>
      </c>
      <c r="CE726" s="2" t="s">
        <v>120</v>
      </c>
      <c r="CF726" s="3">
        <v>43076</v>
      </c>
      <c r="CI726" s="2">
        <v>1</v>
      </c>
      <c r="CJ726" s="2">
        <v>1</v>
      </c>
      <c r="CK726" s="2">
        <v>21</v>
      </c>
      <c r="CL726" s="2" t="s">
        <v>89</v>
      </c>
    </row>
    <row r="727" spans="1:90">
      <c r="A727" s="2" t="s">
        <v>71</v>
      </c>
      <c r="B727" s="2" t="s">
        <v>72</v>
      </c>
      <c r="C727" s="2" t="s">
        <v>73</v>
      </c>
      <c r="E727" s="2" t="str">
        <f>"FES1162593658"</f>
        <v>FES1162593658</v>
      </c>
      <c r="F727" s="3">
        <v>43074</v>
      </c>
      <c r="G727" s="2">
        <v>201806</v>
      </c>
      <c r="H727" s="2" t="s">
        <v>74</v>
      </c>
      <c r="I727" s="2" t="s">
        <v>75</v>
      </c>
      <c r="J727" s="2" t="s">
        <v>97</v>
      </c>
      <c r="K727" s="2" t="s">
        <v>77</v>
      </c>
      <c r="L727" s="2" t="s">
        <v>158</v>
      </c>
      <c r="M727" s="2" t="s">
        <v>159</v>
      </c>
      <c r="N727" s="2" t="s">
        <v>1241</v>
      </c>
      <c r="O727" s="2" t="s">
        <v>101</v>
      </c>
      <c r="P727" s="2" t="str">
        <f>"2170605776                    "</f>
        <v xml:space="preserve">2170605776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5.65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1</v>
      </c>
      <c r="BJ727" s="2">
        <v>0.2</v>
      </c>
      <c r="BK727" s="2">
        <v>1</v>
      </c>
      <c r="BL727" s="2">
        <v>45.15</v>
      </c>
      <c r="BM727" s="2">
        <v>6.32</v>
      </c>
      <c r="BN727" s="2">
        <v>51.47</v>
      </c>
      <c r="BO727" s="2">
        <v>51.47</v>
      </c>
      <c r="BQ727" s="2" t="s">
        <v>229</v>
      </c>
      <c r="BR727" s="2" t="s">
        <v>103</v>
      </c>
      <c r="BS727" s="3">
        <v>43075</v>
      </c>
      <c r="BT727" s="4">
        <v>0.4375</v>
      </c>
      <c r="BU727" s="2" t="s">
        <v>1242</v>
      </c>
      <c r="BV727" s="2" t="s">
        <v>85</v>
      </c>
      <c r="BY727" s="2">
        <v>1200</v>
      </c>
      <c r="CC727" s="2" t="s">
        <v>159</v>
      </c>
      <c r="CD727" s="2">
        <v>200</v>
      </c>
      <c r="CE727" s="2" t="s">
        <v>120</v>
      </c>
      <c r="CF727" s="3">
        <v>43077</v>
      </c>
      <c r="CI727" s="2">
        <v>1</v>
      </c>
      <c r="CJ727" s="2">
        <v>1</v>
      </c>
      <c r="CK727" s="2">
        <v>21</v>
      </c>
      <c r="CL727" s="2" t="s">
        <v>89</v>
      </c>
    </row>
    <row r="728" spans="1:90">
      <c r="A728" s="2" t="s">
        <v>71</v>
      </c>
      <c r="B728" s="2" t="s">
        <v>72</v>
      </c>
      <c r="C728" s="2" t="s">
        <v>73</v>
      </c>
      <c r="E728" s="2" t="str">
        <f>"FES1162593667"</f>
        <v>FES1162593667</v>
      </c>
      <c r="F728" s="3">
        <v>43074</v>
      </c>
      <c r="G728" s="2">
        <v>201806</v>
      </c>
      <c r="H728" s="2" t="s">
        <v>74</v>
      </c>
      <c r="I728" s="2" t="s">
        <v>75</v>
      </c>
      <c r="J728" s="2" t="s">
        <v>97</v>
      </c>
      <c r="K728" s="2" t="s">
        <v>77</v>
      </c>
      <c r="L728" s="2" t="s">
        <v>74</v>
      </c>
      <c r="M728" s="2" t="s">
        <v>75</v>
      </c>
      <c r="N728" s="2" t="s">
        <v>201</v>
      </c>
      <c r="O728" s="2" t="s">
        <v>101</v>
      </c>
      <c r="P728" s="2" t="str">
        <f>"2170604438                    "</f>
        <v xml:space="preserve">2170604438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4.41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35.270000000000003</v>
      </c>
      <c r="BM728" s="2">
        <v>4.9400000000000004</v>
      </c>
      <c r="BN728" s="2">
        <v>40.21</v>
      </c>
      <c r="BO728" s="2">
        <v>40.21</v>
      </c>
      <c r="BQ728" s="2" t="s">
        <v>102</v>
      </c>
      <c r="BR728" s="2" t="s">
        <v>103</v>
      </c>
      <c r="BS728" s="3">
        <v>43075</v>
      </c>
      <c r="BT728" s="4">
        <v>0.41666666666666669</v>
      </c>
      <c r="BU728" s="2" t="s">
        <v>202</v>
      </c>
      <c r="BV728" s="2" t="s">
        <v>85</v>
      </c>
      <c r="BY728" s="2">
        <v>1200</v>
      </c>
      <c r="CA728" s="2" t="s">
        <v>203</v>
      </c>
      <c r="CC728" s="2" t="s">
        <v>75</v>
      </c>
      <c r="CD728" s="2">
        <v>1665</v>
      </c>
      <c r="CE728" s="2" t="s">
        <v>120</v>
      </c>
      <c r="CF728" s="3">
        <v>43077</v>
      </c>
      <c r="CI728" s="2">
        <v>1</v>
      </c>
      <c r="CJ728" s="2">
        <v>1</v>
      </c>
      <c r="CK728" s="2">
        <v>22</v>
      </c>
      <c r="CL728" s="2" t="s">
        <v>89</v>
      </c>
    </row>
    <row r="729" spans="1:90">
      <c r="A729" s="2" t="s">
        <v>71</v>
      </c>
      <c r="B729" s="2" t="s">
        <v>72</v>
      </c>
      <c r="C729" s="2" t="s">
        <v>73</v>
      </c>
      <c r="E729" s="2" t="str">
        <f>"FES1162593680"</f>
        <v>FES1162593680</v>
      </c>
      <c r="F729" s="3">
        <v>43074</v>
      </c>
      <c r="G729" s="2">
        <v>201806</v>
      </c>
      <c r="H729" s="2" t="s">
        <v>74</v>
      </c>
      <c r="I729" s="2" t="s">
        <v>75</v>
      </c>
      <c r="J729" s="2" t="s">
        <v>97</v>
      </c>
      <c r="K729" s="2" t="s">
        <v>77</v>
      </c>
      <c r="L729" s="2" t="s">
        <v>158</v>
      </c>
      <c r="M729" s="2" t="s">
        <v>159</v>
      </c>
      <c r="N729" s="2" t="s">
        <v>750</v>
      </c>
      <c r="O729" s="2" t="s">
        <v>101</v>
      </c>
      <c r="P729" s="2" t="str">
        <f>"2170604580                    "</f>
        <v xml:space="preserve">2170604580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5.65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45.15</v>
      </c>
      <c r="BM729" s="2">
        <v>6.32</v>
      </c>
      <c r="BN729" s="2">
        <v>51.47</v>
      </c>
      <c r="BO729" s="2">
        <v>51.47</v>
      </c>
      <c r="BQ729" s="2" t="s">
        <v>751</v>
      </c>
      <c r="BR729" s="2" t="s">
        <v>103</v>
      </c>
      <c r="BS729" s="3">
        <v>43075</v>
      </c>
      <c r="BT729" s="4">
        <v>0.46527777777777773</v>
      </c>
      <c r="BU729" s="2" t="s">
        <v>1243</v>
      </c>
      <c r="BV729" s="2" t="s">
        <v>89</v>
      </c>
      <c r="BW729" s="2" t="s">
        <v>156</v>
      </c>
      <c r="BX729" s="2" t="s">
        <v>565</v>
      </c>
      <c r="BY729" s="2">
        <v>1200</v>
      </c>
      <c r="CC729" s="2" t="s">
        <v>159</v>
      </c>
      <c r="CD729" s="2">
        <v>182</v>
      </c>
      <c r="CE729" s="2" t="s">
        <v>120</v>
      </c>
      <c r="CF729" s="3">
        <v>43077</v>
      </c>
      <c r="CI729" s="2">
        <v>1</v>
      </c>
      <c r="CJ729" s="2">
        <v>1</v>
      </c>
      <c r="CK729" s="2">
        <v>21</v>
      </c>
      <c r="CL729" s="2" t="s">
        <v>89</v>
      </c>
    </row>
    <row r="730" spans="1:90">
      <c r="A730" s="2" t="s">
        <v>71</v>
      </c>
      <c r="B730" s="2" t="s">
        <v>72</v>
      </c>
      <c r="C730" s="2" t="s">
        <v>73</v>
      </c>
      <c r="E730" s="2" t="str">
        <f>"FES1162593673"</f>
        <v>FES1162593673</v>
      </c>
      <c r="F730" s="3">
        <v>43074</v>
      </c>
      <c r="G730" s="2">
        <v>201806</v>
      </c>
      <c r="H730" s="2" t="s">
        <v>74</v>
      </c>
      <c r="I730" s="2" t="s">
        <v>75</v>
      </c>
      <c r="J730" s="2" t="s">
        <v>97</v>
      </c>
      <c r="K730" s="2" t="s">
        <v>77</v>
      </c>
      <c r="L730" s="2" t="s">
        <v>115</v>
      </c>
      <c r="M730" s="2" t="s">
        <v>116</v>
      </c>
      <c r="N730" s="2" t="s">
        <v>1244</v>
      </c>
      <c r="O730" s="2" t="s">
        <v>101</v>
      </c>
      <c r="P730" s="2" t="str">
        <f>"2170604316                    "</f>
        <v xml:space="preserve">2170604316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4.41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1</v>
      </c>
      <c r="BJ730" s="2">
        <v>0.2</v>
      </c>
      <c r="BK730" s="2">
        <v>1</v>
      </c>
      <c r="BL730" s="2">
        <v>35.270000000000003</v>
      </c>
      <c r="BM730" s="2">
        <v>4.9400000000000004</v>
      </c>
      <c r="BN730" s="2">
        <v>40.21</v>
      </c>
      <c r="BO730" s="2">
        <v>40.21</v>
      </c>
      <c r="BQ730" s="2" t="s">
        <v>1245</v>
      </c>
      <c r="BR730" s="2" t="s">
        <v>103</v>
      </c>
      <c r="BS730" s="3">
        <v>43075</v>
      </c>
      <c r="BT730" s="4">
        <v>0.50902777777777775</v>
      </c>
      <c r="BU730" s="2" t="s">
        <v>1246</v>
      </c>
      <c r="BV730" s="2" t="s">
        <v>89</v>
      </c>
      <c r="BW730" s="2" t="s">
        <v>156</v>
      </c>
      <c r="BX730" s="2" t="s">
        <v>456</v>
      </c>
      <c r="BY730" s="2">
        <v>1200</v>
      </c>
      <c r="CC730" s="2" t="s">
        <v>116</v>
      </c>
      <c r="CD730" s="2">
        <v>1459</v>
      </c>
      <c r="CE730" s="2" t="s">
        <v>120</v>
      </c>
      <c r="CF730" s="3">
        <v>43077</v>
      </c>
      <c r="CI730" s="2">
        <v>1</v>
      </c>
      <c r="CJ730" s="2">
        <v>1</v>
      </c>
      <c r="CK730" s="2">
        <v>22</v>
      </c>
      <c r="CL730" s="2" t="s">
        <v>89</v>
      </c>
    </row>
    <row r="731" spans="1:90">
      <c r="A731" s="2" t="s">
        <v>71</v>
      </c>
      <c r="B731" s="2" t="s">
        <v>72</v>
      </c>
      <c r="C731" s="2" t="s">
        <v>73</v>
      </c>
      <c r="E731" s="2" t="str">
        <f>"FES1162593635"</f>
        <v>FES1162593635</v>
      </c>
      <c r="F731" s="3">
        <v>43074</v>
      </c>
      <c r="G731" s="2">
        <v>201806</v>
      </c>
      <c r="H731" s="2" t="s">
        <v>74</v>
      </c>
      <c r="I731" s="2" t="s">
        <v>75</v>
      </c>
      <c r="J731" s="2" t="s">
        <v>97</v>
      </c>
      <c r="K731" s="2" t="s">
        <v>77</v>
      </c>
      <c r="L731" s="2" t="s">
        <v>74</v>
      </c>
      <c r="M731" s="2" t="s">
        <v>75</v>
      </c>
      <c r="N731" s="2" t="s">
        <v>1094</v>
      </c>
      <c r="O731" s="2" t="s">
        <v>101</v>
      </c>
      <c r="P731" s="2" t="str">
        <f>"2170605747                    "</f>
        <v xml:space="preserve">2170605747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4.41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1</v>
      </c>
      <c r="BJ731" s="2">
        <v>0.2</v>
      </c>
      <c r="BK731" s="2">
        <v>1</v>
      </c>
      <c r="BL731" s="2">
        <v>35.270000000000003</v>
      </c>
      <c r="BM731" s="2">
        <v>4.9400000000000004</v>
      </c>
      <c r="BN731" s="2">
        <v>40.21</v>
      </c>
      <c r="BO731" s="2">
        <v>40.21</v>
      </c>
      <c r="BQ731" s="2" t="s">
        <v>1247</v>
      </c>
      <c r="BR731" s="2" t="s">
        <v>103</v>
      </c>
      <c r="BS731" s="3">
        <v>43075</v>
      </c>
      <c r="BT731" s="4">
        <v>0.41666666666666669</v>
      </c>
      <c r="BU731" s="2" t="s">
        <v>1095</v>
      </c>
      <c r="BV731" s="2" t="s">
        <v>85</v>
      </c>
      <c r="BY731" s="2">
        <v>1200</v>
      </c>
      <c r="CA731" s="2" t="s">
        <v>203</v>
      </c>
      <c r="CC731" s="2" t="s">
        <v>75</v>
      </c>
      <c r="CD731" s="2">
        <v>1666</v>
      </c>
      <c r="CE731" s="2" t="s">
        <v>120</v>
      </c>
      <c r="CF731" s="3">
        <v>43077</v>
      </c>
      <c r="CI731" s="2">
        <v>1</v>
      </c>
      <c r="CJ731" s="2">
        <v>1</v>
      </c>
      <c r="CK731" s="2">
        <v>22</v>
      </c>
      <c r="CL731" s="2" t="s">
        <v>89</v>
      </c>
    </row>
    <row r="732" spans="1:90">
      <c r="A732" s="2" t="s">
        <v>71</v>
      </c>
      <c r="B732" s="2" t="s">
        <v>72</v>
      </c>
      <c r="C732" s="2" t="s">
        <v>73</v>
      </c>
      <c r="E732" s="2" t="str">
        <f>"FES1162593879"</f>
        <v>FES1162593879</v>
      </c>
      <c r="F732" s="3">
        <v>43074</v>
      </c>
      <c r="G732" s="2">
        <v>201806</v>
      </c>
      <c r="H732" s="2" t="s">
        <v>74</v>
      </c>
      <c r="I732" s="2" t="s">
        <v>75</v>
      </c>
      <c r="J732" s="2" t="s">
        <v>97</v>
      </c>
      <c r="K732" s="2" t="s">
        <v>77</v>
      </c>
      <c r="L732" s="2" t="s">
        <v>136</v>
      </c>
      <c r="M732" s="2" t="s">
        <v>137</v>
      </c>
      <c r="N732" s="2" t="s">
        <v>138</v>
      </c>
      <c r="O732" s="2" t="s">
        <v>101</v>
      </c>
      <c r="P732" s="2" t="str">
        <f>"21706059764                   "</f>
        <v xml:space="preserve">21706059764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5.65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</v>
      </c>
      <c r="BJ732" s="2">
        <v>0.2</v>
      </c>
      <c r="BK732" s="2">
        <v>1</v>
      </c>
      <c r="BL732" s="2">
        <v>45.15</v>
      </c>
      <c r="BM732" s="2">
        <v>6.32</v>
      </c>
      <c r="BN732" s="2">
        <v>51.47</v>
      </c>
      <c r="BO732" s="2">
        <v>51.47</v>
      </c>
      <c r="BQ732" s="2" t="s">
        <v>82</v>
      </c>
      <c r="BR732" s="2" t="s">
        <v>103</v>
      </c>
      <c r="BS732" s="3">
        <v>43075</v>
      </c>
      <c r="BT732" s="4">
        <v>0.41666666666666669</v>
      </c>
      <c r="BU732" s="2" t="s">
        <v>139</v>
      </c>
      <c r="BV732" s="2" t="s">
        <v>85</v>
      </c>
      <c r="BY732" s="2">
        <v>1200</v>
      </c>
      <c r="CA732" s="2" t="s">
        <v>140</v>
      </c>
      <c r="CC732" s="2" t="s">
        <v>137</v>
      </c>
      <c r="CD732" s="2">
        <v>6001</v>
      </c>
      <c r="CE732" s="2" t="s">
        <v>120</v>
      </c>
      <c r="CF732" s="3">
        <v>43075</v>
      </c>
      <c r="CI732" s="2">
        <v>1</v>
      </c>
      <c r="CJ732" s="2">
        <v>1</v>
      </c>
      <c r="CK732" s="2">
        <v>21</v>
      </c>
      <c r="CL732" s="2" t="s">
        <v>89</v>
      </c>
    </row>
    <row r="733" spans="1:90">
      <c r="A733" s="2" t="s">
        <v>71</v>
      </c>
      <c r="B733" s="2" t="s">
        <v>72</v>
      </c>
      <c r="C733" s="2" t="s">
        <v>73</v>
      </c>
      <c r="E733" s="2" t="str">
        <f>"FES1162593825"</f>
        <v>FES1162593825</v>
      </c>
      <c r="F733" s="3">
        <v>43074</v>
      </c>
      <c r="G733" s="2">
        <v>201806</v>
      </c>
      <c r="H733" s="2" t="s">
        <v>74</v>
      </c>
      <c r="I733" s="2" t="s">
        <v>75</v>
      </c>
      <c r="J733" s="2" t="s">
        <v>97</v>
      </c>
      <c r="K733" s="2" t="s">
        <v>77</v>
      </c>
      <c r="L733" s="2" t="s">
        <v>173</v>
      </c>
      <c r="M733" s="2" t="s">
        <v>174</v>
      </c>
      <c r="N733" s="2" t="s">
        <v>175</v>
      </c>
      <c r="O733" s="2" t="s">
        <v>101</v>
      </c>
      <c r="P733" s="2" t="str">
        <f>"2170605875                    "</f>
        <v xml:space="preserve">2170605875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5.65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45.15</v>
      </c>
      <c r="BM733" s="2">
        <v>6.32</v>
      </c>
      <c r="BN733" s="2">
        <v>51.47</v>
      </c>
      <c r="BO733" s="2">
        <v>51.47</v>
      </c>
      <c r="BQ733" s="2" t="s">
        <v>102</v>
      </c>
      <c r="BR733" s="2" t="s">
        <v>103</v>
      </c>
      <c r="BS733" s="3">
        <v>43075</v>
      </c>
      <c r="BT733" s="4">
        <v>0.69166666666666676</v>
      </c>
      <c r="BU733" s="2" t="s">
        <v>1248</v>
      </c>
      <c r="BV733" s="2" t="s">
        <v>89</v>
      </c>
      <c r="BW733" s="2" t="s">
        <v>149</v>
      </c>
      <c r="BX733" s="2" t="s">
        <v>368</v>
      </c>
      <c r="BY733" s="2">
        <v>1200</v>
      </c>
      <c r="CA733" s="2" t="s">
        <v>1221</v>
      </c>
      <c r="CC733" s="2" t="s">
        <v>174</v>
      </c>
      <c r="CD733" s="2">
        <v>7405</v>
      </c>
      <c r="CE733" s="2" t="s">
        <v>120</v>
      </c>
      <c r="CF733" s="3">
        <v>43076</v>
      </c>
      <c r="CI733" s="2">
        <v>1</v>
      </c>
      <c r="CJ733" s="2">
        <v>1</v>
      </c>
      <c r="CK733" s="2">
        <v>21</v>
      </c>
      <c r="CL733" s="2" t="s">
        <v>89</v>
      </c>
    </row>
    <row r="734" spans="1:90">
      <c r="A734" s="2" t="s">
        <v>71</v>
      </c>
      <c r="B734" s="2" t="s">
        <v>72</v>
      </c>
      <c r="C734" s="2" t="s">
        <v>73</v>
      </c>
      <c r="E734" s="2" t="str">
        <f>"FES1162593907"</f>
        <v>FES1162593907</v>
      </c>
      <c r="F734" s="3">
        <v>43074</v>
      </c>
      <c r="G734" s="2">
        <v>201806</v>
      </c>
      <c r="H734" s="2" t="s">
        <v>74</v>
      </c>
      <c r="I734" s="2" t="s">
        <v>75</v>
      </c>
      <c r="J734" s="2" t="s">
        <v>97</v>
      </c>
      <c r="K734" s="2" t="s">
        <v>77</v>
      </c>
      <c r="L734" s="2" t="s">
        <v>136</v>
      </c>
      <c r="M734" s="2" t="s">
        <v>137</v>
      </c>
      <c r="N734" s="2" t="s">
        <v>1249</v>
      </c>
      <c r="O734" s="2" t="s">
        <v>101</v>
      </c>
      <c r="P734" s="2" t="str">
        <f>"2170605946                    "</f>
        <v xml:space="preserve">2170605946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5.65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0.2</v>
      </c>
      <c r="BK734" s="2">
        <v>1</v>
      </c>
      <c r="BL734" s="2">
        <v>45.15</v>
      </c>
      <c r="BM734" s="2">
        <v>6.32</v>
      </c>
      <c r="BN734" s="2">
        <v>51.47</v>
      </c>
      <c r="BO734" s="2">
        <v>51.47</v>
      </c>
      <c r="BR734" s="2" t="s">
        <v>103</v>
      </c>
      <c r="BS734" s="3">
        <v>43075</v>
      </c>
      <c r="BT734" s="4">
        <v>0.42083333333333334</v>
      </c>
      <c r="BU734" s="2" t="s">
        <v>1250</v>
      </c>
      <c r="BV734" s="2" t="s">
        <v>85</v>
      </c>
      <c r="BY734" s="2">
        <v>1200</v>
      </c>
      <c r="CA734" s="2" t="s">
        <v>180</v>
      </c>
      <c r="CC734" s="2" t="s">
        <v>137</v>
      </c>
      <c r="CD734" s="2">
        <v>6001</v>
      </c>
      <c r="CE734" s="2" t="s">
        <v>120</v>
      </c>
      <c r="CF734" s="3">
        <v>43077</v>
      </c>
      <c r="CI734" s="2">
        <v>1</v>
      </c>
      <c r="CJ734" s="2">
        <v>1</v>
      </c>
      <c r="CK734" s="2">
        <v>21</v>
      </c>
      <c r="CL734" s="2" t="s">
        <v>89</v>
      </c>
    </row>
    <row r="735" spans="1:90">
      <c r="A735" s="2" t="s">
        <v>71</v>
      </c>
      <c r="B735" s="2" t="s">
        <v>72</v>
      </c>
      <c r="C735" s="2" t="s">
        <v>73</v>
      </c>
      <c r="E735" s="2" t="str">
        <f>"FES1162593659"</f>
        <v>FES1162593659</v>
      </c>
      <c r="F735" s="3">
        <v>43074</v>
      </c>
      <c r="G735" s="2">
        <v>201806</v>
      </c>
      <c r="H735" s="2" t="s">
        <v>74</v>
      </c>
      <c r="I735" s="2" t="s">
        <v>75</v>
      </c>
      <c r="J735" s="2" t="s">
        <v>97</v>
      </c>
      <c r="K735" s="2" t="s">
        <v>77</v>
      </c>
      <c r="L735" s="2" t="s">
        <v>74</v>
      </c>
      <c r="M735" s="2" t="s">
        <v>75</v>
      </c>
      <c r="N735" s="2" t="s">
        <v>1251</v>
      </c>
      <c r="O735" s="2" t="s">
        <v>101</v>
      </c>
      <c r="P735" s="2" t="str">
        <f>"2170602820                    "</f>
        <v xml:space="preserve">2170602820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4.41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</v>
      </c>
      <c r="BJ735" s="2">
        <v>0.2</v>
      </c>
      <c r="BK735" s="2">
        <v>1</v>
      </c>
      <c r="BL735" s="2">
        <v>35.270000000000003</v>
      </c>
      <c r="BM735" s="2">
        <v>4.9400000000000004</v>
      </c>
      <c r="BN735" s="2">
        <v>40.21</v>
      </c>
      <c r="BO735" s="2">
        <v>40.21</v>
      </c>
      <c r="BQ735" s="2" t="s">
        <v>102</v>
      </c>
      <c r="BR735" s="2" t="s">
        <v>103</v>
      </c>
      <c r="BS735" s="3">
        <v>43075</v>
      </c>
      <c r="BT735" s="4">
        <v>0.35347222222222219</v>
      </c>
      <c r="BU735" s="2" t="s">
        <v>1091</v>
      </c>
      <c r="BV735" s="2" t="s">
        <v>85</v>
      </c>
      <c r="BY735" s="2">
        <v>1200</v>
      </c>
      <c r="CA735" s="2" t="s">
        <v>392</v>
      </c>
      <c r="CC735" s="2" t="s">
        <v>75</v>
      </c>
      <c r="CD735" s="2">
        <v>1609</v>
      </c>
      <c r="CE735" s="2" t="s">
        <v>120</v>
      </c>
      <c r="CF735" s="3">
        <v>43077</v>
      </c>
      <c r="CI735" s="2">
        <v>1</v>
      </c>
      <c r="CJ735" s="2">
        <v>1</v>
      </c>
      <c r="CK735" s="2">
        <v>22</v>
      </c>
      <c r="CL735" s="2" t="s">
        <v>89</v>
      </c>
    </row>
    <row r="736" spans="1:90">
      <c r="A736" s="2" t="s">
        <v>71</v>
      </c>
      <c r="B736" s="2" t="s">
        <v>72</v>
      </c>
      <c r="C736" s="2" t="s">
        <v>73</v>
      </c>
      <c r="E736" s="2" t="str">
        <f>"FES1162593751"</f>
        <v>FES1162593751</v>
      </c>
      <c r="F736" s="3">
        <v>43074</v>
      </c>
      <c r="G736" s="2">
        <v>201806</v>
      </c>
      <c r="H736" s="2" t="s">
        <v>74</v>
      </c>
      <c r="I736" s="2" t="s">
        <v>75</v>
      </c>
      <c r="J736" s="2" t="s">
        <v>97</v>
      </c>
      <c r="K736" s="2" t="s">
        <v>77</v>
      </c>
      <c r="L736" s="2" t="s">
        <v>1252</v>
      </c>
      <c r="M736" s="2" t="s">
        <v>1253</v>
      </c>
      <c r="N736" s="2" t="s">
        <v>1254</v>
      </c>
      <c r="O736" s="2" t="s">
        <v>101</v>
      </c>
      <c r="P736" s="2" t="str">
        <f>"2170605823                    "</f>
        <v xml:space="preserve">2170605823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5.65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45.15</v>
      </c>
      <c r="BM736" s="2">
        <v>6.32</v>
      </c>
      <c r="BN736" s="2">
        <v>51.47</v>
      </c>
      <c r="BO736" s="2">
        <v>51.47</v>
      </c>
      <c r="BQ736" s="2" t="s">
        <v>187</v>
      </c>
      <c r="BR736" s="2" t="s">
        <v>103</v>
      </c>
      <c r="BS736" s="3">
        <v>43075</v>
      </c>
      <c r="BT736" s="4">
        <v>0.3833333333333333</v>
      </c>
      <c r="BU736" s="2" t="s">
        <v>1255</v>
      </c>
      <c r="BV736" s="2" t="s">
        <v>85</v>
      </c>
      <c r="BY736" s="2">
        <v>1200</v>
      </c>
      <c r="CA736" s="2" t="s">
        <v>211</v>
      </c>
      <c r="CC736" s="2" t="s">
        <v>1253</v>
      </c>
      <c r="CD736" s="2">
        <v>4120</v>
      </c>
      <c r="CE736" s="2" t="s">
        <v>120</v>
      </c>
      <c r="CF736" s="3">
        <v>43076</v>
      </c>
      <c r="CI736" s="2">
        <v>1</v>
      </c>
      <c r="CJ736" s="2">
        <v>1</v>
      </c>
      <c r="CK736" s="2">
        <v>21</v>
      </c>
      <c r="CL736" s="2" t="s">
        <v>89</v>
      </c>
    </row>
    <row r="737" spans="1:90">
      <c r="A737" s="2" t="s">
        <v>71</v>
      </c>
      <c r="B737" s="2" t="s">
        <v>72</v>
      </c>
      <c r="C737" s="2" t="s">
        <v>73</v>
      </c>
      <c r="E737" s="2" t="str">
        <f>"FES1162593894"</f>
        <v>FES1162593894</v>
      </c>
      <c r="F737" s="3">
        <v>43074</v>
      </c>
      <c r="G737" s="2">
        <v>201806</v>
      </c>
      <c r="H737" s="2" t="s">
        <v>74</v>
      </c>
      <c r="I737" s="2" t="s">
        <v>75</v>
      </c>
      <c r="J737" s="2" t="s">
        <v>97</v>
      </c>
      <c r="K737" s="2" t="s">
        <v>77</v>
      </c>
      <c r="L737" s="2" t="s">
        <v>152</v>
      </c>
      <c r="M737" s="2" t="s">
        <v>153</v>
      </c>
      <c r="N737" s="2" t="s">
        <v>1256</v>
      </c>
      <c r="O737" s="2" t="s">
        <v>101</v>
      </c>
      <c r="P737" s="2" t="str">
        <f>"2170605919                    "</f>
        <v xml:space="preserve">2170605919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4.41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1</v>
      </c>
      <c r="BJ737" s="2">
        <v>0.2</v>
      </c>
      <c r="BK737" s="2">
        <v>1</v>
      </c>
      <c r="BL737" s="2">
        <v>35.270000000000003</v>
      </c>
      <c r="BM737" s="2">
        <v>4.9400000000000004</v>
      </c>
      <c r="BN737" s="2">
        <v>40.21</v>
      </c>
      <c r="BO737" s="2">
        <v>40.21</v>
      </c>
      <c r="BR737" s="2" t="s">
        <v>103</v>
      </c>
      <c r="BS737" s="3">
        <v>43075</v>
      </c>
      <c r="BT737" s="4">
        <v>0.41250000000000003</v>
      </c>
      <c r="BU737" s="2" t="s">
        <v>1257</v>
      </c>
      <c r="BV737" s="2" t="s">
        <v>85</v>
      </c>
      <c r="BY737" s="2">
        <v>1200</v>
      </c>
      <c r="CA737" s="2" t="s">
        <v>392</v>
      </c>
      <c r="CC737" s="2" t="s">
        <v>153</v>
      </c>
      <c r="CD737" s="2">
        <v>1429</v>
      </c>
      <c r="CE737" s="2" t="s">
        <v>120</v>
      </c>
      <c r="CF737" s="3">
        <v>43077</v>
      </c>
      <c r="CI737" s="2">
        <v>1</v>
      </c>
      <c r="CJ737" s="2">
        <v>1</v>
      </c>
      <c r="CK737" s="2">
        <v>22</v>
      </c>
      <c r="CL737" s="2" t="s">
        <v>89</v>
      </c>
    </row>
    <row r="738" spans="1:90">
      <c r="A738" s="2" t="s">
        <v>71</v>
      </c>
      <c r="B738" s="2" t="s">
        <v>72</v>
      </c>
      <c r="C738" s="2" t="s">
        <v>73</v>
      </c>
      <c r="E738" s="2" t="str">
        <f>"FES1162593735"</f>
        <v>FES1162593735</v>
      </c>
      <c r="F738" s="3">
        <v>43074</v>
      </c>
      <c r="G738" s="2">
        <v>201806</v>
      </c>
      <c r="H738" s="2" t="s">
        <v>74</v>
      </c>
      <c r="I738" s="2" t="s">
        <v>75</v>
      </c>
      <c r="J738" s="2" t="s">
        <v>97</v>
      </c>
      <c r="K738" s="2" t="s">
        <v>77</v>
      </c>
      <c r="L738" s="2" t="s">
        <v>173</v>
      </c>
      <c r="M738" s="2" t="s">
        <v>174</v>
      </c>
      <c r="N738" s="2" t="s">
        <v>323</v>
      </c>
      <c r="O738" s="2" t="s">
        <v>101</v>
      </c>
      <c r="P738" s="2" t="str">
        <f>"2170601450                    "</f>
        <v xml:space="preserve">2170601450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7.06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2</v>
      </c>
      <c r="BJ738" s="2">
        <v>2.1</v>
      </c>
      <c r="BK738" s="2">
        <v>2.5</v>
      </c>
      <c r="BL738" s="2">
        <v>56.43</v>
      </c>
      <c r="BM738" s="2">
        <v>7.9</v>
      </c>
      <c r="BN738" s="2">
        <v>64.33</v>
      </c>
      <c r="BO738" s="2">
        <v>64.33</v>
      </c>
      <c r="BQ738" s="2" t="s">
        <v>82</v>
      </c>
      <c r="BR738" s="2" t="s">
        <v>103</v>
      </c>
      <c r="BS738" s="3">
        <v>43075</v>
      </c>
      <c r="BT738" s="4">
        <v>0.69236111111111109</v>
      </c>
      <c r="BU738" s="2" t="s">
        <v>1258</v>
      </c>
      <c r="BV738" s="2" t="s">
        <v>89</v>
      </c>
      <c r="BW738" s="2" t="s">
        <v>149</v>
      </c>
      <c r="BX738" s="2" t="s">
        <v>368</v>
      </c>
      <c r="BY738" s="2">
        <v>10260</v>
      </c>
      <c r="CA738" s="2" t="s">
        <v>1221</v>
      </c>
      <c r="CC738" s="2" t="s">
        <v>174</v>
      </c>
      <c r="CD738" s="2">
        <v>7405</v>
      </c>
      <c r="CE738" s="2" t="s">
        <v>356</v>
      </c>
      <c r="CF738" s="3">
        <v>43076</v>
      </c>
      <c r="CI738" s="2">
        <v>1</v>
      </c>
      <c r="CJ738" s="2">
        <v>1</v>
      </c>
      <c r="CK738" s="2">
        <v>21</v>
      </c>
      <c r="CL738" s="2" t="s">
        <v>89</v>
      </c>
    </row>
    <row r="739" spans="1:90">
      <c r="A739" s="2" t="s">
        <v>71</v>
      </c>
      <c r="B739" s="2" t="s">
        <v>72</v>
      </c>
      <c r="C739" s="2" t="s">
        <v>73</v>
      </c>
      <c r="E739" s="2" t="str">
        <f>"FES1162593709"</f>
        <v>FES1162593709</v>
      </c>
      <c r="F739" s="3">
        <v>43074</v>
      </c>
      <c r="G739" s="2">
        <v>201806</v>
      </c>
      <c r="H739" s="2" t="s">
        <v>74</v>
      </c>
      <c r="I739" s="2" t="s">
        <v>75</v>
      </c>
      <c r="J739" s="2" t="s">
        <v>97</v>
      </c>
      <c r="K739" s="2" t="s">
        <v>77</v>
      </c>
      <c r="L739" s="2" t="s">
        <v>168</v>
      </c>
      <c r="M739" s="2" t="s">
        <v>169</v>
      </c>
      <c r="N739" s="2" t="s">
        <v>170</v>
      </c>
      <c r="O739" s="2" t="s">
        <v>101</v>
      </c>
      <c r="P739" s="2" t="str">
        <f>"2170605672                    "</f>
        <v xml:space="preserve">2170605672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5.65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45.15</v>
      </c>
      <c r="BM739" s="2">
        <v>6.32</v>
      </c>
      <c r="BN739" s="2">
        <v>51.47</v>
      </c>
      <c r="BO739" s="2">
        <v>51.47</v>
      </c>
      <c r="BQ739" s="2" t="s">
        <v>128</v>
      </c>
      <c r="BR739" s="2" t="s">
        <v>103</v>
      </c>
      <c r="BS739" s="3">
        <v>43075</v>
      </c>
      <c r="BT739" s="4">
        <v>0.41111111111111115</v>
      </c>
      <c r="BU739" s="2" t="s">
        <v>546</v>
      </c>
      <c r="BV739" s="2" t="s">
        <v>85</v>
      </c>
      <c r="BY739" s="2">
        <v>1200</v>
      </c>
      <c r="CA739" s="2" t="s">
        <v>172</v>
      </c>
      <c r="CC739" s="2" t="s">
        <v>169</v>
      </c>
      <c r="CD739" s="2">
        <v>3610</v>
      </c>
      <c r="CE739" s="2" t="s">
        <v>120</v>
      </c>
      <c r="CF739" s="3">
        <v>43076</v>
      </c>
      <c r="CI739" s="2">
        <v>1</v>
      </c>
      <c r="CJ739" s="2">
        <v>1</v>
      </c>
      <c r="CK739" s="2">
        <v>21</v>
      </c>
      <c r="CL739" s="2" t="s">
        <v>89</v>
      </c>
    </row>
    <row r="740" spans="1:90">
      <c r="A740" s="2" t="s">
        <v>71</v>
      </c>
      <c r="B740" s="2" t="s">
        <v>72</v>
      </c>
      <c r="C740" s="2" t="s">
        <v>73</v>
      </c>
      <c r="E740" s="2" t="str">
        <f>"FES1162593844"</f>
        <v>FES1162593844</v>
      </c>
      <c r="F740" s="3">
        <v>43074</v>
      </c>
      <c r="G740" s="2">
        <v>201806</v>
      </c>
      <c r="H740" s="2" t="s">
        <v>74</v>
      </c>
      <c r="I740" s="2" t="s">
        <v>75</v>
      </c>
      <c r="J740" s="2" t="s">
        <v>97</v>
      </c>
      <c r="K740" s="2" t="s">
        <v>77</v>
      </c>
      <c r="L740" s="2" t="s">
        <v>173</v>
      </c>
      <c r="M740" s="2" t="s">
        <v>174</v>
      </c>
      <c r="N740" s="2" t="s">
        <v>376</v>
      </c>
      <c r="O740" s="2" t="s">
        <v>101</v>
      </c>
      <c r="P740" s="2" t="str">
        <f>"2170601772                    "</f>
        <v xml:space="preserve">2170601772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5.65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</v>
      </c>
      <c r="BJ740" s="2">
        <v>0.2</v>
      </c>
      <c r="BK740" s="2">
        <v>1</v>
      </c>
      <c r="BL740" s="2">
        <v>45.15</v>
      </c>
      <c r="BM740" s="2">
        <v>6.32</v>
      </c>
      <c r="BN740" s="2">
        <v>51.47</v>
      </c>
      <c r="BO740" s="2">
        <v>51.47</v>
      </c>
      <c r="BQ740" s="2" t="s">
        <v>102</v>
      </c>
      <c r="BR740" s="2" t="s">
        <v>103</v>
      </c>
      <c r="BS740" s="3">
        <v>43075</v>
      </c>
      <c r="BT740" s="4">
        <v>0.49305555555555558</v>
      </c>
      <c r="BU740" s="2" t="s">
        <v>377</v>
      </c>
      <c r="BV740" s="2" t="s">
        <v>89</v>
      </c>
      <c r="BW740" s="2" t="s">
        <v>149</v>
      </c>
      <c r="BX740" s="2" t="s">
        <v>368</v>
      </c>
      <c r="BY740" s="2">
        <v>1200</v>
      </c>
      <c r="CA740" s="2" t="s">
        <v>378</v>
      </c>
      <c r="CC740" s="2" t="s">
        <v>174</v>
      </c>
      <c r="CD740" s="2">
        <v>7490</v>
      </c>
      <c r="CE740" s="2" t="s">
        <v>120</v>
      </c>
      <c r="CF740" s="3">
        <v>43076</v>
      </c>
      <c r="CI740" s="2">
        <v>1</v>
      </c>
      <c r="CJ740" s="2">
        <v>1</v>
      </c>
      <c r="CK740" s="2">
        <v>21</v>
      </c>
      <c r="CL740" s="2" t="s">
        <v>89</v>
      </c>
    </row>
    <row r="741" spans="1:90">
      <c r="A741" s="2" t="s">
        <v>71</v>
      </c>
      <c r="B741" s="2" t="s">
        <v>72</v>
      </c>
      <c r="C741" s="2" t="s">
        <v>73</v>
      </c>
      <c r="E741" s="2" t="str">
        <f>"FES1162593818"</f>
        <v>FES1162593818</v>
      </c>
      <c r="F741" s="3">
        <v>43074</v>
      </c>
      <c r="G741" s="2">
        <v>201806</v>
      </c>
      <c r="H741" s="2" t="s">
        <v>74</v>
      </c>
      <c r="I741" s="2" t="s">
        <v>75</v>
      </c>
      <c r="J741" s="2" t="s">
        <v>97</v>
      </c>
      <c r="K741" s="2" t="s">
        <v>77</v>
      </c>
      <c r="L741" s="2" t="s">
        <v>253</v>
      </c>
      <c r="M741" s="2" t="s">
        <v>254</v>
      </c>
      <c r="N741" s="2" t="s">
        <v>773</v>
      </c>
      <c r="O741" s="2" t="s">
        <v>101</v>
      </c>
      <c r="P741" s="2" t="str">
        <f>"2170605860                    "</f>
        <v xml:space="preserve">2170605860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8.4700000000000006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3</v>
      </c>
      <c r="BJ741" s="2">
        <v>0.2</v>
      </c>
      <c r="BK741" s="2">
        <v>3</v>
      </c>
      <c r="BL741" s="2">
        <v>67.709999999999994</v>
      </c>
      <c r="BM741" s="2">
        <v>9.48</v>
      </c>
      <c r="BN741" s="2">
        <v>77.19</v>
      </c>
      <c r="BO741" s="2">
        <v>77.19</v>
      </c>
      <c r="BQ741" s="2" t="s">
        <v>82</v>
      </c>
      <c r="BR741" s="2" t="s">
        <v>103</v>
      </c>
      <c r="BS741" s="3">
        <v>43075</v>
      </c>
      <c r="BT741" s="4">
        <v>0.55902777777777779</v>
      </c>
      <c r="BU741" s="2" t="s">
        <v>303</v>
      </c>
      <c r="BV741" s="2" t="s">
        <v>89</v>
      </c>
      <c r="BY741" s="2">
        <v>1200</v>
      </c>
      <c r="CC741" s="2" t="s">
        <v>254</v>
      </c>
      <c r="CD741" s="2">
        <v>1911</v>
      </c>
      <c r="CE741" s="2" t="s">
        <v>120</v>
      </c>
      <c r="CF741" s="3">
        <v>43077</v>
      </c>
      <c r="CI741" s="2">
        <v>1</v>
      </c>
      <c r="CJ741" s="2">
        <v>1</v>
      </c>
      <c r="CK741" s="2">
        <v>21</v>
      </c>
      <c r="CL741" s="2" t="s">
        <v>89</v>
      </c>
    </row>
    <row r="742" spans="1:90">
      <c r="A742" s="2" t="s">
        <v>71</v>
      </c>
      <c r="B742" s="2" t="s">
        <v>72</v>
      </c>
      <c r="C742" s="2" t="s">
        <v>73</v>
      </c>
      <c r="E742" s="2" t="str">
        <f>"FES1162593767"</f>
        <v>FES1162593767</v>
      </c>
      <c r="F742" s="3">
        <v>43074</v>
      </c>
      <c r="G742" s="2">
        <v>201806</v>
      </c>
      <c r="H742" s="2" t="s">
        <v>74</v>
      </c>
      <c r="I742" s="2" t="s">
        <v>75</v>
      </c>
      <c r="J742" s="2" t="s">
        <v>97</v>
      </c>
      <c r="K742" s="2" t="s">
        <v>77</v>
      </c>
      <c r="L742" s="2" t="s">
        <v>173</v>
      </c>
      <c r="M742" s="2" t="s">
        <v>174</v>
      </c>
      <c r="N742" s="2" t="s">
        <v>1259</v>
      </c>
      <c r="O742" s="2" t="s">
        <v>101</v>
      </c>
      <c r="P742" s="2" t="str">
        <f>"2170605863 3                  "</f>
        <v xml:space="preserve">2170605863 3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5.65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45.15</v>
      </c>
      <c r="BM742" s="2">
        <v>6.32</v>
      </c>
      <c r="BN742" s="2">
        <v>51.47</v>
      </c>
      <c r="BO742" s="2">
        <v>51.47</v>
      </c>
      <c r="BQ742" s="2" t="s">
        <v>82</v>
      </c>
      <c r="BR742" s="2" t="s">
        <v>103</v>
      </c>
      <c r="BS742" s="3">
        <v>43075</v>
      </c>
      <c r="BT742" s="4">
        <v>0.51388888888888895</v>
      </c>
      <c r="BU742" s="2" t="s">
        <v>1260</v>
      </c>
      <c r="BV742" s="2" t="s">
        <v>89</v>
      </c>
      <c r="BY742" s="2">
        <v>1200</v>
      </c>
      <c r="CA742" s="2" t="s">
        <v>1261</v>
      </c>
      <c r="CC742" s="2" t="s">
        <v>174</v>
      </c>
      <c r="CD742" s="2">
        <v>7800</v>
      </c>
      <c r="CE742" s="2" t="s">
        <v>120</v>
      </c>
      <c r="CF742" s="3">
        <v>43076</v>
      </c>
      <c r="CI742" s="2">
        <v>1</v>
      </c>
      <c r="CJ742" s="2">
        <v>1</v>
      </c>
      <c r="CK742" s="2">
        <v>21</v>
      </c>
      <c r="CL742" s="2" t="s">
        <v>89</v>
      </c>
    </row>
    <row r="743" spans="1:90">
      <c r="A743" s="2" t="s">
        <v>71</v>
      </c>
      <c r="B743" s="2" t="s">
        <v>72</v>
      </c>
      <c r="C743" s="2" t="s">
        <v>73</v>
      </c>
      <c r="E743" s="2" t="str">
        <f>"FES1162593697"</f>
        <v>FES1162593697</v>
      </c>
      <c r="F743" s="3">
        <v>43074</v>
      </c>
      <c r="G743" s="2">
        <v>201806</v>
      </c>
      <c r="H743" s="2" t="s">
        <v>74</v>
      </c>
      <c r="I743" s="2" t="s">
        <v>75</v>
      </c>
      <c r="J743" s="2" t="s">
        <v>97</v>
      </c>
      <c r="K743" s="2" t="s">
        <v>77</v>
      </c>
      <c r="L743" s="2" t="s">
        <v>74</v>
      </c>
      <c r="M743" s="2" t="s">
        <v>75</v>
      </c>
      <c r="N743" s="2" t="s">
        <v>1094</v>
      </c>
      <c r="O743" s="2" t="s">
        <v>101</v>
      </c>
      <c r="P743" s="2" t="str">
        <f>"2170605325                    "</f>
        <v xml:space="preserve">2170605325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4.41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1</v>
      </c>
      <c r="BJ743" s="2">
        <v>0.2</v>
      </c>
      <c r="BK743" s="2">
        <v>1</v>
      </c>
      <c r="BL743" s="2">
        <v>35.270000000000003</v>
      </c>
      <c r="BM743" s="2">
        <v>4.9400000000000004</v>
      </c>
      <c r="BN743" s="2">
        <v>40.21</v>
      </c>
      <c r="BO743" s="2">
        <v>40.21</v>
      </c>
      <c r="BQ743" s="2" t="s">
        <v>1247</v>
      </c>
      <c r="BR743" s="2" t="s">
        <v>103</v>
      </c>
      <c r="BS743" s="3">
        <v>43075</v>
      </c>
      <c r="BT743" s="4">
        <v>0.4236111111111111</v>
      </c>
      <c r="BU743" s="2" t="s">
        <v>192</v>
      </c>
      <c r="BV743" s="2" t="s">
        <v>85</v>
      </c>
      <c r="BY743" s="2">
        <v>1200</v>
      </c>
      <c r="CC743" s="2" t="s">
        <v>75</v>
      </c>
      <c r="CD743" s="2">
        <v>1666</v>
      </c>
      <c r="CE743" s="2" t="s">
        <v>120</v>
      </c>
      <c r="CF743" s="3">
        <v>43077</v>
      </c>
      <c r="CI743" s="2">
        <v>1</v>
      </c>
      <c r="CJ743" s="2">
        <v>1</v>
      </c>
      <c r="CK743" s="2">
        <v>22</v>
      </c>
      <c r="CL743" s="2" t="s">
        <v>89</v>
      </c>
    </row>
    <row r="744" spans="1:90">
      <c r="A744" s="2" t="s">
        <v>71</v>
      </c>
      <c r="B744" s="2" t="s">
        <v>72</v>
      </c>
      <c r="C744" s="2" t="s">
        <v>73</v>
      </c>
      <c r="E744" s="2" t="str">
        <f>"FES1162593913"</f>
        <v>FES1162593913</v>
      </c>
      <c r="F744" s="3">
        <v>43074</v>
      </c>
      <c r="G744" s="2">
        <v>201806</v>
      </c>
      <c r="H744" s="2" t="s">
        <v>74</v>
      </c>
      <c r="I744" s="2" t="s">
        <v>75</v>
      </c>
      <c r="J744" s="2" t="s">
        <v>97</v>
      </c>
      <c r="K744" s="2" t="s">
        <v>77</v>
      </c>
      <c r="L744" s="2" t="s">
        <v>145</v>
      </c>
      <c r="M744" s="2" t="s">
        <v>146</v>
      </c>
      <c r="N744" s="2" t="s">
        <v>709</v>
      </c>
      <c r="O744" s="2" t="s">
        <v>101</v>
      </c>
      <c r="P744" s="2" t="str">
        <f>"2170605956                    "</f>
        <v xml:space="preserve">2170605956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5.65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45.15</v>
      </c>
      <c r="BM744" s="2">
        <v>6.32</v>
      </c>
      <c r="BN744" s="2">
        <v>51.47</v>
      </c>
      <c r="BO744" s="2">
        <v>51.47</v>
      </c>
      <c r="BQ744" s="2" t="s">
        <v>102</v>
      </c>
      <c r="BR744" s="2" t="s">
        <v>103</v>
      </c>
      <c r="BS744" s="3">
        <v>43075</v>
      </c>
      <c r="BT744" s="4">
        <v>0.43541666666666662</v>
      </c>
      <c r="BU744" s="2" t="s">
        <v>929</v>
      </c>
      <c r="BV744" s="2" t="s">
        <v>85</v>
      </c>
      <c r="BY744" s="2">
        <v>1200</v>
      </c>
      <c r="CC744" s="2" t="s">
        <v>146</v>
      </c>
      <c r="CD744" s="2">
        <v>5201</v>
      </c>
      <c r="CE744" s="2" t="s">
        <v>120</v>
      </c>
      <c r="CF744" s="3">
        <v>43077</v>
      </c>
      <c r="CI744" s="2">
        <v>1</v>
      </c>
      <c r="CJ744" s="2">
        <v>1</v>
      </c>
      <c r="CK744" s="2">
        <v>21</v>
      </c>
      <c r="CL744" s="2" t="s">
        <v>89</v>
      </c>
    </row>
    <row r="745" spans="1:90">
      <c r="A745" s="2" t="s">
        <v>71</v>
      </c>
      <c r="B745" s="2" t="s">
        <v>72</v>
      </c>
      <c r="C745" s="2" t="s">
        <v>73</v>
      </c>
      <c r="E745" s="2" t="str">
        <f>"FES1162593859"</f>
        <v>FES1162593859</v>
      </c>
      <c r="F745" s="3">
        <v>43074</v>
      </c>
      <c r="G745" s="2">
        <v>201806</v>
      </c>
      <c r="H745" s="2" t="s">
        <v>74</v>
      </c>
      <c r="I745" s="2" t="s">
        <v>75</v>
      </c>
      <c r="J745" s="2" t="s">
        <v>97</v>
      </c>
      <c r="K745" s="2" t="s">
        <v>77</v>
      </c>
      <c r="L745" s="2" t="s">
        <v>173</v>
      </c>
      <c r="M745" s="2" t="s">
        <v>174</v>
      </c>
      <c r="N745" s="2" t="s">
        <v>487</v>
      </c>
      <c r="O745" s="2" t="s">
        <v>101</v>
      </c>
      <c r="P745" s="2" t="str">
        <f>"2170605309                    "</f>
        <v xml:space="preserve">2170605309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5.65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45.15</v>
      </c>
      <c r="BM745" s="2">
        <v>6.32</v>
      </c>
      <c r="BN745" s="2">
        <v>51.47</v>
      </c>
      <c r="BO745" s="2">
        <v>51.47</v>
      </c>
      <c r="BQ745" s="2" t="s">
        <v>82</v>
      </c>
      <c r="BR745" s="2" t="s">
        <v>103</v>
      </c>
      <c r="BS745" s="3">
        <v>43075</v>
      </c>
      <c r="BT745" s="4">
        <v>0.41666666666666669</v>
      </c>
      <c r="BU745" s="2" t="s">
        <v>1262</v>
      </c>
      <c r="BV745" s="2" t="s">
        <v>85</v>
      </c>
      <c r="BY745" s="2">
        <v>1200</v>
      </c>
      <c r="CC745" s="2" t="s">
        <v>174</v>
      </c>
      <c r="CD745" s="2">
        <v>7580</v>
      </c>
      <c r="CE745" s="2" t="s">
        <v>120</v>
      </c>
      <c r="CF745" s="3">
        <v>43076</v>
      </c>
      <c r="CI745" s="2">
        <v>1</v>
      </c>
      <c r="CJ745" s="2">
        <v>1</v>
      </c>
      <c r="CK745" s="2">
        <v>21</v>
      </c>
      <c r="CL745" s="2" t="s">
        <v>89</v>
      </c>
    </row>
    <row r="746" spans="1:90">
      <c r="A746" s="2" t="s">
        <v>71</v>
      </c>
      <c r="B746" s="2" t="s">
        <v>72</v>
      </c>
      <c r="C746" s="2" t="s">
        <v>73</v>
      </c>
      <c r="E746" s="2" t="str">
        <f>"FES1162593943"</f>
        <v>FES1162593943</v>
      </c>
      <c r="F746" s="3">
        <v>43074</v>
      </c>
      <c r="G746" s="2">
        <v>201806</v>
      </c>
      <c r="H746" s="2" t="s">
        <v>74</v>
      </c>
      <c r="I746" s="2" t="s">
        <v>75</v>
      </c>
      <c r="J746" s="2" t="s">
        <v>97</v>
      </c>
      <c r="K746" s="2" t="s">
        <v>77</v>
      </c>
      <c r="L746" s="2" t="s">
        <v>136</v>
      </c>
      <c r="M746" s="2" t="s">
        <v>137</v>
      </c>
      <c r="N746" s="2" t="s">
        <v>138</v>
      </c>
      <c r="O746" s="2" t="s">
        <v>101</v>
      </c>
      <c r="P746" s="2" t="str">
        <f>"2170604240                    "</f>
        <v xml:space="preserve">2170604240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5.65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</v>
      </c>
      <c r="BJ746" s="2">
        <v>0.2</v>
      </c>
      <c r="BK746" s="2">
        <v>1</v>
      </c>
      <c r="BL746" s="2">
        <v>45.15</v>
      </c>
      <c r="BM746" s="2">
        <v>6.32</v>
      </c>
      <c r="BN746" s="2">
        <v>51.47</v>
      </c>
      <c r="BO746" s="2">
        <v>51.47</v>
      </c>
      <c r="BQ746" s="2" t="s">
        <v>82</v>
      </c>
      <c r="BR746" s="2" t="s">
        <v>103</v>
      </c>
      <c r="BS746" s="3">
        <v>43075</v>
      </c>
      <c r="BT746" s="4">
        <v>0.41666666666666669</v>
      </c>
      <c r="BU746" s="2" t="s">
        <v>139</v>
      </c>
      <c r="BV746" s="2" t="s">
        <v>85</v>
      </c>
      <c r="BY746" s="2">
        <v>1200</v>
      </c>
      <c r="CA746" s="2" t="s">
        <v>140</v>
      </c>
      <c r="CC746" s="2" t="s">
        <v>137</v>
      </c>
      <c r="CD746" s="2">
        <v>6001</v>
      </c>
      <c r="CE746" s="2" t="s">
        <v>120</v>
      </c>
      <c r="CF746" s="3">
        <v>43076</v>
      </c>
      <c r="CI746" s="2">
        <v>1</v>
      </c>
      <c r="CJ746" s="2">
        <v>1</v>
      </c>
      <c r="CK746" s="2">
        <v>21</v>
      </c>
      <c r="CL746" s="2" t="s">
        <v>89</v>
      </c>
    </row>
    <row r="747" spans="1:90">
      <c r="A747" s="2" t="s">
        <v>71</v>
      </c>
      <c r="B747" s="2" t="s">
        <v>72</v>
      </c>
      <c r="C747" s="2" t="s">
        <v>73</v>
      </c>
      <c r="E747" s="2" t="str">
        <f>"FES1162593808"</f>
        <v>FES1162593808</v>
      </c>
      <c r="F747" s="3">
        <v>43074</v>
      </c>
      <c r="G747" s="2">
        <v>201806</v>
      </c>
      <c r="H747" s="2" t="s">
        <v>74</v>
      </c>
      <c r="I747" s="2" t="s">
        <v>75</v>
      </c>
      <c r="J747" s="2" t="s">
        <v>97</v>
      </c>
      <c r="K747" s="2" t="s">
        <v>77</v>
      </c>
      <c r="L747" s="2" t="s">
        <v>526</v>
      </c>
      <c r="M747" s="2" t="s">
        <v>527</v>
      </c>
      <c r="N747" s="2" t="s">
        <v>528</v>
      </c>
      <c r="O747" s="2" t="s">
        <v>101</v>
      </c>
      <c r="P747" s="2" t="str">
        <f>"2170605561                    "</f>
        <v xml:space="preserve">2170605561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5.65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45.15</v>
      </c>
      <c r="BM747" s="2">
        <v>6.32</v>
      </c>
      <c r="BN747" s="2">
        <v>51.47</v>
      </c>
      <c r="BO747" s="2">
        <v>51.47</v>
      </c>
      <c r="BQ747" s="2" t="s">
        <v>128</v>
      </c>
      <c r="BR747" s="2" t="s">
        <v>103</v>
      </c>
      <c r="BS747" s="3">
        <v>43075</v>
      </c>
      <c r="BT747" s="4">
        <v>0.58611111111111114</v>
      </c>
      <c r="BU747" s="2" t="s">
        <v>1120</v>
      </c>
      <c r="BV747" s="2" t="s">
        <v>85</v>
      </c>
      <c r="BY747" s="2">
        <v>1200</v>
      </c>
      <c r="CA747" s="2" t="s">
        <v>530</v>
      </c>
      <c r="CC747" s="2" t="s">
        <v>527</v>
      </c>
      <c r="CD747" s="2">
        <v>6850</v>
      </c>
      <c r="CE747" s="2" t="s">
        <v>120</v>
      </c>
      <c r="CF747" s="3">
        <v>43075</v>
      </c>
      <c r="CI747" s="2">
        <v>3</v>
      </c>
      <c r="CJ747" s="2">
        <v>1</v>
      </c>
      <c r="CK747" s="2">
        <v>21</v>
      </c>
      <c r="CL747" s="2" t="s">
        <v>89</v>
      </c>
    </row>
    <row r="748" spans="1:90">
      <c r="A748" s="2" t="s">
        <v>71</v>
      </c>
      <c r="B748" s="2" t="s">
        <v>72</v>
      </c>
      <c r="C748" s="2" t="s">
        <v>73</v>
      </c>
      <c r="E748" s="2" t="str">
        <f>"FES1162593927"</f>
        <v>FES1162593927</v>
      </c>
      <c r="F748" s="3">
        <v>43074</v>
      </c>
      <c r="G748" s="2">
        <v>201806</v>
      </c>
      <c r="H748" s="2" t="s">
        <v>74</v>
      </c>
      <c r="I748" s="2" t="s">
        <v>75</v>
      </c>
      <c r="J748" s="2" t="s">
        <v>97</v>
      </c>
      <c r="K748" s="2" t="s">
        <v>77</v>
      </c>
      <c r="L748" s="2" t="s">
        <v>136</v>
      </c>
      <c r="M748" s="2" t="s">
        <v>137</v>
      </c>
      <c r="N748" s="2" t="s">
        <v>138</v>
      </c>
      <c r="O748" s="2" t="s">
        <v>101</v>
      </c>
      <c r="P748" s="2" t="str">
        <f>"2170604641                    "</f>
        <v xml:space="preserve">2170604641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5.65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45.15</v>
      </c>
      <c r="BM748" s="2">
        <v>6.32</v>
      </c>
      <c r="BN748" s="2">
        <v>51.47</v>
      </c>
      <c r="BO748" s="2">
        <v>51.47</v>
      </c>
      <c r="BQ748" s="2" t="s">
        <v>82</v>
      </c>
      <c r="BR748" s="2" t="s">
        <v>103</v>
      </c>
      <c r="BS748" s="3">
        <v>43075</v>
      </c>
      <c r="BT748" s="4">
        <v>0.41666666666666669</v>
      </c>
      <c r="BU748" s="2" t="s">
        <v>139</v>
      </c>
      <c r="BV748" s="2" t="s">
        <v>85</v>
      </c>
      <c r="BY748" s="2">
        <v>1200</v>
      </c>
      <c r="CA748" s="2" t="s">
        <v>140</v>
      </c>
      <c r="CC748" s="2" t="s">
        <v>137</v>
      </c>
      <c r="CD748" s="2">
        <v>6001</v>
      </c>
      <c r="CE748" s="2" t="s">
        <v>120</v>
      </c>
      <c r="CF748" s="3">
        <v>43076</v>
      </c>
      <c r="CI748" s="2">
        <v>1</v>
      </c>
      <c r="CJ748" s="2">
        <v>1</v>
      </c>
      <c r="CK748" s="2">
        <v>21</v>
      </c>
      <c r="CL748" s="2" t="s">
        <v>89</v>
      </c>
    </row>
    <row r="749" spans="1:90">
      <c r="A749" s="2" t="s">
        <v>71</v>
      </c>
      <c r="B749" s="2" t="s">
        <v>72</v>
      </c>
      <c r="C749" s="2" t="s">
        <v>73</v>
      </c>
      <c r="E749" s="2" t="str">
        <f>"FES1162593919"</f>
        <v>FES1162593919</v>
      </c>
      <c r="F749" s="3">
        <v>43074</v>
      </c>
      <c r="G749" s="2">
        <v>201806</v>
      </c>
      <c r="H749" s="2" t="s">
        <v>74</v>
      </c>
      <c r="I749" s="2" t="s">
        <v>75</v>
      </c>
      <c r="J749" s="2" t="s">
        <v>97</v>
      </c>
      <c r="K749" s="2" t="s">
        <v>77</v>
      </c>
      <c r="L749" s="2" t="s">
        <v>145</v>
      </c>
      <c r="M749" s="2" t="s">
        <v>146</v>
      </c>
      <c r="N749" s="2" t="s">
        <v>709</v>
      </c>
      <c r="O749" s="2" t="s">
        <v>101</v>
      </c>
      <c r="P749" s="2" t="str">
        <f>"2170605964                    "</f>
        <v xml:space="preserve">2170605964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5.65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45.15</v>
      </c>
      <c r="BM749" s="2">
        <v>6.32</v>
      </c>
      <c r="BN749" s="2">
        <v>51.47</v>
      </c>
      <c r="BO749" s="2">
        <v>51.47</v>
      </c>
      <c r="BQ749" s="2" t="s">
        <v>102</v>
      </c>
      <c r="BR749" s="2" t="s">
        <v>103</v>
      </c>
      <c r="BS749" s="3">
        <v>43075</v>
      </c>
      <c r="BT749" s="4">
        <v>0.4375</v>
      </c>
      <c r="BU749" s="2" t="s">
        <v>929</v>
      </c>
      <c r="BV749" s="2" t="s">
        <v>85</v>
      </c>
      <c r="BY749" s="2">
        <v>1200</v>
      </c>
      <c r="CC749" s="2" t="s">
        <v>146</v>
      </c>
      <c r="CD749" s="2">
        <v>5201</v>
      </c>
      <c r="CE749" s="2" t="s">
        <v>120</v>
      </c>
      <c r="CF749" s="3">
        <v>43077</v>
      </c>
      <c r="CI749" s="2">
        <v>1</v>
      </c>
      <c r="CJ749" s="2">
        <v>1</v>
      </c>
      <c r="CK749" s="2">
        <v>21</v>
      </c>
      <c r="CL749" s="2" t="s">
        <v>89</v>
      </c>
    </row>
    <row r="750" spans="1:90">
      <c r="A750" s="2" t="s">
        <v>71</v>
      </c>
      <c r="B750" s="2" t="s">
        <v>72</v>
      </c>
      <c r="C750" s="2" t="s">
        <v>73</v>
      </c>
      <c r="E750" s="2" t="str">
        <f>"FES1162593908"</f>
        <v>FES1162593908</v>
      </c>
      <c r="F750" s="3">
        <v>43074</v>
      </c>
      <c r="G750" s="2">
        <v>201806</v>
      </c>
      <c r="H750" s="2" t="s">
        <v>74</v>
      </c>
      <c r="I750" s="2" t="s">
        <v>75</v>
      </c>
      <c r="J750" s="2" t="s">
        <v>97</v>
      </c>
      <c r="K750" s="2" t="s">
        <v>77</v>
      </c>
      <c r="L750" s="2" t="s">
        <v>212</v>
      </c>
      <c r="M750" s="2" t="s">
        <v>212</v>
      </c>
      <c r="N750" s="2" t="s">
        <v>1263</v>
      </c>
      <c r="O750" s="2" t="s">
        <v>101</v>
      </c>
      <c r="P750" s="2" t="str">
        <f>"2170605948                    "</f>
        <v xml:space="preserve">2170605948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5.65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1.4</v>
      </c>
      <c r="BJ750" s="2">
        <v>1</v>
      </c>
      <c r="BK750" s="2">
        <v>1.5</v>
      </c>
      <c r="BL750" s="2">
        <v>45.15</v>
      </c>
      <c r="BM750" s="2">
        <v>6.32</v>
      </c>
      <c r="BN750" s="2">
        <v>51.47</v>
      </c>
      <c r="BO750" s="2">
        <v>51.47</v>
      </c>
      <c r="BQ750" s="2" t="s">
        <v>82</v>
      </c>
      <c r="BR750" s="2" t="s">
        <v>103</v>
      </c>
      <c r="BS750" s="3">
        <v>43075</v>
      </c>
      <c r="BT750" s="4">
        <v>0.60763888888888895</v>
      </c>
      <c r="BU750" s="2" t="s">
        <v>1264</v>
      </c>
      <c r="BV750" s="2" t="s">
        <v>89</v>
      </c>
      <c r="BW750" s="2" t="s">
        <v>149</v>
      </c>
      <c r="BX750" s="2" t="s">
        <v>368</v>
      </c>
      <c r="BY750" s="2">
        <v>4771.3100000000004</v>
      </c>
      <c r="CA750" s="2" t="s">
        <v>1108</v>
      </c>
      <c r="CC750" s="2" t="s">
        <v>212</v>
      </c>
      <c r="CD750" s="2">
        <v>7646</v>
      </c>
      <c r="CE750" s="2" t="s">
        <v>87</v>
      </c>
      <c r="CF750" s="3">
        <v>43075</v>
      </c>
      <c r="CI750" s="2">
        <v>1</v>
      </c>
      <c r="CJ750" s="2">
        <v>1</v>
      </c>
      <c r="CK750" s="2">
        <v>21</v>
      </c>
      <c r="CL750" s="2" t="s">
        <v>89</v>
      </c>
    </row>
    <row r="751" spans="1:90">
      <c r="A751" s="2" t="s">
        <v>71</v>
      </c>
      <c r="B751" s="2" t="s">
        <v>72</v>
      </c>
      <c r="C751" s="2" t="s">
        <v>73</v>
      </c>
      <c r="E751" s="2" t="str">
        <f>"FES1162593665"</f>
        <v>FES1162593665</v>
      </c>
      <c r="F751" s="3">
        <v>43074</v>
      </c>
      <c r="G751" s="2">
        <v>201806</v>
      </c>
      <c r="H751" s="2" t="s">
        <v>74</v>
      </c>
      <c r="I751" s="2" t="s">
        <v>75</v>
      </c>
      <c r="J751" s="2" t="s">
        <v>97</v>
      </c>
      <c r="K751" s="2" t="s">
        <v>77</v>
      </c>
      <c r="L751" s="2" t="s">
        <v>74</v>
      </c>
      <c r="M751" s="2" t="s">
        <v>75</v>
      </c>
      <c r="N751" s="2" t="s">
        <v>201</v>
      </c>
      <c r="O751" s="2" t="s">
        <v>101</v>
      </c>
      <c r="P751" s="2" t="str">
        <f>"2170604478                    "</f>
        <v xml:space="preserve">2170604478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4.41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4</v>
      </c>
      <c r="BJ751" s="2">
        <v>3.3</v>
      </c>
      <c r="BK751" s="2">
        <v>4</v>
      </c>
      <c r="BL751" s="2">
        <v>35.270000000000003</v>
      </c>
      <c r="BM751" s="2">
        <v>4.9400000000000004</v>
      </c>
      <c r="BN751" s="2">
        <v>40.21</v>
      </c>
      <c r="BO751" s="2">
        <v>40.21</v>
      </c>
      <c r="BQ751" s="2" t="s">
        <v>102</v>
      </c>
      <c r="BR751" s="2" t="s">
        <v>103</v>
      </c>
      <c r="BS751" s="3">
        <v>43075</v>
      </c>
      <c r="BT751" s="4">
        <v>0.41666666666666669</v>
      </c>
      <c r="BU751" s="2" t="s">
        <v>205</v>
      </c>
      <c r="BV751" s="2" t="s">
        <v>85</v>
      </c>
      <c r="BY751" s="2">
        <v>16465.3</v>
      </c>
      <c r="CA751" s="2" t="s">
        <v>203</v>
      </c>
      <c r="CC751" s="2" t="s">
        <v>75</v>
      </c>
      <c r="CD751" s="2">
        <v>1665</v>
      </c>
      <c r="CE751" s="2" t="s">
        <v>95</v>
      </c>
      <c r="CF751" s="3">
        <v>43077</v>
      </c>
      <c r="CI751" s="2">
        <v>1</v>
      </c>
      <c r="CJ751" s="2">
        <v>1</v>
      </c>
      <c r="CK751" s="2">
        <v>22</v>
      </c>
      <c r="CL751" s="2" t="s">
        <v>89</v>
      </c>
    </row>
    <row r="752" spans="1:90">
      <c r="A752" s="2" t="s">
        <v>71</v>
      </c>
      <c r="B752" s="2" t="s">
        <v>72</v>
      </c>
      <c r="C752" s="2" t="s">
        <v>73</v>
      </c>
      <c r="E752" s="2" t="str">
        <f>"FES1162593828"</f>
        <v>FES1162593828</v>
      </c>
      <c r="F752" s="3">
        <v>43074</v>
      </c>
      <c r="G752" s="2">
        <v>201806</v>
      </c>
      <c r="H752" s="2" t="s">
        <v>74</v>
      </c>
      <c r="I752" s="2" t="s">
        <v>75</v>
      </c>
      <c r="J752" s="2" t="s">
        <v>97</v>
      </c>
      <c r="K752" s="2" t="s">
        <v>77</v>
      </c>
      <c r="L752" s="2" t="s">
        <v>173</v>
      </c>
      <c r="M752" s="2" t="s">
        <v>174</v>
      </c>
      <c r="N752" s="2" t="s">
        <v>349</v>
      </c>
      <c r="O752" s="2" t="s">
        <v>101</v>
      </c>
      <c r="P752" s="2" t="str">
        <f>"2170605876                    "</f>
        <v xml:space="preserve">2170605876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5.65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0.6</v>
      </c>
      <c r="BJ752" s="2">
        <v>0.7</v>
      </c>
      <c r="BK752" s="2">
        <v>1</v>
      </c>
      <c r="BL752" s="2">
        <v>45.15</v>
      </c>
      <c r="BM752" s="2">
        <v>6.32</v>
      </c>
      <c r="BN752" s="2">
        <v>51.47</v>
      </c>
      <c r="BO752" s="2">
        <v>51.47</v>
      </c>
      <c r="BQ752" s="2" t="s">
        <v>879</v>
      </c>
      <c r="BR752" s="2" t="s">
        <v>103</v>
      </c>
      <c r="BS752" s="3">
        <v>43075</v>
      </c>
      <c r="BT752" s="4">
        <v>0.6</v>
      </c>
      <c r="BU752" s="2" t="s">
        <v>1265</v>
      </c>
      <c r="BV752" s="2" t="s">
        <v>89</v>
      </c>
      <c r="BW752" s="2" t="s">
        <v>156</v>
      </c>
      <c r="BX752" s="2" t="s">
        <v>411</v>
      </c>
      <c r="BY752" s="2">
        <v>3429.12</v>
      </c>
      <c r="CA752" s="2" t="s">
        <v>412</v>
      </c>
      <c r="CC752" s="2" t="s">
        <v>174</v>
      </c>
      <c r="CD752" s="2">
        <v>7800</v>
      </c>
      <c r="CE752" s="2" t="s">
        <v>87</v>
      </c>
      <c r="CF752" s="3">
        <v>43075</v>
      </c>
      <c r="CI752" s="2">
        <v>1</v>
      </c>
      <c r="CJ752" s="2">
        <v>1</v>
      </c>
      <c r="CK752" s="2">
        <v>21</v>
      </c>
      <c r="CL752" s="2" t="s">
        <v>89</v>
      </c>
    </row>
    <row r="753" spans="1:90">
      <c r="A753" s="2" t="s">
        <v>71</v>
      </c>
      <c r="B753" s="2" t="s">
        <v>72</v>
      </c>
      <c r="C753" s="2" t="s">
        <v>73</v>
      </c>
      <c r="E753" s="2" t="str">
        <f>"FES1162593762"</f>
        <v>FES1162593762</v>
      </c>
      <c r="F753" s="3">
        <v>43074</v>
      </c>
      <c r="G753" s="2">
        <v>201806</v>
      </c>
      <c r="H753" s="2" t="s">
        <v>74</v>
      </c>
      <c r="I753" s="2" t="s">
        <v>75</v>
      </c>
      <c r="J753" s="2" t="s">
        <v>97</v>
      </c>
      <c r="K753" s="2" t="s">
        <v>77</v>
      </c>
      <c r="L753" s="2" t="s">
        <v>173</v>
      </c>
      <c r="M753" s="2" t="s">
        <v>174</v>
      </c>
      <c r="N753" s="2" t="s">
        <v>393</v>
      </c>
      <c r="O753" s="2" t="s">
        <v>101</v>
      </c>
      <c r="P753" s="2" t="str">
        <f>"2170605857                    "</f>
        <v xml:space="preserve">2170605857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5.65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1.6</v>
      </c>
      <c r="BJ753" s="2">
        <v>1.7</v>
      </c>
      <c r="BK753" s="2">
        <v>2</v>
      </c>
      <c r="BL753" s="2">
        <v>45.15</v>
      </c>
      <c r="BM753" s="2">
        <v>6.32</v>
      </c>
      <c r="BN753" s="2">
        <v>51.47</v>
      </c>
      <c r="BO753" s="2">
        <v>51.47</v>
      </c>
      <c r="BQ753" s="2" t="s">
        <v>102</v>
      </c>
      <c r="BR753" s="2" t="s">
        <v>103</v>
      </c>
      <c r="BS753" s="3">
        <v>43075</v>
      </c>
      <c r="BT753" s="4">
        <v>0.43055555555555558</v>
      </c>
      <c r="BU753" s="2" t="s">
        <v>1266</v>
      </c>
      <c r="BV753" s="2" t="s">
        <v>85</v>
      </c>
      <c r="BY753" s="2">
        <v>8364</v>
      </c>
      <c r="CA753" s="2" t="s">
        <v>1267</v>
      </c>
      <c r="CC753" s="2" t="s">
        <v>174</v>
      </c>
      <c r="CD753" s="2">
        <v>7441</v>
      </c>
      <c r="CE753" s="2" t="s">
        <v>95</v>
      </c>
      <c r="CF753" s="3">
        <v>43075</v>
      </c>
      <c r="CI753" s="2">
        <v>1</v>
      </c>
      <c r="CJ753" s="2">
        <v>1</v>
      </c>
      <c r="CK753" s="2">
        <v>21</v>
      </c>
      <c r="CL753" s="2" t="s">
        <v>89</v>
      </c>
    </row>
    <row r="754" spans="1:90">
      <c r="A754" s="2" t="s">
        <v>71</v>
      </c>
      <c r="B754" s="2" t="s">
        <v>72</v>
      </c>
      <c r="C754" s="2" t="s">
        <v>73</v>
      </c>
      <c r="E754" s="2" t="str">
        <f>"FES1162593666"</f>
        <v>FES1162593666</v>
      </c>
      <c r="F754" s="3">
        <v>43074</v>
      </c>
      <c r="G754" s="2">
        <v>201806</v>
      </c>
      <c r="H754" s="2" t="s">
        <v>74</v>
      </c>
      <c r="I754" s="2" t="s">
        <v>75</v>
      </c>
      <c r="J754" s="2" t="s">
        <v>97</v>
      </c>
      <c r="K754" s="2" t="s">
        <v>77</v>
      </c>
      <c r="L754" s="2" t="s">
        <v>74</v>
      </c>
      <c r="M754" s="2" t="s">
        <v>75</v>
      </c>
      <c r="N754" s="2" t="s">
        <v>201</v>
      </c>
      <c r="O754" s="2" t="s">
        <v>101</v>
      </c>
      <c r="P754" s="2" t="str">
        <f>"2170604474                    "</f>
        <v xml:space="preserve">2170604474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4.41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</v>
      </c>
      <c r="BJ754" s="2">
        <v>0.2</v>
      </c>
      <c r="BK754" s="2">
        <v>1</v>
      </c>
      <c r="BL754" s="2">
        <v>35.270000000000003</v>
      </c>
      <c r="BM754" s="2">
        <v>4.9400000000000004</v>
      </c>
      <c r="BN754" s="2">
        <v>40.21</v>
      </c>
      <c r="BO754" s="2">
        <v>40.21</v>
      </c>
      <c r="BQ754" s="2" t="s">
        <v>102</v>
      </c>
      <c r="BR754" s="2" t="s">
        <v>103</v>
      </c>
      <c r="BS754" s="3">
        <v>43075</v>
      </c>
      <c r="BT754" s="4">
        <v>0.41666666666666669</v>
      </c>
      <c r="BU754" s="2" t="s">
        <v>202</v>
      </c>
      <c r="BV754" s="2" t="s">
        <v>85</v>
      </c>
      <c r="BY754" s="2">
        <v>1200</v>
      </c>
      <c r="CA754" s="2" t="s">
        <v>203</v>
      </c>
      <c r="CC754" s="2" t="s">
        <v>75</v>
      </c>
      <c r="CD754" s="2">
        <v>1665</v>
      </c>
      <c r="CE754" s="2" t="s">
        <v>120</v>
      </c>
      <c r="CF754" s="3">
        <v>43077</v>
      </c>
      <c r="CI754" s="2">
        <v>1</v>
      </c>
      <c r="CJ754" s="2">
        <v>1</v>
      </c>
      <c r="CK754" s="2">
        <v>22</v>
      </c>
      <c r="CL754" s="2" t="s">
        <v>89</v>
      </c>
    </row>
    <row r="755" spans="1:90">
      <c r="A755" s="2" t="s">
        <v>71</v>
      </c>
      <c r="B755" s="2" t="s">
        <v>72</v>
      </c>
      <c r="C755" s="2" t="s">
        <v>73</v>
      </c>
      <c r="E755" s="2" t="str">
        <f>"FES1162593804"</f>
        <v>FES1162593804</v>
      </c>
      <c r="F755" s="3">
        <v>43074</v>
      </c>
      <c r="G755" s="2">
        <v>201806</v>
      </c>
      <c r="H755" s="2" t="s">
        <v>74</v>
      </c>
      <c r="I755" s="2" t="s">
        <v>75</v>
      </c>
      <c r="J755" s="2" t="s">
        <v>97</v>
      </c>
      <c r="K755" s="2" t="s">
        <v>77</v>
      </c>
      <c r="L755" s="2" t="s">
        <v>90</v>
      </c>
      <c r="M755" s="2" t="s">
        <v>91</v>
      </c>
      <c r="N755" s="2" t="s">
        <v>1268</v>
      </c>
      <c r="O755" s="2" t="s">
        <v>101</v>
      </c>
      <c r="P755" s="2" t="str">
        <f>"2170605361                    "</f>
        <v xml:space="preserve">2170605361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4.41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1.6</v>
      </c>
      <c r="BJ755" s="2">
        <v>3.1</v>
      </c>
      <c r="BK755" s="2">
        <v>4</v>
      </c>
      <c r="BL755" s="2">
        <v>35.270000000000003</v>
      </c>
      <c r="BM755" s="2">
        <v>4.9400000000000004</v>
      </c>
      <c r="BN755" s="2">
        <v>40.21</v>
      </c>
      <c r="BO755" s="2">
        <v>40.21</v>
      </c>
      <c r="BQ755" s="2" t="s">
        <v>128</v>
      </c>
      <c r="BR755" s="2" t="s">
        <v>103</v>
      </c>
      <c r="BS755" s="3">
        <v>43075</v>
      </c>
      <c r="BT755" s="4">
        <v>0.4375</v>
      </c>
      <c r="BU755" s="2" t="s">
        <v>1269</v>
      </c>
      <c r="BV755" s="2" t="s">
        <v>85</v>
      </c>
      <c r="BY755" s="2">
        <v>15678</v>
      </c>
      <c r="CA755" s="2" t="s">
        <v>347</v>
      </c>
      <c r="CC755" s="2" t="s">
        <v>91</v>
      </c>
      <c r="CD755" s="2">
        <v>1559</v>
      </c>
      <c r="CE755" s="2" t="s">
        <v>87</v>
      </c>
      <c r="CF755" s="3">
        <v>43077</v>
      </c>
      <c r="CI755" s="2">
        <v>1</v>
      </c>
      <c r="CJ755" s="2">
        <v>1</v>
      </c>
      <c r="CK755" s="2">
        <v>22</v>
      </c>
      <c r="CL755" s="2" t="s">
        <v>89</v>
      </c>
    </row>
    <row r="756" spans="1:90">
      <c r="A756" s="2" t="s">
        <v>71</v>
      </c>
      <c r="B756" s="2" t="s">
        <v>72</v>
      </c>
      <c r="C756" s="2" t="s">
        <v>73</v>
      </c>
      <c r="E756" s="2" t="str">
        <f>"FES1162593829"</f>
        <v>FES1162593829</v>
      </c>
      <c r="F756" s="3">
        <v>43074</v>
      </c>
      <c r="G756" s="2">
        <v>201806</v>
      </c>
      <c r="H756" s="2" t="s">
        <v>74</v>
      </c>
      <c r="I756" s="2" t="s">
        <v>75</v>
      </c>
      <c r="J756" s="2" t="s">
        <v>97</v>
      </c>
      <c r="K756" s="2" t="s">
        <v>77</v>
      </c>
      <c r="L756" s="2" t="s">
        <v>173</v>
      </c>
      <c r="M756" s="2" t="s">
        <v>174</v>
      </c>
      <c r="N756" s="2" t="s">
        <v>1270</v>
      </c>
      <c r="O756" s="2" t="s">
        <v>101</v>
      </c>
      <c r="P756" s="2" t="str">
        <f>"2170605878                    "</f>
        <v xml:space="preserve">2170605878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5.65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1.2</v>
      </c>
      <c r="BJ756" s="2">
        <v>1.4</v>
      </c>
      <c r="BK756" s="2">
        <v>1.5</v>
      </c>
      <c r="BL756" s="2">
        <v>45.15</v>
      </c>
      <c r="BM756" s="2">
        <v>6.32</v>
      </c>
      <c r="BN756" s="2">
        <v>51.47</v>
      </c>
      <c r="BO756" s="2">
        <v>51.47</v>
      </c>
      <c r="BQ756" s="2" t="s">
        <v>1271</v>
      </c>
      <c r="BR756" s="2" t="s">
        <v>103</v>
      </c>
      <c r="BS756" s="3">
        <v>43075</v>
      </c>
      <c r="BT756" s="4">
        <v>0.50069444444444444</v>
      </c>
      <c r="BU756" s="2" t="s">
        <v>1272</v>
      </c>
      <c r="BV756" s="2" t="s">
        <v>89</v>
      </c>
      <c r="BY756" s="2">
        <v>7004.25</v>
      </c>
      <c r="CA756" s="2" t="s">
        <v>1261</v>
      </c>
      <c r="CC756" s="2" t="s">
        <v>174</v>
      </c>
      <c r="CD756" s="2">
        <v>7800</v>
      </c>
      <c r="CE756" s="2" t="s">
        <v>95</v>
      </c>
      <c r="CF756" s="3">
        <v>43076</v>
      </c>
      <c r="CI756" s="2">
        <v>1</v>
      </c>
      <c r="CJ756" s="2">
        <v>1</v>
      </c>
      <c r="CK756" s="2">
        <v>21</v>
      </c>
      <c r="CL756" s="2" t="s">
        <v>89</v>
      </c>
    </row>
    <row r="757" spans="1:90">
      <c r="A757" s="2" t="s">
        <v>71</v>
      </c>
      <c r="B757" s="2" t="s">
        <v>72</v>
      </c>
      <c r="C757" s="2" t="s">
        <v>73</v>
      </c>
      <c r="E757" s="2" t="str">
        <f>"FES1162593850"</f>
        <v>FES1162593850</v>
      </c>
      <c r="F757" s="3">
        <v>43074</v>
      </c>
      <c r="G757" s="2">
        <v>201806</v>
      </c>
      <c r="H757" s="2" t="s">
        <v>74</v>
      </c>
      <c r="I757" s="2" t="s">
        <v>75</v>
      </c>
      <c r="J757" s="2" t="s">
        <v>97</v>
      </c>
      <c r="K757" s="2" t="s">
        <v>77</v>
      </c>
      <c r="L757" s="2" t="s">
        <v>547</v>
      </c>
      <c r="M757" s="2" t="s">
        <v>548</v>
      </c>
      <c r="N757" s="2" t="s">
        <v>1273</v>
      </c>
      <c r="O757" s="2" t="s">
        <v>101</v>
      </c>
      <c r="P757" s="2" t="str">
        <f>"2170604368                    "</f>
        <v xml:space="preserve">2170604368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4.41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35.270000000000003</v>
      </c>
      <c r="BM757" s="2">
        <v>4.9400000000000004</v>
      </c>
      <c r="BN757" s="2">
        <v>40.21</v>
      </c>
      <c r="BO757" s="2">
        <v>40.21</v>
      </c>
      <c r="BQ757" s="2" t="s">
        <v>102</v>
      </c>
      <c r="BR757" s="2" t="s">
        <v>103</v>
      </c>
      <c r="BS757" s="3">
        <v>43075</v>
      </c>
      <c r="BT757" s="4">
        <v>0.30833333333333335</v>
      </c>
      <c r="BU757" s="2" t="s">
        <v>1274</v>
      </c>
      <c r="BV757" s="2" t="s">
        <v>85</v>
      </c>
      <c r="BY757" s="2">
        <v>1200</v>
      </c>
      <c r="CA757" s="2" t="s">
        <v>119</v>
      </c>
      <c r="CC757" s="2" t="s">
        <v>548</v>
      </c>
      <c r="CD757" s="2">
        <v>1501</v>
      </c>
      <c r="CE757" s="2" t="s">
        <v>120</v>
      </c>
      <c r="CF757" s="3">
        <v>43077</v>
      </c>
      <c r="CI757" s="2">
        <v>1</v>
      </c>
      <c r="CJ757" s="2">
        <v>1</v>
      </c>
      <c r="CK757" s="2">
        <v>22</v>
      </c>
      <c r="CL757" s="2" t="s">
        <v>89</v>
      </c>
    </row>
    <row r="758" spans="1:90">
      <c r="A758" s="2" t="s">
        <v>71</v>
      </c>
      <c r="B758" s="2" t="s">
        <v>72</v>
      </c>
      <c r="C758" s="2" t="s">
        <v>73</v>
      </c>
      <c r="E758" s="2" t="str">
        <f>"FES1162593847"</f>
        <v>FES1162593847</v>
      </c>
      <c r="F758" s="3">
        <v>43074</v>
      </c>
      <c r="G758" s="2">
        <v>201806</v>
      </c>
      <c r="H758" s="2" t="s">
        <v>74</v>
      </c>
      <c r="I758" s="2" t="s">
        <v>75</v>
      </c>
      <c r="J758" s="2" t="s">
        <v>97</v>
      </c>
      <c r="K758" s="2" t="s">
        <v>77</v>
      </c>
      <c r="L758" s="2" t="s">
        <v>106</v>
      </c>
      <c r="M758" s="2" t="s">
        <v>107</v>
      </c>
      <c r="N758" s="2" t="s">
        <v>108</v>
      </c>
      <c r="O758" s="2" t="s">
        <v>101</v>
      </c>
      <c r="P758" s="2" t="str">
        <f>"2170603744                    "</f>
        <v xml:space="preserve">2170603744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4.41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35.270000000000003</v>
      </c>
      <c r="BM758" s="2">
        <v>4.9400000000000004</v>
      </c>
      <c r="BN758" s="2">
        <v>40.21</v>
      </c>
      <c r="BO758" s="2">
        <v>40.21</v>
      </c>
      <c r="BQ758" s="2" t="s">
        <v>82</v>
      </c>
      <c r="BR758" s="2" t="s">
        <v>103</v>
      </c>
      <c r="BS758" s="3">
        <v>43075</v>
      </c>
      <c r="BT758" s="4">
        <v>0.40625</v>
      </c>
      <c r="BU758" s="2" t="s">
        <v>1227</v>
      </c>
      <c r="BV758" s="2" t="s">
        <v>85</v>
      </c>
      <c r="BY758" s="2">
        <v>1200</v>
      </c>
      <c r="CA758" s="2" t="s">
        <v>110</v>
      </c>
      <c r="CC758" s="2" t="s">
        <v>107</v>
      </c>
      <c r="CD758" s="2">
        <v>2094</v>
      </c>
      <c r="CE758" s="2" t="s">
        <v>120</v>
      </c>
      <c r="CF758" s="3">
        <v>43077</v>
      </c>
      <c r="CI758" s="2">
        <v>1</v>
      </c>
      <c r="CJ758" s="2">
        <v>1</v>
      </c>
      <c r="CK758" s="2">
        <v>22</v>
      </c>
      <c r="CL758" s="2" t="s">
        <v>89</v>
      </c>
    </row>
    <row r="759" spans="1:90">
      <c r="A759" s="2" t="s">
        <v>71</v>
      </c>
      <c r="B759" s="2" t="s">
        <v>72</v>
      </c>
      <c r="C759" s="2" t="s">
        <v>73</v>
      </c>
      <c r="E759" s="2" t="str">
        <f>"FES1162593746"</f>
        <v>FES1162593746</v>
      </c>
      <c r="F759" s="3">
        <v>43074</v>
      </c>
      <c r="G759" s="2">
        <v>201806</v>
      </c>
      <c r="H759" s="2" t="s">
        <v>74</v>
      </c>
      <c r="I759" s="2" t="s">
        <v>75</v>
      </c>
      <c r="J759" s="2" t="s">
        <v>97</v>
      </c>
      <c r="K759" s="2" t="s">
        <v>77</v>
      </c>
      <c r="L759" s="2" t="s">
        <v>90</v>
      </c>
      <c r="M759" s="2" t="s">
        <v>91</v>
      </c>
      <c r="N759" s="2" t="s">
        <v>241</v>
      </c>
      <c r="O759" s="2" t="s">
        <v>101</v>
      </c>
      <c r="P759" s="2" t="str">
        <f>"2170605833                    "</f>
        <v xml:space="preserve">2170605833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4.41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0.9</v>
      </c>
      <c r="BJ759" s="2">
        <v>1.8</v>
      </c>
      <c r="BK759" s="2">
        <v>2</v>
      </c>
      <c r="BL759" s="2">
        <v>35.270000000000003</v>
      </c>
      <c r="BM759" s="2">
        <v>4.9400000000000004</v>
      </c>
      <c r="BN759" s="2">
        <v>40.21</v>
      </c>
      <c r="BO759" s="2">
        <v>40.21</v>
      </c>
      <c r="BQ759" s="2" t="s">
        <v>82</v>
      </c>
      <c r="BR759" s="2" t="s">
        <v>103</v>
      </c>
      <c r="BS759" s="3">
        <v>43075</v>
      </c>
      <c r="BT759" s="4">
        <v>0.4375</v>
      </c>
      <c r="BU759" s="2" t="s">
        <v>242</v>
      </c>
      <c r="BV759" s="2" t="s">
        <v>85</v>
      </c>
      <c r="BY759" s="2">
        <v>8990.7099999999991</v>
      </c>
      <c r="CA759" s="2" t="s">
        <v>347</v>
      </c>
      <c r="CC759" s="2" t="s">
        <v>91</v>
      </c>
      <c r="CD759" s="2">
        <v>1559</v>
      </c>
      <c r="CE759" s="2" t="s">
        <v>95</v>
      </c>
      <c r="CF759" s="3">
        <v>43077</v>
      </c>
      <c r="CI759" s="2">
        <v>1</v>
      </c>
      <c r="CJ759" s="2">
        <v>1</v>
      </c>
      <c r="CK759" s="2">
        <v>22</v>
      </c>
      <c r="CL759" s="2" t="s">
        <v>89</v>
      </c>
    </row>
    <row r="760" spans="1:90">
      <c r="A760" s="2" t="s">
        <v>71</v>
      </c>
      <c r="B760" s="2" t="s">
        <v>72</v>
      </c>
      <c r="C760" s="2" t="s">
        <v>73</v>
      </c>
      <c r="E760" s="2" t="str">
        <f>"FES1162592733"</f>
        <v>FES1162592733</v>
      </c>
      <c r="F760" s="3">
        <v>43074</v>
      </c>
      <c r="G760" s="2">
        <v>201806</v>
      </c>
      <c r="H760" s="2" t="s">
        <v>74</v>
      </c>
      <c r="I760" s="2" t="s">
        <v>75</v>
      </c>
      <c r="J760" s="2" t="s">
        <v>97</v>
      </c>
      <c r="K760" s="2" t="s">
        <v>77</v>
      </c>
      <c r="L760" s="2" t="s">
        <v>277</v>
      </c>
      <c r="M760" s="2" t="s">
        <v>278</v>
      </c>
      <c r="N760" s="2" t="s">
        <v>639</v>
      </c>
      <c r="O760" s="2" t="s">
        <v>101</v>
      </c>
      <c r="P760" s="2" t="str">
        <f>"2170605199                    "</f>
        <v xml:space="preserve">2170605199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4.41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2.9</v>
      </c>
      <c r="BJ760" s="2">
        <v>1.4</v>
      </c>
      <c r="BK760" s="2">
        <v>3</v>
      </c>
      <c r="BL760" s="2">
        <v>35.270000000000003</v>
      </c>
      <c r="BM760" s="2">
        <v>4.9400000000000004</v>
      </c>
      <c r="BN760" s="2">
        <v>40.21</v>
      </c>
      <c r="BO760" s="2">
        <v>40.21</v>
      </c>
      <c r="BQ760" s="2" t="s">
        <v>142</v>
      </c>
      <c r="BR760" s="2" t="s">
        <v>103</v>
      </c>
      <c r="BS760" s="3">
        <v>43075</v>
      </c>
      <c r="BT760" s="4">
        <v>0.41666666666666669</v>
      </c>
      <c r="BU760" s="2" t="s">
        <v>640</v>
      </c>
      <c r="BV760" s="2" t="s">
        <v>85</v>
      </c>
      <c r="BY760" s="2">
        <v>6860</v>
      </c>
      <c r="CA760" s="2" t="s">
        <v>320</v>
      </c>
      <c r="CC760" s="2" t="s">
        <v>278</v>
      </c>
      <c r="CD760" s="2">
        <v>2163</v>
      </c>
      <c r="CE760" s="2" t="s">
        <v>95</v>
      </c>
      <c r="CF760" s="3">
        <v>43077</v>
      </c>
      <c r="CI760" s="2">
        <v>1</v>
      </c>
      <c r="CJ760" s="2">
        <v>1</v>
      </c>
      <c r="CK760" s="2">
        <v>22</v>
      </c>
      <c r="CL760" s="2" t="s">
        <v>89</v>
      </c>
    </row>
    <row r="761" spans="1:90">
      <c r="A761" s="2" t="s">
        <v>71</v>
      </c>
      <c r="B761" s="2" t="s">
        <v>72</v>
      </c>
      <c r="C761" s="2" t="s">
        <v>73</v>
      </c>
      <c r="E761" s="2" t="str">
        <f>"FES1162593810"</f>
        <v>FES1162593810</v>
      </c>
      <c r="F761" s="3">
        <v>43074</v>
      </c>
      <c r="G761" s="2">
        <v>201806</v>
      </c>
      <c r="H761" s="2" t="s">
        <v>74</v>
      </c>
      <c r="I761" s="2" t="s">
        <v>75</v>
      </c>
      <c r="J761" s="2" t="s">
        <v>97</v>
      </c>
      <c r="K761" s="2" t="s">
        <v>77</v>
      </c>
      <c r="L761" s="2" t="s">
        <v>212</v>
      </c>
      <c r="M761" s="2" t="s">
        <v>212</v>
      </c>
      <c r="N761" s="2" t="s">
        <v>213</v>
      </c>
      <c r="O761" s="2" t="s">
        <v>101</v>
      </c>
      <c r="P761" s="2" t="str">
        <f>"2170605704                    "</f>
        <v xml:space="preserve">2170605704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7.06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2.2000000000000002</v>
      </c>
      <c r="BJ761" s="2">
        <v>2.2999999999999998</v>
      </c>
      <c r="BK761" s="2">
        <v>2.5</v>
      </c>
      <c r="BL761" s="2">
        <v>56.43</v>
      </c>
      <c r="BM761" s="2">
        <v>7.9</v>
      </c>
      <c r="BN761" s="2">
        <v>64.33</v>
      </c>
      <c r="BO761" s="2">
        <v>64.33</v>
      </c>
      <c r="BQ761" s="2" t="s">
        <v>102</v>
      </c>
      <c r="BR761" s="2" t="s">
        <v>103</v>
      </c>
      <c r="BS761" s="3">
        <v>43075</v>
      </c>
      <c r="BT761" s="4">
        <v>0.60347222222222219</v>
      </c>
      <c r="BU761" s="2" t="s">
        <v>1107</v>
      </c>
      <c r="BV761" s="2" t="s">
        <v>89</v>
      </c>
      <c r="BW761" s="2" t="s">
        <v>149</v>
      </c>
      <c r="BX761" s="2" t="s">
        <v>368</v>
      </c>
      <c r="BY761" s="2">
        <v>11438.61</v>
      </c>
      <c r="CA761" s="2" t="s">
        <v>1108</v>
      </c>
      <c r="CC761" s="2" t="s">
        <v>212</v>
      </c>
      <c r="CD761" s="2">
        <v>7646</v>
      </c>
      <c r="CE761" s="2" t="s">
        <v>87</v>
      </c>
      <c r="CF761" s="3">
        <v>43075</v>
      </c>
      <c r="CI761" s="2">
        <v>1</v>
      </c>
      <c r="CJ761" s="2">
        <v>1</v>
      </c>
      <c r="CK761" s="2">
        <v>21</v>
      </c>
      <c r="CL761" s="2" t="s">
        <v>89</v>
      </c>
    </row>
    <row r="762" spans="1:90">
      <c r="A762" s="2" t="s">
        <v>71</v>
      </c>
      <c r="B762" s="2" t="s">
        <v>72</v>
      </c>
      <c r="C762" s="2" t="s">
        <v>73</v>
      </c>
      <c r="E762" s="2" t="str">
        <f>"FES1162593923"</f>
        <v>FES1162593923</v>
      </c>
      <c r="F762" s="3">
        <v>43074</v>
      </c>
      <c r="G762" s="2">
        <v>201806</v>
      </c>
      <c r="H762" s="2" t="s">
        <v>74</v>
      </c>
      <c r="I762" s="2" t="s">
        <v>75</v>
      </c>
      <c r="J762" s="2" t="s">
        <v>97</v>
      </c>
      <c r="K762" s="2" t="s">
        <v>77</v>
      </c>
      <c r="L762" s="2" t="s">
        <v>145</v>
      </c>
      <c r="M762" s="2" t="s">
        <v>146</v>
      </c>
      <c r="N762" s="2" t="s">
        <v>709</v>
      </c>
      <c r="O762" s="2" t="s">
        <v>101</v>
      </c>
      <c r="P762" s="2" t="str">
        <f>"2170605968                    "</f>
        <v xml:space="preserve">2170605968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5.65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45.15</v>
      </c>
      <c r="BM762" s="2">
        <v>6.32</v>
      </c>
      <c r="BN762" s="2">
        <v>51.47</v>
      </c>
      <c r="BO762" s="2">
        <v>51.47</v>
      </c>
      <c r="BQ762" s="2" t="s">
        <v>102</v>
      </c>
      <c r="BR762" s="2" t="s">
        <v>103</v>
      </c>
      <c r="BS762" s="3">
        <v>43075</v>
      </c>
      <c r="BT762" s="4">
        <v>0.4375</v>
      </c>
      <c r="BU762" s="2" t="s">
        <v>929</v>
      </c>
      <c r="BV762" s="2" t="s">
        <v>85</v>
      </c>
      <c r="BY762" s="2">
        <v>1200</v>
      </c>
      <c r="CC762" s="2" t="s">
        <v>146</v>
      </c>
      <c r="CD762" s="2">
        <v>5201</v>
      </c>
      <c r="CE762" s="2" t="s">
        <v>120</v>
      </c>
      <c r="CF762" s="3">
        <v>43077</v>
      </c>
      <c r="CI762" s="2">
        <v>1</v>
      </c>
      <c r="CJ762" s="2">
        <v>1</v>
      </c>
      <c r="CK762" s="2">
        <v>21</v>
      </c>
      <c r="CL762" s="2" t="s">
        <v>89</v>
      </c>
    </row>
    <row r="763" spans="1:90">
      <c r="A763" s="2" t="s">
        <v>71</v>
      </c>
      <c r="B763" s="2" t="s">
        <v>72</v>
      </c>
      <c r="C763" s="2" t="s">
        <v>73</v>
      </c>
      <c r="E763" s="2" t="str">
        <f>"FES1162593952"</f>
        <v>FES1162593952</v>
      </c>
      <c r="F763" s="3">
        <v>43074</v>
      </c>
      <c r="G763" s="2">
        <v>201806</v>
      </c>
      <c r="H763" s="2" t="s">
        <v>74</v>
      </c>
      <c r="I763" s="2" t="s">
        <v>75</v>
      </c>
      <c r="J763" s="2" t="s">
        <v>97</v>
      </c>
      <c r="K763" s="2" t="s">
        <v>77</v>
      </c>
      <c r="L763" s="2" t="s">
        <v>136</v>
      </c>
      <c r="M763" s="2" t="s">
        <v>137</v>
      </c>
      <c r="N763" s="2" t="s">
        <v>138</v>
      </c>
      <c r="O763" s="2" t="s">
        <v>101</v>
      </c>
      <c r="P763" s="2" t="str">
        <f>"2170601829                    "</f>
        <v xml:space="preserve">2170601829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32.47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2</v>
      </c>
      <c r="BI763" s="2">
        <v>11.2</v>
      </c>
      <c r="BJ763" s="2">
        <v>3.9</v>
      </c>
      <c r="BK763" s="2">
        <v>11.5</v>
      </c>
      <c r="BL763" s="2">
        <v>259.5</v>
      </c>
      <c r="BM763" s="2">
        <v>36.33</v>
      </c>
      <c r="BN763" s="2">
        <v>295.83</v>
      </c>
      <c r="BO763" s="2">
        <v>295.83</v>
      </c>
      <c r="BQ763" s="2" t="s">
        <v>82</v>
      </c>
      <c r="BR763" s="2" t="s">
        <v>103</v>
      </c>
      <c r="BS763" s="3">
        <v>43075</v>
      </c>
      <c r="BT763" s="4">
        <v>0.41666666666666669</v>
      </c>
      <c r="BU763" s="2" t="s">
        <v>139</v>
      </c>
      <c r="BV763" s="2" t="s">
        <v>85</v>
      </c>
      <c r="BY763" s="2">
        <v>19733.29</v>
      </c>
      <c r="CA763" s="2" t="s">
        <v>140</v>
      </c>
      <c r="CC763" s="2" t="s">
        <v>137</v>
      </c>
      <c r="CD763" s="2">
        <v>6001</v>
      </c>
      <c r="CE763" s="2" t="s">
        <v>95</v>
      </c>
      <c r="CF763" s="3">
        <v>43076</v>
      </c>
      <c r="CI763" s="2">
        <v>1</v>
      </c>
      <c r="CJ763" s="2">
        <v>1</v>
      </c>
      <c r="CK763" s="2">
        <v>21</v>
      </c>
      <c r="CL763" s="2" t="s">
        <v>89</v>
      </c>
    </row>
    <row r="764" spans="1:90">
      <c r="A764" s="2" t="s">
        <v>71</v>
      </c>
      <c r="B764" s="2" t="s">
        <v>72</v>
      </c>
      <c r="C764" s="2" t="s">
        <v>73</v>
      </c>
      <c r="E764" s="2" t="str">
        <f>"FES1162593745"</f>
        <v>FES1162593745</v>
      </c>
      <c r="F764" s="3">
        <v>43074</v>
      </c>
      <c r="G764" s="2">
        <v>201806</v>
      </c>
      <c r="H764" s="2" t="s">
        <v>74</v>
      </c>
      <c r="I764" s="2" t="s">
        <v>75</v>
      </c>
      <c r="J764" s="2" t="s">
        <v>97</v>
      </c>
      <c r="K764" s="2" t="s">
        <v>77</v>
      </c>
      <c r="L764" s="2" t="s">
        <v>173</v>
      </c>
      <c r="M764" s="2" t="s">
        <v>174</v>
      </c>
      <c r="N764" s="2" t="s">
        <v>376</v>
      </c>
      <c r="O764" s="2" t="s">
        <v>101</v>
      </c>
      <c r="P764" s="2" t="str">
        <f>"2170605829                    "</f>
        <v xml:space="preserve">2170605829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5.65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1</v>
      </c>
      <c r="BJ764" s="2">
        <v>0.2</v>
      </c>
      <c r="BK764" s="2">
        <v>1</v>
      </c>
      <c r="BL764" s="2">
        <v>45.15</v>
      </c>
      <c r="BM764" s="2">
        <v>6.32</v>
      </c>
      <c r="BN764" s="2">
        <v>51.47</v>
      </c>
      <c r="BO764" s="2">
        <v>51.47</v>
      </c>
      <c r="BQ764" s="2" t="s">
        <v>102</v>
      </c>
      <c r="BR764" s="2" t="s">
        <v>103</v>
      </c>
      <c r="BS764" s="3">
        <v>43075</v>
      </c>
      <c r="BT764" s="4">
        <v>0.49305555555555558</v>
      </c>
      <c r="BU764" s="2" t="s">
        <v>1202</v>
      </c>
      <c r="BV764" s="2" t="s">
        <v>89</v>
      </c>
      <c r="BW764" s="2" t="s">
        <v>149</v>
      </c>
      <c r="BX764" s="2" t="s">
        <v>368</v>
      </c>
      <c r="BY764" s="2">
        <v>1200</v>
      </c>
      <c r="CA764" s="2" t="s">
        <v>378</v>
      </c>
      <c r="CC764" s="2" t="s">
        <v>174</v>
      </c>
      <c r="CD764" s="2">
        <v>7490</v>
      </c>
      <c r="CE764" s="2" t="s">
        <v>120</v>
      </c>
      <c r="CF764" s="3">
        <v>43076</v>
      </c>
      <c r="CI764" s="2">
        <v>1</v>
      </c>
      <c r="CJ764" s="2">
        <v>1</v>
      </c>
      <c r="CK764" s="2">
        <v>21</v>
      </c>
      <c r="CL764" s="2" t="s">
        <v>89</v>
      </c>
    </row>
    <row r="765" spans="1:90">
      <c r="A765" s="2" t="s">
        <v>71</v>
      </c>
      <c r="B765" s="2" t="s">
        <v>72</v>
      </c>
      <c r="C765" s="2" t="s">
        <v>73</v>
      </c>
      <c r="E765" s="2" t="str">
        <f>"FES1162593939"</f>
        <v>FES1162593939</v>
      </c>
      <c r="F765" s="3">
        <v>43074</v>
      </c>
      <c r="G765" s="2">
        <v>201806</v>
      </c>
      <c r="H765" s="2" t="s">
        <v>74</v>
      </c>
      <c r="I765" s="2" t="s">
        <v>75</v>
      </c>
      <c r="J765" s="2" t="s">
        <v>97</v>
      </c>
      <c r="K765" s="2" t="s">
        <v>77</v>
      </c>
      <c r="L765" s="2" t="s">
        <v>136</v>
      </c>
      <c r="M765" s="2" t="s">
        <v>137</v>
      </c>
      <c r="N765" s="2" t="s">
        <v>178</v>
      </c>
      <c r="O765" s="2" t="s">
        <v>101</v>
      </c>
      <c r="P765" s="2" t="str">
        <f>"2170605972                    "</f>
        <v xml:space="preserve">2170605972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5.65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1</v>
      </c>
      <c r="BJ765" s="2">
        <v>0.2</v>
      </c>
      <c r="BK765" s="2">
        <v>1</v>
      </c>
      <c r="BL765" s="2">
        <v>45.15</v>
      </c>
      <c r="BM765" s="2">
        <v>6.32</v>
      </c>
      <c r="BN765" s="2">
        <v>51.47</v>
      </c>
      <c r="BO765" s="2">
        <v>51.47</v>
      </c>
      <c r="BQ765" s="2" t="s">
        <v>102</v>
      </c>
      <c r="BR765" s="2" t="s">
        <v>103</v>
      </c>
      <c r="BS765" s="3">
        <v>43075</v>
      </c>
      <c r="BT765" s="4">
        <v>0.30416666666666664</v>
      </c>
      <c r="BU765" s="2" t="s">
        <v>179</v>
      </c>
      <c r="BV765" s="2" t="s">
        <v>85</v>
      </c>
      <c r="BY765" s="2">
        <v>1200</v>
      </c>
      <c r="CA765" s="2" t="s">
        <v>180</v>
      </c>
      <c r="CC765" s="2" t="s">
        <v>137</v>
      </c>
      <c r="CD765" s="2">
        <v>6001</v>
      </c>
      <c r="CE765" s="2" t="s">
        <v>120</v>
      </c>
      <c r="CF765" s="3">
        <v>43077</v>
      </c>
      <c r="CI765" s="2">
        <v>1</v>
      </c>
      <c r="CJ765" s="2">
        <v>1</v>
      </c>
      <c r="CK765" s="2">
        <v>21</v>
      </c>
      <c r="CL765" s="2" t="s">
        <v>89</v>
      </c>
    </row>
    <row r="766" spans="1:90">
      <c r="A766" s="2" t="s">
        <v>71</v>
      </c>
      <c r="B766" s="2" t="s">
        <v>72</v>
      </c>
      <c r="C766" s="2" t="s">
        <v>73</v>
      </c>
      <c r="E766" s="2" t="str">
        <f>"FES1162593757"</f>
        <v>FES1162593757</v>
      </c>
      <c r="F766" s="3">
        <v>43074</v>
      </c>
      <c r="G766" s="2">
        <v>201806</v>
      </c>
      <c r="H766" s="2" t="s">
        <v>74</v>
      </c>
      <c r="I766" s="2" t="s">
        <v>75</v>
      </c>
      <c r="J766" s="2" t="s">
        <v>97</v>
      </c>
      <c r="K766" s="2" t="s">
        <v>77</v>
      </c>
      <c r="L766" s="2" t="s">
        <v>158</v>
      </c>
      <c r="M766" s="2" t="s">
        <v>159</v>
      </c>
      <c r="N766" s="2" t="s">
        <v>1275</v>
      </c>
      <c r="O766" s="2" t="s">
        <v>101</v>
      </c>
      <c r="P766" s="2" t="str">
        <f>"2170605850                    "</f>
        <v xml:space="preserve">2170605850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7.06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1</v>
      </c>
      <c r="BJ766" s="2">
        <v>2.2000000000000002</v>
      </c>
      <c r="BK766" s="2">
        <v>2.5</v>
      </c>
      <c r="BL766" s="2">
        <v>56.43</v>
      </c>
      <c r="BM766" s="2">
        <v>7.9</v>
      </c>
      <c r="BN766" s="2">
        <v>64.33</v>
      </c>
      <c r="BO766" s="2">
        <v>64.33</v>
      </c>
      <c r="BQ766" s="2" t="s">
        <v>102</v>
      </c>
      <c r="BR766" s="2" t="s">
        <v>103</v>
      </c>
      <c r="BS766" s="3">
        <v>43075</v>
      </c>
      <c r="BT766" s="4">
        <v>0.76527777777777783</v>
      </c>
      <c r="BU766" s="2" t="s">
        <v>1276</v>
      </c>
      <c r="BV766" s="2" t="s">
        <v>89</v>
      </c>
      <c r="BW766" s="2" t="s">
        <v>156</v>
      </c>
      <c r="BX766" s="2" t="s">
        <v>968</v>
      </c>
      <c r="BY766" s="2">
        <v>11200</v>
      </c>
      <c r="CA766" s="2" t="s">
        <v>678</v>
      </c>
      <c r="CC766" s="2" t="s">
        <v>159</v>
      </c>
      <c r="CD766" s="2">
        <v>184</v>
      </c>
      <c r="CE766" s="2" t="s">
        <v>356</v>
      </c>
      <c r="CF766" s="3">
        <v>43077</v>
      </c>
      <c r="CI766" s="2">
        <v>1</v>
      </c>
      <c r="CJ766" s="2">
        <v>1</v>
      </c>
      <c r="CK766" s="2">
        <v>21</v>
      </c>
      <c r="CL766" s="2" t="s">
        <v>89</v>
      </c>
    </row>
    <row r="767" spans="1:90">
      <c r="A767" s="2" t="s">
        <v>71</v>
      </c>
      <c r="B767" s="2" t="s">
        <v>72</v>
      </c>
      <c r="C767" s="2" t="s">
        <v>73</v>
      </c>
      <c r="E767" s="2" t="str">
        <f>"FES1162593752"</f>
        <v>FES1162593752</v>
      </c>
      <c r="F767" s="3">
        <v>43074</v>
      </c>
      <c r="G767" s="2">
        <v>201806</v>
      </c>
      <c r="H767" s="2" t="s">
        <v>74</v>
      </c>
      <c r="I767" s="2" t="s">
        <v>75</v>
      </c>
      <c r="J767" s="2" t="s">
        <v>97</v>
      </c>
      <c r="K767" s="2" t="s">
        <v>77</v>
      </c>
      <c r="L767" s="2" t="s">
        <v>115</v>
      </c>
      <c r="M767" s="2" t="s">
        <v>116</v>
      </c>
      <c r="N767" s="2" t="s">
        <v>633</v>
      </c>
      <c r="O767" s="2" t="s">
        <v>101</v>
      </c>
      <c r="P767" s="2" t="str">
        <f>"2170605830                    "</f>
        <v xml:space="preserve">2170605830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4.41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1</v>
      </c>
      <c r="BJ767" s="2">
        <v>0.2</v>
      </c>
      <c r="BK767" s="2">
        <v>1</v>
      </c>
      <c r="BL767" s="2">
        <v>35.270000000000003</v>
      </c>
      <c r="BM767" s="2">
        <v>4.9400000000000004</v>
      </c>
      <c r="BN767" s="2">
        <v>40.21</v>
      </c>
      <c r="BO767" s="2">
        <v>40.21</v>
      </c>
      <c r="BQ767" s="2" t="s">
        <v>634</v>
      </c>
      <c r="BR767" s="2" t="s">
        <v>103</v>
      </c>
      <c r="BS767" s="3">
        <v>43075</v>
      </c>
      <c r="BT767" s="4">
        <v>0.35972222222222222</v>
      </c>
      <c r="BU767" s="2" t="s">
        <v>1277</v>
      </c>
      <c r="BV767" s="2" t="s">
        <v>85</v>
      </c>
      <c r="BY767" s="2">
        <v>1200</v>
      </c>
      <c r="CA767" s="2" t="s">
        <v>293</v>
      </c>
      <c r="CC767" s="2" t="s">
        <v>116</v>
      </c>
      <c r="CD767" s="2">
        <v>1459</v>
      </c>
      <c r="CE767" s="2" t="s">
        <v>120</v>
      </c>
      <c r="CF767" s="3">
        <v>43077</v>
      </c>
      <c r="CI767" s="2">
        <v>1</v>
      </c>
      <c r="CJ767" s="2">
        <v>1</v>
      </c>
      <c r="CK767" s="2">
        <v>22</v>
      </c>
      <c r="CL767" s="2" t="s">
        <v>89</v>
      </c>
    </row>
    <row r="768" spans="1:90">
      <c r="A768" s="2" t="s">
        <v>71</v>
      </c>
      <c r="B768" s="2" t="s">
        <v>72</v>
      </c>
      <c r="C768" s="2" t="s">
        <v>73</v>
      </c>
      <c r="E768" s="2" t="str">
        <f>"FES1162593876"</f>
        <v>FES1162593876</v>
      </c>
      <c r="F768" s="3">
        <v>43074</v>
      </c>
      <c r="G768" s="2">
        <v>201806</v>
      </c>
      <c r="H768" s="2" t="s">
        <v>74</v>
      </c>
      <c r="I768" s="2" t="s">
        <v>75</v>
      </c>
      <c r="J768" s="2" t="s">
        <v>97</v>
      </c>
      <c r="K768" s="2" t="s">
        <v>77</v>
      </c>
      <c r="L768" s="2" t="s">
        <v>1278</v>
      </c>
      <c r="M768" s="2" t="s">
        <v>1279</v>
      </c>
      <c r="N768" s="2" t="s">
        <v>1280</v>
      </c>
      <c r="O768" s="2" t="s">
        <v>101</v>
      </c>
      <c r="P768" s="2" t="str">
        <f>"2170605896                    "</f>
        <v xml:space="preserve">2170605896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7.94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1</v>
      </c>
      <c r="BJ768" s="2">
        <v>0.2</v>
      </c>
      <c r="BK768" s="2">
        <v>1</v>
      </c>
      <c r="BL768" s="2">
        <v>63.49</v>
      </c>
      <c r="BM768" s="2">
        <v>8.89</v>
      </c>
      <c r="BN768" s="2">
        <v>72.38</v>
      </c>
      <c r="BO768" s="2">
        <v>72.38</v>
      </c>
      <c r="BQ768" s="2" t="s">
        <v>82</v>
      </c>
      <c r="BR768" s="2" t="s">
        <v>103</v>
      </c>
      <c r="BS768" s="3">
        <v>43075</v>
      </c>
      <c r="BT768" s="4">
        <v>0.3979166666666667</v>
      </c>
      <c r="BU768" s="2" t="s">
        <v>1281</v>
      </c>
      <c r="BV768" s="2" t="s">
        <v>85</v>
      </c>
      <c r="BY768" s="2">
        <v>1200</v>
      </c>
      <c r="CA768" s="2" t="s">
        <v>1282</v>
      </c>
      <c r="CC768" s="2" t="s">
        <v>1279</v>
      </c>
      <c r="CD768" s="2">
        <v>2410</v>
      </c>
      <c r="CE768" s="2" t="s">
        <v>120</v>
      </c>
      <c r="CF768" s="3">
        <v>43077</v>
      </c>
      <c r="CI768" s="2">
        <v>1</v>
      </c>
      <c r="CJ768" s="2">
        <v>1</v>
      </c>
      <c r="CK768" s="2">
        <v>24</v>
      </c>
      <c r="CL768" s="2" t="s">
        <v>89</v>
      </c>
    </row>
    <row r="769" spans="1:90">
      <c r="A769" s="2" t="s">
        <v>71</v>
      </c>
      <c r="B769" s="2" t="s">
        <v>72</v>
      </c>
      <c r="C769" s="2" t="s">
        <v>73</v>
      </c>
      <c r="E769" s="2" t="str">
        <f>"FES1162593682"</f>
        <v>FES1162593682</v>
      </c>
      <c r="F769" s="3">
        <v>43074</v>
      </c>
      <c r="G769" s="2">
        <v>201806</v>
      </c>
      <c r="H769" s="2" t="s">
        <v>74</v>
      </c>
      <c r="I769" s="2" t="s">
        <v>75</v>
      </c>
      <c r="J769" s="2" t="s">
        <v>97</v>
      </c>
      <c r="K769" s="2" t="s">
        <v>77</v>
      </c>
      <c r="L769" s="2" t="s">
        <v>168</v>
      </c>
      <c r="M769" s="2" t="s">
        <v>169</v>
      </c>
      <c r="N769" s="2" t="s">
        <v>932</v>
      </c>
      <c r="O769" s="2" t="s">
        <v>101</v>
      </c>
      <c r="P769" s="2" t="str">
        <f>"2170604721                    "</f>
        <v xml:space="preserve">2170604721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5.65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1</v>
      </c>
      <c r="BJ769" s="2">
        <v>0.2</v>
      </c>
      <c r="BK769" s="2">
        <v>1</v>
      </c>
      <c r="BL769" s="2">
        <v>45.15</v>
      </c>
      <c r="BM769" s="2">
        <v>6.32</v>
      </c>
      <c r="BN769" s="2">
        <v>51.47</v>
      </c>
      <c r="BO769" s="2">
        <v>51.47</v>
      </c>
      <c r="BQ769" s="2" t="s">
        <v>102</v>
      </c>
      <c r="BR769" s="2" t="s">
        <v>103</v>
      </c>
      <c r="BS769" s="3">
        <v>43075</v>
      </c>
      <c r="BT769" s="4">
        <v>0.39930555555555558</v>
      </c>
      <c r="BU769" s="2" t="s">
        <v>1283</v>
      </c>
      <c r="BV769" s="2" t="s">
        <v>85</v>
      </c>
      <c r="BY769" s="2">
        <v>1200</v>
      </c>
      <c r="CA769" s="2" t="s">
        <v>172</v>
      </c>
      <c r="CC769" s="2" t="s">
        <v>169</v>
      </c>
      <c r="CD769" s="2">
        <v>3610</v>
      </c>
      <c r="CE769" s="2" t="s">
        <v>120</v>
      </c>
      <c r="CF769" s="3">
        <v>43076</v>
      </c>
      <c r="CI769" s="2">
        <v>1</v>
      </c>
      <c r="CJ769" s="2">
        <v>1</v>
      </c>
      <c r="CK769" s="2">
        <v>21</v>
      </c>
      <c r="CL769" s="2" t="s">
        <v>89</v>
      </c>
    </row>
    <row r="770" spans="1:90">
      <c r="A770" s="2" t="s">
        <v>71</v>
      </c>
      <c r="B770" s="2" t="s">
        <v>72</v>
      </c>
      <c r="C770" s="2" t="s">
        <v>73</v>
      </c>
      <c r="E770" s="2" t="str">
        <f>"FES1162593865"</f>
        <v>FES1162593865</v>
      </c>
      <c r="F770" s="3">
        <v>43074</v>
      </c>
      <c r="G770" s="2">
        <v>201806</v>
      </c>
      <c r="H770" s="2" t="s">
        <v>74</v>
      </c>
      <c r="I770" s="2" t="s">
        <v>75</v>
      </c>
      <c r="J770" s="2" t="s">
        <v>97</v>
      </c>
      <c r="K770" s="2" t="s">
        <v>77</v>
      </c>
      <c r="L770" s="2" t="s">
        <v>106</v>
      </c>
      <c r="M770" s="2" t="s">
        <v>107</v>
      </c>
      <c r="N770" s="2" t="s">
        <v>108</v>
      </c>
      <c r="O770" s="2" t="s">
        <v>101</v>
      </c>
      <c r="P770" s="2" t="str">
        <f>"2170605565                    "</f>
        <v xml:space="preserve">2170605565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4.41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35.270000000000003</v>
      </c>
      <c r="BM770" s="2">
        <v>4.9400000000000004</v>
      </c>
      <c r="BN770" s="2">
        <v>40.21</v>
      </c>
      <c r="BO770" s="2">
        <v>40.21</v>
      </c>
      <c r="BQ770" s="2" t="s">
        <v>82</v>
      </c>
      <c r="BR770" s="2" t="s">
        <v>103</v>
      </c>
      <c r="BS770" s="3">
        <v>43075</v>
      </c>
      <c r="BT770" s="4">
        <v>0.40902777777777777</v>
      </c>
      <c r="BU770" s="2" t="s">
        <v>1227</v>
      </c>
      <c r="BV770" s="2" t="s">
        <v>85</v>
      </c>
      <c r="BY770" s="2">
        <v>1200</v>
      </c>
      <c r="CA770" s="2" t="s">
        <v>110</v>
      </c>
      <c r="CC770" s="2" t="s">
        <v>107</v>
      </c>
      <c r="CD770" s="2">
        <v>2094</v>
      </c>
      <c r="CE770" s="2" t="s">
        <v>120</v>
      </c>
      <c r="CF770" s="3">
        <v>43077</v>
      </c>
      <c r="CI770" s="2">
        <v>1</v>
      </c>
      <c r="CJ770" s="2">
        <v>1</v>
      </c>
      <c r="CK770" s="2">
        <v>22</v>
      </c>
      <c r="CL770" s="2" t="s">
        <v>89</v>
      </c>
    </row>
    <row r="771" spans="1:90">
      <c r="A771" s="2" t="s">
        <v>71</v>
      </c>
      <c r="B771" s="2" t="s">
        <v>72</v>
      </c>
      <c r="C771" s="2" t="s">
        <v>73</v>
      </c>
      <c r="E771" s="2" t="str">
        <f>"FES1162593739"</f>
        <v>FES1162593739</v>
      </c>
      <c r="F771" s="3">
        <v>43074</v>
      </c>
      <c r="G771" s="2">
        <v>201806</v>
      </c>
      <c r="H771" s="2" t="s">
        <v>74</v>
      </c>
      <c r="I771" s="2" t="s">
        <v>75</v>
      </c>
      <c r="J771" s="2" t="s">
        <v>97</v>
      </c>
      <c r="K771" s="2" t="s">
        <v>77</v>
      </c>
      <c r="L771" s="2" t="s">
        <v>759</v>
      </c>
      <c r="M771" s="2" t="s">
        <v>760</v>
      </c>
      <c r="N771" s="2" t="s">
        <v>761</v>
      </c>
      <c r="O771" s="2" t="s">
        <v>101</v>
      </c>
      <c r="P771" s="2" t="str">
        <f>"21706058111                   "</f>
        <v xml:space="preserve">21706058111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5.65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1</v>
      </c>
      <c r="BJ771" s="2">
        <v>0.2</v>
      </c>
      <c r="BK771" s="2">
        <v>1</v>
      </c>
      <c r="BL771" s="2">
        <v>45.15</v>
      </c>
      <c r="BM771" s="2">
        <v>6.32</v>
      </c>
      <c r="BN771" s="2">
        <v>51.47</v>
      </c>
      <c r="BO771" s="2">
        <v>51.47</v>
      </c>
      <c r="BQ771" s="2" t="s">
        <v>82</v>
      </c>
      <c r="BR771" s="2" t="s">
        <v>103</v>
      </c>
      <c r="BS771" s="3">
        <v>43075</v>
      </c>
      <c r="BT771" s="4">
        <v>0.3527777777777778</v>
      </c>
      <c r="BU771" s="2" t="s">
        <v>1284</v>
      </c>
      <c r="BV771" s="2" t="s">
        <v>85</v>
      </c>
      <c r="BY771" s="2">
        <v>1200</v>
      </c>
      <c r="CA771" s="2" t="s">
        <v>578</v>
      </c>
      <c r="CC771" s="2" t="s">
        <v>760</v>
      </c>
      <c r="CD771" s="2">
        <v>4026</v>
      </c>
      <c r="CE771" s="2" t="s">
        <v>120</v>
      </c>
      <c r="CF771" s="3">
        <v>43076</v>
      </c>
      <c r="CI771" s="2">
        <v>1</v>
      </c>
      <c r="CJ771" s="2">
        <v>1</v>
      </c>
      <c r="CK771" s="2">
        <v>21</v>
      </c>
      <c r="CL771" s="2" t="s">
        <v>89</v>
      </c>
    </row>
    <row r="772" spans="1:90">
      <c r="A772" s="2" t="s">
        <v>71</v>
      </c>
      <c r="B772" s="2" t="s">
        <v>72</v>
      </c>
      <c r="C772" s="2" t="s">
        <v>73</v>
      </c>
      <c r="E772" s="2" t="str">
        <f>"FES1162593753"</f>
        <v>FES1162593753</v>
      </c>
      <c r="F772" s="3">
        <v>43074</v>
      </c>
      <c r="G772" s="2">
        <v>201806</v>
      </c>
      <c r="H772" s="2" t="s">
        <v>74</v>
      </c>
      <c r="I772" s="2" t="s">
        <v>75</v>
      </c>
      <c r="J772" s="2" t="s">
        <v>97</v>
      </c>
      <c r="K772" s="2" t="s">
        <v>77</v>
      </c>
      <c r="L772" s="2" t="s">
        <v>125</v>
      </c>
      <c r="M772" s="2" t="s">
        <v>126</v>
      </c>
      <c r="N772" s="2" t="s">
        <v>1034</v>
      </c>
      <c r="O772" s="2" t="s">
        <v>101</v>
      </c>
      <c r="P772" s="2" t="str">
        <f>"2170605836                    "</f>
        <v xml:space="preserve">2170605836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5.65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1</v>
      </c>
      <c r="BJ772" s="2">
        <v>0.2</v>
      </c>
      <c r="BK772" s="2">
        <v>1</v>
      </c>
      <c r="BL772" s="2">
        <v>45.15</v>
      </c>
      <c r="BM772" s="2">
        <v>6.32</v>
      </c>
      <c r="BN772" s="2">
        <v>51.47</v>
      </c>
      <c r="BO772" s="2">
        <v>51.47</v>
      </c>
      <c r="BQ772" s="2" t="s">
        <v>128</v>
      </c>
      <c r="BR772" s="2" t="s">
        <v>103</v>
      </c>
      <c r="BS772" s="3">
        <v>43075</v>
      </c>
      <c r="BT772" s="4">
        <v>0.4375</v>
      </c>
      <c r="BU772" s="2" t="s">
        <v>1098</v>
      </c>
      <c r="BV772" s="2" t="s">
        <v>85</v>
      </c>
      <c r="BY772" s="2">
        <v>1200</v>
      </c>
      <c r="CC772" s="2" t="s">
        <v>126</v>
      </c>
      <c r="CD772" s="2">
        <v>4001</v>
      </c>
      <c r="CE772" s="2" t="s">
        <v>120</v>
      </c>
      <c r="CF772" s="3">
        <v>43076</v>
      </c>
      <c r="CI772" s="2">
        <v>1</v>
      </c>
      <c r="CJ772" s="2">
        <v>1</v>
      </c>
      <c r="CK772" s="2">
        <v>21</v>
      </c>
      <c r="CL772" s="2" t="s">
        <v>89</v>
      </c>
    </row>
    <row r="773" spans="1:90">
      <c r="A773" s="2" t="s">
        <v>71</v>
      </c>
      <c r="B773" s="2" t="s">
        <v>72</v>
      </c>
      <c r="C773" s="2" t="s">
        <v>73</v>
      </c>
      <c r="E773" s="2" t="str">
        <f>"FES1162593761"</f>
        <v>FES1162593761</v>
      </c>
      <c r="F773" s="3">
        <v>43074</v>
      </c>
      <c r="G773" s="2">
        <v>201806</v>
      </c>
      <c r="H773" s="2" t="s">
        <v>74</v>
      </c>
      <c r="I773" s="2" t="s">
        <v>75</v>
      </c>
      <c r="J773" s="2" t="s">
        <v>97</v>
      </c>
      <c r="K773" s="2" t="s">
        <v>77</v>
      </c>
      <c r="L773" s="2" t="s">
        <v>272</v>
      </c>
      <c r="M773" s="2" t="s">
        <v>272</v>
      </c>
      <c r="N773" s="2" t="s">
        <v>387</v>
      </c>
      <c r="O773" s="2" t="s">
        <v>101</v>
      </c>
      <c r="P773" s="2" t="str">
        <f>"2170605856                    "</f>
        <v xml:space="preserve">2170605856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7.94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63.49</v>
      </c>
      <c r="BM773" s="2">
        <v>8.89</v>
      </c>
      <c r="BN773" s="2">
        <v>72.38</v>
      </c>
      <c r="BO773" s="2">
        <v>72.38</v>
      </c>
      <c r="BR773" s="2" t="s">
        <v>103</v>
      </c>
      <c r="BS773" s="3">
        <v>43075</v>
      </c>
      <c r="BT773" s="4">
        <v>0.4375</v>
      </c>
      <c r="BU773" s="2" t="s">
        <v>388</v>
      </c>
      <c r="BV773" s="2" t="s">
        <v>85</v>
      </c>
      <c r="BY773" s="2">
        <v>1200</v>
      </c>
      <c r="CA773" s="2" t="s">
        <v>389</v>
      </c>
      <c r="CC773" s="2" t="s">
        <v>272</v>
      </c>
      <c r="CD773" s="2">
        <v>1491</v>
      </c>
      <c r="CE773" s="2" t="s">
        <v>120</v>
      </c>
      <c r="CF773" s="3">
        <v>43077</v>
      </c>
      <c r="CI773" s="2">
        <v>1</v>
      </c>
      <c r="CJ773" s="2">
        <v>1</v>
      </c>
      <c r="CK773" s="2">
        <v>24</v>
      </c>
      <c r="CL773" s="2" t="s">
        <v>89</v>
      </c>
    </row>
    <row r="774" spans="1:90">
      <c r="A774" s="2" t="s">
        <v>71</v>
      </c>
      <c r="B774" s="2" t="s">
        <v>72</v>
      </c>
      <c r="C774" s="2" t="s">
        <v>73</v>
      </c>
      <c r="E774" s="2" t="str">
        <f>"FES1162593883"</f>
        <v>FES1162593883</v>
      </c>
      <c r="F774" s="3">
        <v>43074</v>
      </c>
      <c r="G774" s="2">
        <v>201806</v>
      </c>
      <c r="H774" s="2" t="s">
        <v>74</v>
      </c>
      <c r="I774" s="2" t="s">
        <v>75</v>
      </c>
      <c r="J774" s="2" t="s">
        <v>97</v>
      </c>
      <c r="K774" s="2" t="s">
        <v>77</v>
      </c>
      <c r="L774" s="2" t="s">
        <v>828</v>
      </c>
      <c r="M774" s="2" t="s">
        <v>829</v>
      </c>
      <c r="N774" s="2" t="s">
        <v>830</v>
      </c>
      <c r="O774" s="2" t="s">
        <v>101</v>
      </c>
      <c r="P774" s="2" t="str">
        <f>"2170605902                    "</f>
        <v xml:space="preserve">2170605902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5.65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45.15</v>
      </c>
      <c r="BM774" s="2">
        <v>6.32</v>
      </c>
      <c r="BN774" s="2">
        <v>51.47</v>
      </c>
      <c r="BO774" s="2">
        <v>51.47</v>
      </c>
      <c r="BQ774" s="2" t="s">
        <v>128</v>
      </c>
      <c r="BR774" s="2" t="s">
        <v>103</v>
      </c>
      <c r="BS774" s="3">
        <v>43075</v>
      </c>
      <c r="BT774" s="4">
        <v>0.34930555555555554</v>
      </c>
      <c r="BU774" s="2" t="s">
        <v>831</v>
      </c>
      <c r="BV774" s="2" t="s">
        <v>85</v>
      </c>
      <c r="BY774" s="2">
        <v>1200</v>
      </c>
      <c r="CA774" s="2" t="s">
        <v>832</v>
      </c>
      <c r="CC774" s="2" t="s">
        <v>829</v>
      </c>
      <c r="CD774" s="2">
        <v>9300</v>
      </c>
      <c r="CE774" s="2" t="s">
        <v>120</v>
      </c>
      <c r="CF774" s="3">
        <v>43077</v>
      </c>
      <c r="CI774" s="2">
        <v>1</v>
      </c>
      <c r="CJ774" s="2">
        <v>1</v>
      </c>
      <c r="CK774" s="2">
        <v>21</v>
      </c>
      <c r="CL774" s="2" t="s">
        <v>89</v>
      </c>
    </row>
    <row r="775" spans="1:90">
      <c r="A775" s="2" t="s">
        <v>71</v>
      </c>
      <c r="B775" s="2" t="s">
        <v>72</v>
      </c>
      <c r="C775" s="2" t="s">
        <v>73</v>
      </c>
      <c r="E775" s="2" t="str">
        <f>"FES1162593685"</f>
        <v>FES1162593685</v>
      </c>
      <c r="F775" s="3">
        <v>43074</v>
      </c>
      <c r="G775" s="2">
        <v>201806</v>
      </c>
      <c r="H775" s="2" t="s">
        <v>74</v>
      </c>
      <c r="I775" s="2" t="s">
        <v>75</v>
      </c>
      <c r="J775" s="2" t="s">
        <v>97</v>
      </c>
      <c r="K775" s="2" t="s">
        <v>77</v>
      </c>
      <c r="L775" s="2" t="s">
        <v>125</v>
      </c>
      <c r="M775" s="2" t="s">
        <v>126</v>
      </c>
      <c r="N775" s="2" t="s">
        <v>1285</v>
      </c>
      <c r="O775" s="2" t="s">
        <v>101</v>
      </c>
      <c r="P775" s="2" t="str">
        <f>"20170604773                   "</f>
        <v xml:space="preserve">20170604773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5.65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45.15</v>
      </c>
      <c r="BM775" s="2">
        <v>6.32</v>
      </c>
      <c r="BN775" s="2">
        <v>51.47</v>
      </c>
      <c r="BO775" s="2">
        <v>51.47</v>
      </c>
      <c r="BR775" s="2" t="s">
        <v>103</v>
      </c>
      <c r="BS775" s="3">
        <v>43075</v>
      </c>
      <c r="BT775" s="4">
        <v>0.4375</v>
      </c>
      <c r="BU775" s="2" t="s">
        <v>1286</v>
      </c>
      <c r="BV775" s="2" t="s">
        <v>85</v>
      </c>
      <c r="BY775" s="2">
        <v>1200</v>
      </c>
      <c r="CA775" s="2" t="s">
        <v>507</v>
      </c>
      <c r="CC775" s="2" t="s">
        <v>126</v>
      </c>
      <c r="CD775" s="2">
        <v>4000</v>
      </c>
      <c r="CE775" s="2" t="s">
        <v>120</v>
      </c>
      <c r="CF775" s="3">
        <v>43076</v>
      </c>
      <c r="CI775" s="2">
        <v>1</v>
      </c>
      <c r="CJ775" s="2">
        <v>1</v>
      </c>
      <c r="CK775" s="2">
        <v>21</v>
      </c>
      <c r="CL775" s="2" t="s">
        <v>89</v>
      </c>
    </row>
    <row r="776" spans="1:90">
      <c r="A776" s="2" t="s">
        <v>71</v>
      </c>
      <c r="B776" s="2" t="s">
        <v>72</v>
      </c>
      <c r="C776" s="2" t="s">
        <v>73</v>
      </c>
      <c r="E776" s="2" t="str">
        <f>"FES1162593764"</f>
        <v>FES1162593764</v>
      </c>
      <c r="F776" s="3">
        <v>43074</v>
      </c>
      <c r="G776" s="2">
        <v>201806</v>
      </c>
      <c r="H776" s="2" t="s">
        <v>74</v>
      </c>
      <c r="I776" s="2" t="s">
        <v>75</v>
      </c>
      <c r="J776" s="2" t="s">
        <v>97</v>
      </c>
      <c r="K776" s="2" t="s">
        <v>77</v>
      </c>
      <c r="L776" s="2" t="s">
        <v>106</v>
      </c>
      <c r="M776" s="2" t="s">
        <v>107</v>
      </c>
      <c r="N776" s="2" t="s">
        <v>1287</v>
      </c>
      <c r="O776" s="2" t="s">
        <v>101</v>
      </c>
      <c r="P776" s="2" t="str">
        <f>"2170601338                    "</f>
        <v xml:space="preserve">2170601338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4.41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1</v>
      </c>
      <c r="BJ776" s="2">
        <v>0.2</v>
      </c>
      <c r="BK776" s="2">
        <v>1</v>
      </c>
      <c r="BL776" s="2">
        <v>35.270000000000003</v>
      </c>
      <c r="BM776" s="2">
        <v>4.9400000000000004</v>
      </c>
      <c r="BN776" s="2">
        <v>40.21</v>
      </c>
      <c r="BO776" s="2">
        <v>40.21</v>
      </c>
      <c r="BQ776" s="2" t="s">
        <v>102</v>
      </c>
      <c r="BR776" s="2" t="s">
        <v>103</v>
      </c>
      <c r="BS776" s="3">
        <v>43075</v>
      </c>
      <c r="BT776" s="4">
        <v>0.37291666666666662</v>
      </c>
      <c r="BU776" s="2" t="s">
        <v>1288</v>
      </c>
      <c r="BV776" s="2" t="s">
        <v>85</v>
      </c>
      <c r="BY776" s="2">
        <v>1200</v>
      </c>
      <c r="CA776" s="2" t="s">
        <v>1289</v>
      </c>
      <c r="CC776" s="2" t="s">
        <v>107</v>
      </c>
      <c r="CD776" s="2">
        <v>2190</v>
      </c>
      <c r="CE776" s="2" t="s">
        <v>120</v>
      </c>
      <c r="CF776" s="3">
        <v>43077</v>
      </c>
      <c r="CI776" s="2">
        <v>1</v>
      </c>
      <c r="CJ776" s="2">
        <v>1</v>
      </c>
      <c r="CK776" s="2">
        <v>22</v>
      </c>
      <c r="CL776" s="2" t="s">
        <v>89</v>
      </c>
    </row>
    <row r="777" spans="1:90">
      <c r="A777" s="2" t="s">
        <v>71</v>
      </c>
      <c r="B777" s="2" t="s">
        <v>72</v>
      </c>
      <c r="C777" s="2" t="s">
        <v>73</v>
      </c>
      <c r="E777" s="2" t="str">
        <f>"FES1162593886"</f>
        <v>FES1162593886</v>
      </c>
      <c r="F777" s="3">
        <v>43074</v>
      </c>
      <c r="G777" s="2">
        <v>201806</v>
      </c>
      <c r="H777" s="2" t="s">
        <v>74</v>
      </c>
      <c r="I777" s="2" t="s">
        <v>75</v>
      </c>
      <c r="J777" s="2" t="s">
        <v>97</v>
      </c>
      <c r="K777" s="2" t="s">
        <v>77</v>
      </c>
      <c r="L777" s="2" t="s">
        <v>74</v>
      </c>
      <c r="M777" s="2" t="s">
        <v>75</v>
      </c>
      <c r="N777" s="2" t="s">
        <v>1125</v>
      </c>
      <c r="O777" s="2" t="s">
        <v>101</v>
      </c>
      <c r="P777" s="2" t="str">
        <f>"2170605905                    "</f>
        <v xml:space="preserve">2170605905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4.41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35.270000000000003</v>
      </c>
      <c r="BM777" s="2">
        <v>4.9400000000000004</v>
      </c>
      <c r="BN777" s="2">
        <v>40.21</v>
      </c>
      <c r="BO777" s="2">
        <v>40.21</v>
      </c>
      <c r="BQ777" s="2" t="s">
        <v>82</v>
      </c>
      <c r="BR777" s="2" t="s">
        <v>103</v>
      </c>
      <c r="BS777" s="3">
        <v>43075</v>
      </c>
      <c r="BT777" s="4">
        <v>0.33333333333333331</v>
      </c>
      <c r="BU777" s="2" t="s">
        <v>1126</v>
      </c>
      <c r="BV777" s="2" t="s">
        <v>85</v>
      </c>
      <c r="BY777" s="2">
        <v>1200</v>
      </c>
      <c r="CA777" s="2" t="s">
        <v>355</v>
      </c>
      <c r="CC777" s="2" t="s">
        <v>75</v>
      </c>
      <c r="CD777" s="2">
        <v>1624</v>
      </c>
      <c r="CE777" s="2" t="s">
        <v>120</v>
      </c>
      <c r="CF777" s="3">
        <v>43077</v>
      </c>
      <c r="CI777" s="2">
        <v>1</v>
      </c>
      <c r="CJ777" s="2">
        <v>1</v>
      </c>
      <c r="CK777" s="2">
        <v>22</v>
      </c>
      <c r="CL777" s="2" t="s">
        <v>89</v>
      </c>
    </row>
    <row r="778" spans="1:90">
      <c r="A778" s="2" t="s">
        <v>71</v>
      </c>
      <c r="B778" s="2" t="s">
        <v>72</v>
      </c>
      <c r="C778" s="2" t="s">
        <v>73</v>
      </c>
      <c r="E778" s="2" t="str">
        <f>"FES1162593985"</f>
        <v>FES1162593985</v>
      </c>
      <c r="F778" s="3">
        <v>43074</v>
      </c>
      <c r="G778" s="2">
        <v>201806</v>
      </c>
      <c r="H778" s="2" t="s">
        <v>74</v>
      </c>
      <c r="I778" s="2" t="s">
        <v>75</v>
      </c>
      <c r="J778" s="2" t="s">
        <v>97</v>
      </c>
      <c r="K778" s="2" t="s">
        <v>77</v>
      </c>
      <c r="L778" s="2" t="s">
        <v>136</v>
      </c>
      <c r="M778" s="2" t="s">
        <v>137</v>
      </c>
      <c r="N778" s="2" t="s">
        <v>138</v>
      </c>
      <c r="O778" s="2" t="s">
        <v>101</v>
      </c>
      <c r="P778" s="2" t="str">
        <f>"2170601966                    "</f>
        <v xml:space="preserve">2170601966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8.4700000000000006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0.9</v>
      </c>
      <c r="BJ778" s="2">
        <v>3</v>
      </c>
      <c r="BK778" s="2">
        <v>3</v>
      </c>
      <c r="BL778" s="2">
        <v>67.709999999999994</v>
      </c>
      <c r="BM778" s="2">
        <v>9.48</v>
      </c>
      <c r="BN778" s="2">
        <v>77.19</v>
      </c>
      <c r="BO778" s="2">
        <v>77.19</v>
      </c>
      <c r="BQ778" s="2" t="s">
        <v>82</v>
      </c>
      <c r="BR778" s="2" t="s">
        <v>103</v>
      </c>
      <c r="BS778" s="3">
        <v>43075</v>
      </c>
      <c r="BT778" s="4">
        <v>0.41666666666666669</v>
      </c>
      <c r="BU778" s="2" t="s">
        <v>139</v>
      </c>
      <c r="BV778" s="2" t="s">
        <v>85</v>
      </c>
      <c r="BY778" s="2">
        <v>14909.38</v>
      </c>
      <c r="CA778" s="2" t="s">
        <v>140</v>
      </c>
      <c r="CC778" s="2" t="s">
        <v>137</v>
      </c>
      <c r="CD778" s="2">
        <v>6001</v>
      </c>
      <c r="CE778" s="2" t="s">
        <v>95</v>
      </c>
      <c r="CF778" s="3">
        <v>43076</v>
      </c>
      <c r="CI778" s="2">
        <v>1</v>
      </c>
      <c r="CJ778" s="2">
        <v>1</v>
      </c>
      <c r="CK778" s="2">
        <v>21</v>
      </c>
      <c r="CL778" s="2" t="s">
        <v>89</v>
      </c>
    </row>
    <row r="779" spans="1:90">
      <c r="A779" s="2" t="s">
        <v>71</v>
      </c>
      <c r="B779" s="2" t="s">
        <v>72</v>
      </c>
      <c r="C779" s="2" t="s">
        <v>73</v>
      </c>
      <c r="E779" s="2" t="str">
        <f>"FES1162593931"</f>
        <v>FES1162593931</v>
      </c>
      <c r="F779" s="3">
        <v>43074</v>
      </c>
      <c r="G779" s="2">
        <v>201806</v>
      </c>
      <c r="H779" s="2" t="s">
        <v>74</v>
      </c>
      <c r="I779" s="2" t="s">
        <v>75</v>
      </c>
      <c r="J779" s="2" t="s">
        <v>97</v>
      </c>
      <c r="K779" s="2" t="s">
        <v>77</v>
      </c>
      <c r="L779" s="2" t="s">
        <v>173</v>
      </c>
      <c r="M779" s="2" t="s">
        <v>174</v>
      </c>
      <c r="N779" s="2" t="s">
        <v>800</v>
      </c>
      <c r="O779" s="2" t="s">
        <v>101</v>
      </c>
      <c r="P779" s="2" t="str">
        <f>"2170603079                    "</f>
        <v xml:space="preserve">2170603079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5.65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</v>
      </c>
      <c r="BJ779" s="2">
        <v>0.2</v>
      </c>
      <c r="BK779" s="2">
        <v>1</v>
      </c>
      <c r="BL779" s="2">
        <v>45.15</v>
      </c>
      <c r="BM779" s="2">
        <v>6.32</v>
      </c>
      <c r="BN779" s="2">
        <v>51.47</v>
      </c>
      <c r="BO779" s="2">
        <v>51.47</v>
      </c>
      <c r="BQ779" s="2" t="s">
        <v>128</v>
      </c>
      <c r="BR779" s="2" t="s">
        <v>103</v>
      </c>
      <c r="BS779" s="3">
        <v>43075</v>
      </c>
      <c r="BT779" s="4">
        <v>0.41319444444444442</v>
      </c>
      <c r="BU779" s="2" t="s">
        <v>801</v>
      </c>
      <c r="BV779" s="2" t="s">
        <v>85</v>
      </c>
      <c r="BY779" s="2">
        <v>1200</v>
      </c>
      <c r="CA779" s="2" t="s">
        <v>537</v>
      </c>
      <c r="CC779" s="2" t="s">
        <v>174</v>
      </c>
      <c r="CD779" s="2">
        <v>7500</v>
      </c>
      <c r="CE779" s="2" t="s">
        <v>120</v>
      </c>
      <c r="CF779" s="3">
        <v>43076</v>
      </c>
      <c r="CI779" s="2">
        <v>1</v>
      </c>
      <c r="CJ779" s="2">
        <v>1</v>
      </c>
      <c r="CK779" s="2">
        <v>21</v>
      </c>
      <c r="CL779" s="2" t="s">
        <v>89</v>
      </c>
    </row>
    <row r="780" spans="1:90">
      <c r="A780" s="2" t="s">
        <v>71</v>
      </c>
      <c r="B780" s="2" t="s">
        <v>72</v>
      </c>
      <c r="C780" s="2" t="s">
        <v>73</v>
      </c>
      <c r="E780" s="2" t="str">
        <f>"FES1162593765"</f>
        <v>FES1162593765</v>
      </c>
      <c r="F780" s="3">
        <v>43074</v>
      </c>
      <c r="G780" s="2">
        <v>201806</v>
      </c>
      <c r="H780" s="2" t="s">
        <v>74</v>
      </c>
      <c r="I780" s="2" t="s">
        <v>75</v>
      </c>
      <c r="J780" s="2" t="s">
        <v>97</v>
      </c>
      <c r="K780" s="2" t="s">
        <v>77</v>
      </c>
      <c r="L780" s="2" t="s">
        <v>74</v>
      </c>
      <c r="M780" s="2" t="s">
        <v>75</v>
      </c>
      <c r="N780" s="2" t="s">
        <v>1125</v>
      </c>
      <c r="O780" s="2" t="s">
        <v>101</v>
      </c>
      <c r="P780" s="2" t="str">
        <f>"2170605861                    "</f>
        <v xml:space="preserve">2170605861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4.41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1</v>
      </c>
      <c r="BJ780" s="2">
        <v>0.2</v>
      </c>
      <c r="BK780" s="2">
        <v>1</v>
      </c>
      <c r="BL780" s="2">
        <v>35.270000000000003</v>
      </c>
      <c r="BM780" s="2">
        <v>4.9400000000000004</v>
      </c>
      <c r="BN780" s="2">
        <v>40.21</v>
      </c>
      <c r="BO780" s="2">
        <v>40.21</v>
      </c>
      <c r="BQ780" s="2" t="s">
        <v>82</v>
      </c>
      <c r="BR780" s="2" t="s">
        <v>103</v>
      </c>
      <c r="BS780" s="3">
        <v>43075</v>
      </c>
      <c r="BT780" s="4">
        <v>0.33333333333333331</v>
      </c>
      <c r="BU780" s="2" t="s">
        <v>1126</v>
      </c>
      <c r="BV780" s="2" t="s">
        <v>85</v>
      </c>
      <c r="BY780" s="2">
        <v>1200</v>
      </c>
      <c r="CA780" s="2" t="s">
        <v>355</v>
      </c>
      <c r="CC780" s="2" t="s">
        <v>75</v>
      </c>
      <c r="CD780" s="2">
        <v>1624</v>
      </c>
      <c r="CE780" s="2" t="s">
        <v>120</v>
      </c>
      <c r="CF780" s="3">
        <v>43077</v>
      </c>
      <c r="CI780" s="2">
        <v>1</v>
      </c>
      <c r="CJ780" s="2">
        <v>1</v>
      </c>
      <c r="CK780" s="2">
        <v>22</v>
      </c>
      <c r="CL780" s="2" t="s">
        <v>89</v>
      </c>
    </row>
    <row r="781" spans="1:90">
      <c r="A781" s="2" t="s">
        <v>71</v>
      </c>
      <c r="B781" s="2" t="s">
        <v>72</v>
      </c>
      <c r="C781" s="2" t="s">
        <v>73</v>
      </c>
      <c r="E781" s="2" t="str">
        <f>"FES1162593768"</f>
        <v>FES1162593768</v>
      </c>
      <c r="F781" s="3">
        <v>43074</v>
      </c>
      <c r="G781" s="2">
        <v>201806</v>
      </c>
      <c r="H781" s="2" t="s">
        <v>74</v>
      </c>
      <c r="I781" s="2" t="s">
        <v>75</v>
      </c>
      <c r="J781" s="2" t="s">
        <v>97</v>
      </c>
      <c r="K781" s="2" t="s">
        <v>77</v>
      </c>
      <c r="L781" s="2" t="s">
        <v>152</v>
      </c>
      <c r="M781" s="2" t="s">
        <v>153</v>
      </c>
      <c r="N781" s="2" t="s">
        <v>1290</v>
      </c>
      <c r="O781" s="2" t="s">
        <v>101</v>
      </c>
      <c r="P781" s="2" t="str">
        <f>"2170602346                    "</f>
        <v xml:space="preserve">2170602346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4.41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</v>
      </c>
      <c r="BJ781" s="2">
        <v>0.2</v>
      </c>
      <c r="BK781" s="2">
        <v>1</v>
      </c>
      <c r="BL781" s="2">
        <v>35.270000000000003</v>
      </c>
      <c r="BM781" s="2">
        <v>4.9400000000000004</v>
      </c>
      <c r="BN781" s="2">
        <v>40.21</v>
      </c>
      <c r="BO781" s="2">
        <v>40.21</v>
      </c>
      <c r="BR781" s="2" t="s">
        <v>103</v>
      </c>
      <c r="BS781" s="3">
        <v>43075</v>
      </c>
      <c r="BT781" s="4">
        <v>0.4375</v>
      </c>
      <c r="BU781" s="2" t="s">
        <v>1291</v>
      </c>
      <c r="BV781" s="2" t="s">
        <v>85</v>
      </c>
      <c r="BY781" s="2">
        <v>1200</v>
      </c>
      <c r="CA781" s="2" t="s">
        <v>1292</v>
      </c>
      <c r="CC781" s="2" t="s">
        <v>153</v>
      </c>
      <c r="CD781" s="2">
        <v>1428</v>
      </c>
      <c r="CE781" s="2" t="s">
        <v>120</v>
      </c>
      <c r="CF781" s="3">
        <v>43077</v>
      </c>
      <c r="CI781" s="2">
        <v>1</v>
      </c>
      <c r="CJ781" s="2">
        <v>1</v>
      </c>
      <c r="CK781" s="2">
        <v>22</v>
      </c>
      <c r="CL781" s="2" t="s">
        <v>89</v>
      </c>
    </row>
    <row r="782" spans="1:90">
      <c r="A782" s="2" t="s">
        <v>71</v>
      </c>
      <c r="B782" s="2" t="s">
        <v>72</v>
      </c>
      <c r="C782" s="2" t="s">
        <v>73</v>
      </c>
      <c r="E782" s="2" t="str">
        <f>"FES1162593749"</f>
        <v>FES1162593749</v>
      </c>
      <c r="F782" s="3">
        <v>43074</v>
      </c>
      <c r="G782" s="2">
        <v>201806</v>
      </c>
      <c r="H782" s="2" t="s">
        <v>74</v>
      </c>
      <c r="I782" s="2" t="s">
        <v>75</v>
      </c>
      <c r="J782" s="2" t="s">
        <v>97</v>
      </c>
      <c r="K782" s="2" t="s">
        <v>77</v>
      </c>
      <c r="L782" s="2" t="s">
        <v>759</v>
      </c>
      <c r="M782" s="2" t="s">
        <v>760</v>
      </c>
      <c r="N782" s="2" t="s">
        <v>761</v>
      </c>
      <c r="O782" s="2" t="s">
        <v>101</v>
      </c>
      <c r="P782" s="2" t="str">
        <f>"2170605822                    "</f>
        <v xml:space="preserve">2170605822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7.06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2.5</v>
      </c>
      <c r="BJ782" s="2">
        <v>1.7</v>
      </c>
      <c r="BK782" s="2">
        <v>2.5</v>
      </c>
      <c r="BL782" s="2">
        <v>56.43</v>
      </c>
      <c r="BM782" s="2">
        <v>7.9</v>
      </c>
      <c r="BN782" s="2">
        <v>64.33</v>
      </c>
      <c r="BO782" s="2">
        <v>64.33</v>
      </c>
      <c r="BQ782" s="2" t="s">
        <v>82</v>
      </c>
      <c r="BR782" s="2" t="s">
        <v>103</v>
      </c>
      <c r="BS782" s="3">
        <v>43075</v>
      </c>
      <c r="BT782" s="4">
        <v>0.3520833333333333</v>
      </c>
      <c r="BU782" s="2" t="s">
        <v>1284</v>
      </c>
      <c r="BV782" s="2" t="s">
        <v>85</v>
      </c>
      <c r="BY782" s="2">
        <v>8568.34</v>
      </c>
      <c r="CA782" s="2" t="s">
        <v>578</v>
      </c>
      <c r="CC782" s="2" t="s">
        <v>760</v>
      </c>
      <c r="CD782" s="2">
        <v>4026</v>
      </c>
      <c r="CE782" s="2" t="s">
        <v>95</v>
      </c>
      <c r="CF782" s="3">
        <v>43076</v>
      </c>
      <c r="CI782" s="2">
        <v>1</v>
      </c>
      <c r="CJ782" s="2">
        <v>1</v>
      </c>
      <c r="CK782" s="2">
        <v>21</v>
      </c>
      <c r="CL782" s="2" t="s">
        <v>89</v>
      </c>
    </row>
    <row r="783" spans="1:90">
      <c r="A783" s="2" t="s">
        <v>71</v>
      </c>
      <c r="B783" s="2" t="s">
        <v>72</v>
      </c>
      <c r="C783" s="2" t="s">
        <v>73</v>
      </c>
      <c r="E783" s="2" t="str">
        <f>"FES1162593783"</f>
        <v>FES1162593783</v>
      </c>
      <c r="F783" s="3">
        <v>43074</v>
      </c>
      <c r="G783" s="2">
        <v>201806</v>
      </c>
      <c r="H783" s="2" t="s">
        <v>74</v>
      </c>
      <c r="I783" s="2" t="s">
        <v>75</v>
      </c>
      <c r="J783" s="2" t="s">
        <v>97</v>
      </c>
      <c r="K783" s="2" t="s">
        <v>77</v>
      </c>
      <c r="L783" s="2" t="s">
        <v>173</v>
      </c>
      <c r="M783" s="2" t="s">
        <v>174</v>
      </c>
      <c r="N783" s="2" t="s">
        <v>1293</v>
      </c>
      <c r="O783" s="2" t="s">
        <v>101</v>
      </c>
      <c r="P783" s="2" t="str">
        <f>"2170604199                    "</f>
        <v xml:space="preserve">2170604199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5.65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</v>
      </c>
      <c r="BJ783" s="2">
        <v>0.2</v>
      </c>
      <c r="BK783" s="2">
        <v>1</v>
      </c>
      <c r="BL783" s="2">
        <v>45.15</v>
      </c>
      <c r="BM783" s="2">
        <v>6.32</v>
      </c>
      <c r="BN783" s="2">
        <v>51.47</v>
      </c>
      <c r="BO783" s="2">
        <v>51.47</v>
      </c>
      <c r="BR783" s="2" t="s">
        <v>103</v>
      </c>
      <c r="BS783" s="3">
        <v>43075</v>
      </c>
      <c r="BT783" s="4">
        <v>0.59236111111111112</v>
      </c>
      <c r="BU783" s="2" t="s">
        <v>1294</v>
      </c>
      <c r="BV783" s="2" t="s">
        <v>89</v>
      </c>
      <c r="BW783" s="2" t="s">
        <v>156</v>
      </c>
      <c r="BX783" s="2" t="s">
        <v>411</v>
      </c>
      <c r="BY783" s="2">
        <v>1200</v>
      </c>
      <c r="CA783" s="2" t="s">
        <v>412</v>
      </c>
      <c r="CC783" s="2" t="s">
        <v>174</v>
      </c>
      <c r="CD783" s="2">
        <v>7800</v>
      </c>
      <c r="CE783" s="2" t="s">
        <v>120</v>
      </c>
      <c r="CF783" s="3">
        <v>43075</v>
      </c>
      <c r="CI783" s="2">
        <v>1</v>
      </c>
      <c r="CJ783" s="2">
        <v>1</v>
      </c>
      <c r="CK783" s="2">
        <v>21</v>
      </c>
      <c r="CL783" s="2" t="s">
        <v>89</v>
      </c>
    </row>
    <row r="784" spans="1:90">
      <c r="A784" s="2" t="s">
        <v>71</v>
      </c>
      <c r="B784" s="2" t="s">
        <v>72</v>
      </c>
      <c r="C784" s="2" t="s">
        <v>73</v>
      </c>
      <c r="E784" s="2" t="str">
        <f>"FES1162593897"</f>
        <v>FES1162593897</v>
      </c>
      <c r="F784" s="3">
        <v>43074</v>
      </c>
      <c r="G784" s="2">
        <v>201806</v>
      </c>
      <c r="H784" s="2" t="s">
        <v>74</v>
      </c>
      <c r="I784" s="2" t="s">
        <v>75</v>
      </c>
      <c r="J784" s="2" t="s">
        <v>97</v>
      </c>
      <c r="K784" s="2" t="s">
        <v>77</v>
      </c>
      <c r="L784" s="2" t="s">
        <v>106</v>
      </c>
      <c r="M784" s="2" t="s">
        <v>107</v>
      </c>
      <c r="N784" s="2" t="s">
        <v>108</v>
      </c>
      <c r="O784" s="2" t="s">
        <v>101</v>
      </c>
      <c r="P784" s="2" t="str">
        <f>"2170605929                    "</f>
        <v xml:space="preserve">2170605929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4.41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1</v>
      </c>
      <c r="BJ784" s="2">
        <v>0.2</v>
      </c>
      <c r="BK784" s="2">
        <v>1</v>
      </c>
      <c r="BL784" s="2">
        <v>35.270000000000003</v>
      </c>
      <c r="BM784" s="2">
        <v>4.9400000000000004</v>
      </c>
      <c r="BN784" s="2">
        <v>40.21</v>
      </c>
      <c r="BO784" s="2">
        <v>40.21</v>
      </c>
      <c r="BQ784" s="2" t="s">
        <v>82</v>
      </c>
      <c r="BR784" s="2" t="s">
        <v>103</v>
      </c>
      <c r="BS784" s="3">
        <v>43075</v>
      </c>
      <c r="BT784" s="4">
        <v>0.40833333333333338</v>
      </c>
      <c r="BU784" s="2" t="s">
        <v>1227</v>
      </c>
      <c r="BV784" s="2" t="s">
        <v>85</v>
      </c>
      <c r="BY784" s="2">
        <v>1200</v>
      </c>
      <c r="CA784" s="2" t="s">
        <v>110</v>
      </c>
      <c r="CC784" s="2" t="s">
        <v>107</v>
      </c>
      <c r="CD784" s="2">
        <v>2094</v>
      </c>
      <c r="CE784" s="2" t="s">
        <v>120</v>
      </c>
      <c r="CF784" s="3">
        <v>43077</v>
      </c>
      <c r="CI784" s="2">
        <v>1</v>
      </c>
      <c r="CJ784" s="2">
        <v>1</v>
      </c>
      <c r="CK784" s="2">
        <v>22</v>
      </c>
      <c r="CL784" s="2" t="s">
        <v>89</v>
      </c>
    </row>
    <row r="785" spans="1:90">
      <c r="A785" s="2" t="s">
        <v>71</v>
      </c>
      <c r="B785" s="2" t="s">
        <v>72</v>
      </c>
      <c r="C785" s="2" t="s">
        <v>73</v>
      </c>
      <c r="E785" s="2" t="str">
        <f>"FES1162593723"</f>
        <v>FES1162593723</v>
      </c>
      <c r="F785" s="3">
        <v>43074</v>
      </c>
      <c r="G785" s="2">
        <v>201806</v>
      </c>
      <c r="H785" s="2" t="s">
        <v>74</v>
      </c>
      <c r="I785" s="2" t="s">
        <v>75</v>
      </c>
      <c r="J785" s="2" t="s">
        <v>97</v>
      </c>
      <c r="K785" s="2" t="s">
        <v>77</v>
      </c>
      <c r="L785" s="2" t="s">
        <v>98</v>
      </c>
      <c r="M785" s="2" t="s">
        <v>99</v>
      </c>
      <c r="N785" s="2" t="s">
        <v>795</v>
      </c>
      <c r="O785" s="2" t="s">
        <v>101</v>
      </c>
      <c r="P785" s="2" t="str">
        <f>"2170605796                    "</f>
        <v xml:space="preserve">2170605796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5.65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1</v>
      </c>
      <c r="BJ785" s="2">
        <v>0.2</v>
      </c>
      <c r="BK785" s="2">
        <v>1</v>
      </c>
      <c r="BL785" s="2">
        <v>45.15</v>
      </c>
      <c r="BM785" s="2">
        <v>6.32</v>
      </c>
      <c r="BN785" s="2">
        <v>51.47</v>
      </c>
      <c r="BO785" s="2">
        <v>51.47</v>
      </c>
      <c r="BQ785" s="2" t="s">
        <v>102</v>
      </c>
      <c r="BR785" s="2" t="s">
        <v>103</v>
      </c>
      <c r="BS785" s="3">
        <v>43075</v>
      </c>
      <c r="BT785" s="4">
        <v>0.39583333333333331</v>
      </c>
      <c r="BU785" s="2" t="s">
        <v>1295</v>
      </c>
      <c r="BV785" s="2" t="s">
        <v>85</v>
      </c>
      <c r="BY785" s="2">
        <v>1200</v>
      </c>
      <c r="CA785" s="2" t="s">
        <v>105</v>
      </c>
      <c r="CC785" s="2" t="s">
        <v>99</v>
      </c>
      <c r="CD785" s="2">
        <v>3201</v>
      </c>
      <c r="CE785" s="2" t="s">
        <v>120</v>
      </c>
      <c r="CF785" s="3">
        <v>43076</v>
      </c>
      <c r="CI785" s="2">
        <v>1</v>
      </c>
      <c r="CJ785" s="2">
        <v>1</v>
      </c>
      <c r="CK785" s="2">
        <v>21</v>
      </c>
      <c r="CL785" s="2" t="s">
        <v>89</v>
      </c>
    </row>
    <row r="786" spans="1:90">
      <c r="A786" s="2" t="s">
        <v>71</v>
      </c>
      <c r="B786" s="2" t="s">
        <v>72</v>
      </c>
      <c r="C786" s="2" t="s">
        <v>73</v>
      </c>
      <c r="E786" s="2" t="str">
        <f>"FES1162593775"</f>
        <v>FES1162593775</v>
      </c>
      <c r="F786" s="3">
        <v>43074</v>
      </c>
      <c r="G786" s="2">
        <v>201806</v>
      </c>
      <c r="H786" s="2" t="s">
        <v>74</v>
      </c>
      <c r="I786" s="2" t="s">
        <v>75</v>
      </c>
      <c r="J786" s="2" t="s">
        <v>97</v>
      </c>
      <c r="K786" s="2" t="s">
        <v>77</v>
      </c>
      <c r="L786" s="2" t="s">
        <v>106</v>
      </c>
      <c r="M786" s="2" t="s">
        <v>107</v>
      </c>
      <c r="N786" s="2" t="s">
        <v>1296</v>
      </c>
      <c r="O786" s="2" t="s">
        <v>101</v>
      </c>
      <c r="P786" s="2" t="str">
        <f>"2170602057                    "</f>
        <v xml:space="preserve">2170602057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4.41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1</v>
      </c>
      <c r="BJ786" s="2">
        <v>0.2</v>
      </c>
      <c r="BK786" s="2">
        <v>1</v>
      </c>
      <c r="BL786" s="2">
        <v>35.270000000000003</v>
      </c>
      <c r="BM786" s="2">
        <v>4.9400000000000004</v>
      </c>
      <c r="BN786" s="2">
        <v>40.21</v>
      </c>
      <c r="BO786" s="2">
        <v>40.21</v>
      </c>
      <c r="BQ786" s="2" t="s">
        <v>128</v>
      </c>
      <c r="BR786" s="2" t="s">
        <v>103</v>
      </c>
      <c r="BS786" s="3">
        <v>43075</v>
      </c>
      <c r="BT786" s="4">
        <v>0.34583333333333338</v>
      </c>
      <c r="BU786" s="2" t="s">
        <v>1297</v>
      </c>
      <c r="BV786" s="2" t="s">
        <v>85</v>
      </c>
      <c r="BY786" s="2">
        <v>1200</v>
      </c>
      <c r="CA786" s="2" t="s">
        <v>1298</v>
      </c>
      <c r="CC786" s="2" t="s">
        <v>107</v>
      </c>
      <c r="CD786" s="2">
        <v>2169</v>
      </c>
      <c r="CE786" s="2" t="s">
        <v>120</v>
      </c>
      <c r="CF786" s="3">
        <v>43077</v>
      </c>
      <c r="CI786" s="2">
        <v>1</v>
      </c>
      <c r="CJ786" s="2">
        <v>1</v>
      </c>
      <c r="CK786" s="2">
        <v>22</v>
      </c>
      <c r="CL786" s="2" t="s">
        <v>89</v>
      </c>
    </row>
    <row r="787" spans="1:90">
      <c r="A787" s="2" t="s">
        <v>71</v>
      </c>
      <c r="B787" s="2" t="s">
        <v>72</v>
      </c>
      <c r="C787" s="2" t="s">
        <v>73</v>
      </c>
      <c r="E787" s="2" t="str">
        <f>"FES1162593917"</f>
        <v>FES1162593917</v>
      </c>
      <c r="F787" s="3">
        <v>43074</v>
      </c>
      <c r="G787" s="2">
        <v>201806</v>
      </c>
      <c r="H787" s="2" t="s">
        <v>74</v>
      </c>
      <c r="I787" s="2" t="s">
        <v>75</v>
      </c>
      <c r="J787" s="2" t="s">
        <v>97</v>
      </c>
      <c r="K787" s="2" t="s">
        <v>77</v>
      </c>
      <c r="L787" s="2" t="s">
        <v>462</v>
      </c>
      <c r="M787" s="2" t="s">
        <v>463</v>
      </c>
      <c r="N787" s="2" t="s">
        <v>1299</v>
      </c>
      <c r="O787" s="2" t="s">
        <v>101</v>
      </c>
      <c r="P787" s="2" t="str">
        <f>"2170604393                    "</f>
        <v xml:space="preserve">2170604393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5.65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1</v>
      </c>
      <c r="BJ787" s="2">
        <v>0.2</v>
      </c>
      <c r="BK787" s="2">
        <v>1</v>
      </c>
      <c r="BL787" s="2">
        <v>45.15</v>
      </c>
      <c r="BM787" s="2">
        <v>6.32</v>
      </c>
      <c r="BN787" s="2">
        <v>51.47</v>
      </c>
      <c r="BO787" s="2">
        <v>51.47</v>
      </c>
      <c r="BQ787" s="2" t="s">
        <v>82</v>
      </c>
      <c r="BR787" s="2" t="s">
        <v>103</v>
      </c>
      <c r="BS787" s="3">
        <v>43075</v>
      </c>
      <c r="BT787" s="4">
        <v>0.41666666666666669</v>
      </c>
      <c r="BU787" s="2" t="s">
        <v>1300</v>
      </c>
      <c r="BV787" s="2" t="s">
        <v>85</v>
      </c>
      <c r="BY787" s="2">
        <v>1200</v>
      </c>
      <c r="CA787" s="2" t="s">
        <v>542</v>
      </c>
      <c r="CC787" s="2" t="s">
        <v>463</v>
      </c>
      <c r="CD787" s="2">
        <v>7130</v>
      </c>
      <c r="CE787" s="2" t="s">
        <v>120</v>
      </c>
      <c r="CF787" s="3">
        <v>43076</v>
      </c>
      <c r="CI787" s="2">
        <v>1</v>
      </c>
      <c r="CJ787" s="2">
        <v>1</v>
      </c>
      <c r="CK787" s="2">
        <v>21</v>
      </c>
      <c r="CL787" s="2" t="s">
        <v>89</v>
      </c>
    </row>
    <row r="788" spans="1:90">
      <c r="A788" s="2" t="s">
        <v>71</v>
      </c>
      <c r="B788" s="2" t="s">
        <v>72</v>
      </c>
      <c r="C788" s="2" t="s">
        <v>73</v>
      </c>
      <c r="E788" s="2" t="str">
        <f>"FES1162593607"</f>
        <v>FES1162593607</v>
      </c>
      <c r="F788" s="3">
        <v>43074</v>
      </c>
      <c r="G788" s="2">
        <v>201806</v>
      </c>
      <c r="H788" s="2" t="s">
        <v>74</v>
      </c>
      <c r="I788" s="2" t="s">
        <v>75</v>
      </c>
      <c r="J788" s="2" t="s">
        <v>97</v>
      </c>
      <c r="K788" s="2" t="s">
        <v>77</v>
      </c>
      <c r="L788" s="2" t="s">
        <v>168</v>
      </c>
      <c r="M788" s="2" t="s">
        <v>169</v>
      </c>
      <c r="N788" s="2" t="s">
        <v>351</v>
      </c>
      <c r="O788" s="2" t="s">
        <v>101</v>
      </c>
      <c r="P788" s="2" t="str">
        <f>"2170605721                    "</f>
        <v xml:space="preserve">2170605721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5.65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45.15</v>
      </c>
      <c r="BM788" s="2">
        <v>6.32</v>
      </c>
      <c r="BN788" s="2">
        <v>51.47</v>
      </c>
      <c r="BO788" s="2">
        <v>51.47</v>
      </c>
      <c r="BQ788" s="2" t="s">
        <v>102</v>
      </c>
      <c r="BR788" s="2" t="s">
        <v>103</v>
      </c>
      <c r="BS788" s="3">
        <v>43075</v>
      </c>
      <c r="BT788" s="4">
        <v>0.3659722222222222</v>
      </c>
      <c r="BU788" s="2" t="s">
        <v>868</v>
      </c>
      <c r="BV788" s="2" t="s">
        <v>85</v>
      </c>
      <c r="BY788" s="2">
        <v>1200</v>
      </c>
      <c r="CA788" s="2" t="s">
        <v>220</v>
      </c>
      <c r="CC788" s="2" t="s">
        <v>169</v>
      </c>
      <c r="CD788" s="2">
        <v>3610</v>
      </c>
      <c r="CE788" s="2" t="s">
        <v>120</v>
      </c>
      <c r="CF788" s="3">
        <v>43076</v>
      </c>
      <c r="CI788" s="2">
        <v>1</v>
      </c>
      <c r="CJ788" s="2">
        <v>1</v>
      </c>
      <c r="CK788" s="2">
        <v>21</v>
      </c>
      <c r="CL788" s="2" t="s">
        <v>89</v>
      </c>
    </row>
    <row r="789" spans="1:90">
      <c r="A789" s="2" t="s">
        <v>71</v>
      </c>
      <c r="B789" s="2" t="s">
        <v>72</v>
      </c>
      <c r="C789" s="2" t="s">
        <v>73</v>
      </c>
      <c r="E789" s="2" t="str">
        <f>"FES1162593922"</f>
        <v>FES1162593922</v>
      </c>
      <c r="F789" s="3">
        <v>43074</v>
      </c>
      <c r="G789" s="2">
        <v>201806</v>
      </c>
      <c r="H789" s="2" t="s">
        <v>74</v>
      </c>
      <c r="I789" s="2" t="s">
        <v>75</v>
      </c>
      <c r="J789" s="2" t="s">
        <v>97</v>
      </c>
      <c r="K789" s="2" t="s">
        <v>77</v>
      </c>
      <c r="L789" s="2" t="s">
        <v>168</v>
      </c>
      <c r="M789" s="2" t="s">
        <v>169</v>
      </c>
      <c r="N789" s="2" t="s">
        <v>1142</v>
      </c>
      <c r="O789" s="2" t="s">
        <v>101</v>
      </c>
      <c r="P789" s="2" t="str">
        <f>"2170605967                    "</f>
        <v xml:space="preserve">2170605967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5.65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1</v>
      </c>
      <c r="BJ789" s="2">
        <v>0.2</v>
      </c>
      <c r="BK789" s="2">
        <v>1</v>
      </c>
      <c r="BL789" s="2">
        <v>45.15</v>
      </c>
      <c r="BM789" s="2">
        <v>6.32</v>
      </c>
      <c r="BN789" s="2">
        <v>51.47</v>
      </c>
      <c r="BO789" s="2">
        <v>51.47</v>
      </c>
      <c r="BQ789" s="2" t="s">
        <v>102</v>
      </c>
      <c r="BR789" s="2" t="s">
        <v>103</v>
      </c>
      <c r="BS789" s="3">
        <v>43075</v>
      </c>
      <c r="BT789" s="4">
        <v>0.37847222222222227</v>
      </c>
      <c r="BU789" s="2" t="s">
        <v>1143</v>
      </c>
      <c r="BV789" s="2" t="s">
        <v>85</v>
      </c>
      <c r="BY789" s="2">
        <v>1200</v>
      </c>
      <c r="CA789" s="2" t="s">
        <v>172</v>
      </c>
      <c r="CC789" s="2" t="s">
        <v>169</v>
      </c>
      <c r="CD789" s="2">
        <v>3610</v>
      </c>
      <c r="CE789" s="2" t="s">
        <v>120</v>
      </c>
      <c r="CF789" s="3">
        <v>43076</v>
      </c>
      <c r="CI789" s="2">
        <v>1</v>
      </c>
      <c r="CJ789" s="2">
        <v>1</v>
      </c>
      <c r="CK789" s="2">
        <v>21</v>
      </c>
      <c r="CL789" s="2" t="s">
        <v>89</v>
      </c>
    </row>
    <row r="790" spans="1:90">
      <c r="A790" s="2" t="s">
        <v>71</v>
      </c>
      <c r="B790" s="2" t="s">
        <v>72</v>
      </c>
      <c r="C790" s="2" t="s">
        <v>73</v>
      </c>
      <c r="E790" s="2" t="str">
        <f>"FES1162594090"</f>
        <v>FES1162594090</v>
      </c>
      <c r="F790" s="3">
        <v>43074</v>
      </c>
      <c r="G790" s="2">
        <v>201806</v>
      </c>
      <c r="H790" s="2" t="s">
        <v>74</v>
      </c>
      <c r="I790" s="2" t="s">
        <v>75</v>
      </c>
      <c r="J790" s="2" t="s">
        <v>97</v>
      </c>
      <c r="K790" s="2" t="s">
        <v>77</v>
      </c>
      <c r="L790" s="2" t="s">
        <v>173</v>
      </c>
      <c r="M790" s="2" t="s">
        <v>174</v>
      </c>
      <c r="N790" s="2" t="s">
        <v>1301</v>
      </c>
      <c r="O790" s="2" t="s">
        <v>101</v>
      </c>
      <c r="P790" s="2" t="str">
        <f>"217060112                     "</f>
        <v xml:space="preserve">217060112 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14.12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4.8</v>
      </c>
      <c r="BJ790" s="2">
        <v>2</v>
      </c>
      <c r="BK790" s="2">
        <v>5</v>
      </c>
      <c r="BL790" s="2">
        <v>112.84</v>
      </c>
      <c r="BM790" s="2">
        <v>15.8</v>
      </c>
      <c r="BN790" s="2">
        <v>128.63999999999999</v>
      </c>
      <c r="BO790" s="2">
        <v>128.63999999999999</v>
      </c>
      <c r="BQ790" s="2" t="s">
        <v>82</v>
      </c>
      <c r="BR790" s="2" t="s">
        <v>103</v>
      </c>
      <c r="BS790" s="3">
        <v>43075</v>
      </c>
      <c r="BT790" s="4">
        <v>0.3979166666666667</v>
      </c>
      <c r="BU790" s="2" t="s">
        <v>1302</v>
      </c>
      <c r="BV790" s="2" t="s">
        <v>85</v>
      </c>
      <c r="BY790" s="2">
        <v>9889.5400000000009</v>
      </c>
      <c r="CA790" s="2" t="s">
        <v>378</v>
      </c>
      <c r="CC790" s="2" t="s">
        <v>174</v>
      </c>
      <c r="CD790" s="2">
        <v>7493</v>
      </c>
      <c r="CE790" s="2" t="s">
        <v>87</v>
      </c>
      <c r="CF790" s="3">
        <v>43076</v>
      </c>
      <c r="CI790" s="2">
        <v>1</v>
      </c>
      <c r="CJ790" s="2">
        <v>1</v>
      </c>
      <c r="CK790" s="2">
        <v>21</v>
      </c>
      <c r="CL790" s="2" t="s">
        <v>89</v>
      </c>
    </row>
    <row r="791" spans="1:90">
      <c r="A791" s="2" t="s">
        <v>71</v>
      </c>
      <c r="B791" s="2" t="s">
        <v>72</v>
      </c>
      <c r="C791" s="2" t="s">
        <v>73</v>
      </c>
      <c r="E791" s="2" t="str">
        <f>"FES1162593704"</f>
        <v>FES1162593704</v>
      </c>
      <c r="F791" s="3">
        <v>43074</v>
      </c>
      <c r="G791" s="2">
        <v>201806</v>
      </c>
      <c r="H791" s="2" t="s">
        <v>74</v>
      </c>
      <c r="I791" s="2" t="s">
        <v>75</v>
      </c>
      <c r="J791" s="2" t="s">
        <v>97</v>
      </c>
      <c r="K791" s="2" t="s">
        <v>77</v>
      </c>
      <c r="L791" s="2" t="s">
        <v>158</v>
      </c>
      <c r="M791" s="2" t="s">
        <v>159</v>
      </c>
      <c r="N791" s="2" t="s">
        <v>186</v>
      </c>
      <c r="O791" s="2" t="s">
        <v>101</v>
      </c>
      <c r="P791" s="2" t="str">
        <f>"2170605583                    "</f>
        <v xml:space="preserve">2170605583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5.65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</v>
      </c>
      <c r="BJ791" s="2">
        <v>0.2</v>
      </c>
      <c r="BK791" s="2">
        <v>1</v>
      </c>
      <c r="BL791" s="2">
        <v>45.15</v>
      </c>
      <c r="BM791" s="2">
        <v>6.32</v>
      </c>
      <c r="BN791" s="2">
        <v>51.47</v>
      </c>
      <c r="BO791" s="2">
        <v>51.47</v>
      </c>
      <c r="BQ791" s="2" t="s">
        <v>187</v>
      </c>
      <c r="BR791" s="2" t="s">
        <v>103</v>
      </c>
      <c r="BS791" s="3">
        <v>43075</v>
      </c>
      <c r="BT791" s="4">
        <v>0.66666666666666663</v>
      </c>
      <c r="BU791" s="2" t="s">
        <v>1303</v>
      </c>
      <c r="BV791" s="2" t="s">
        <v>89</v>
      </c>
      <c r="BW791" s="2" t="s">
        <v>156</v>
      </c>
      <c r="BX791" s="2" t="s">
        <v>565</v>
      </c>
      <c r="BY791" s="2">
        <v>1200</v>
      </c>
      <c r="CC791" s="2" t="s">
        <v>159</v>
      </c>
      <c r="CD791" s="2">
        <v>159</v>
      </c>
      <c r="CE791" s="2" t="s">
        <v>120</v>
      </c>
      <c r="CF791" s="3">
        <v>43077</v>
      </c>
      <c r="CI791" s="2">
        <v>1</v>
      </c>
      <c r="CJ791" s="2">
        <v>1</v>
      </c>
      <c r="CK791" s="2">
        <v>21</v>
      </c>
      <c r="CL791" s="2" t="s">
        <v>89</v>
      </c>
    </row>
    <row r="792" spans="1:90">
      <c r="A792" s="2" t="s">
        <v>71</v>
      </c>
      <c r="B792" s="2" t="s">
        <v>72</v>
      </c>
      <c r="C792" s="2" t="s">
        <v>73</v>
      </c>
      <c r="E792" s="2" t="str">
        <f>"FES1162593668"</f>
        <v>FES1162593668</v>
      </c>
      <c r="F792" s="3">
        <v>43074</v>
      </c>
      <c r="G792" s="2">
        <v>201806</v>
      </c>
      <c r="H792" s="2" t="s">
        <v>74</v>
      </c>
      <c r="I792" s="2" t="s">
        <v>75</v>
      </c>
      <c r="J792" s="2" t="s">
        <v>97</v>
      </c>
      <c r="K792" s="2" t="s">
        <v>77</v>
      </c>
      <c r="L792" s="2" t="s">
        <v>74</v>
      </c>
      <c r="M792" s="2" t="s">
        <v>75</v>
      </c>
      <c r="N792" s="2" t="s">
        <v>201</v>
      </c>
      <c r="O792" s="2" t="s">
        <v>101</v>
      </c>
      <c r="P792" s="2" t="str">
        <f>"2170604352                    "</f>
        <v xml:space="preserve">2170604352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4.41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</v>
      </c>
      <c r="BJ792" s="2">
        <v>0.2</v>
      </c>
      <c r="BK792" s="2">
        <v>1</v>
      </c>
      <c r="BL792" s="2">
        <v>35.270000000000003</v>
      </c>
      <c r="BM792" s="2">
        <v>4.9400000000000004</v>
      </c>
      <c r="BN792" s="2">
        <v>40.21</v>
      </c>
      <c r="BO792" s="2">
        <v>40.21</v>
      </c>
      <c r="BQ792" s="2" t="s">
        <v>102</v>
      </c>
      <c r="BR792" s="2" t="s">
        <v>103</v>
      </c>
      <c r="BS792" s="3">
        <v>43075</v>
      </c>
      <c r="BT792" s="4">
        <v>0.41666666666666669</v>
      </c>
      <c r="BU792" s="2" t="s">
        <v>202</v>
      </c>
      <c r="BV792" s="2" t="s">
        <v>85</v>
      </c>
      <c r="BY792" s="2">
        <v>1200</v>
      </c>
      <c r="CA792" s="2" t="s">
        <v>203</v>
      </c>
      <c r="CC792" s="2" t="s">
        <v>75</v>
      </c>
      <c r="CD792" s="2">
        <v>1665</v>
      </c>
      <c r="CE792" s="2" t="s">
        <v>120</v>
      </c>
      <c r="CF792" s="3">
        <v>43077</v>
      </c>
      <c r="CI792" s="2">
        <v>1</v>
      </c>
      <c r="CJ792" s="2">
        <v>1</v>
      </c>
      <c r="CK792" s="2">
        <v>22</v>
      </c>
      <c r="CL792" s="2" t="s">
        <v>89</v>
      </c>
    </row>
    <row r="793" spans="1:90">
      <c r="A793" s="2" t="s">
        <v>71</v>
      </c>
      <c r="B793" s="2" t="s">
        <v>72</v>
      </c>
      <c r="C793" s="2" t="s">
        <v>73</v>
      </c>
      <c r="E793" s="2" t="str">
        <f>"FES1162593845"</f>
        <v>FES1162593845</v>
      </c>
      <c r="F793" s="3">
        <v>43074</v>
      </c>
      <c r="G793" s="2">
        <v>201806</v>
      </c>
      <c r="H793" s="2" t="s">
        <v>74</v>
      </c>
      <c r="I793" s="2" t="s">
        <v>75</v>
      </c>
      <c r="J793" s="2" t="s">
        <v>97</v>
      </c>
      <c r="K793" s="2" t="s">
        <v>77</v>
      </c>
      <c r="L793" s="2" t="s">
        <v>125</v>
      </c>
      <c r="M793" s="2" t="s">
        <v>126</v>
      </c>
      <c r="N793" s="2" t="s">
        <v>856</v>
      </c>
      <c r="O793" s="2" t="s">
        <v>101</v>
      </c>
      <c r="P793" s="2" t="str">
        <f>"2170602987                    "</f>
        <v xml:space="preserve">2170602987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5.65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</v>
      </c>
      <c r="BJ793" s="2">
        <v>0.2</v>
      </c>
      <c r="BK793" s="2">
        <v>1</v>
      </c>
      <c r="BL793" s="2">
        <v>45.15</v>
      </c>
      <c r="BM793" s="2">
        <v>6.32</v>
      </c>
      <c r="BN793" s="2">
        <v>51.47</v>
      </c>
      <c r="BO793" s="2">
        <v>51.47</v>
      </c>
      <c r="BQ793" s="2" t="s">
        <v>82</v>
      </c>
      <c r="BR793" s="2" t="s">
        <v>103</v>
      </c>
      <c r="BS793" s="3">
        <v>43075</v>
      </c>
      <c r="BT793" s="4">
        <v>0.3611111111111111</v>
      </c>
      <c r="BU793" s="2" t="s">
        <v>857</v>
      </c>
      <c r="BV793" s="2" t="s">
        <v>85</v>
      </c>
      <c r="BY793" s="2">
        <v>1200</v>
      </c>
      <c r="CA793" s="2" t="s">
        <v>135</v>
      </c>
      <c r="CC793" s="2" t="s">
        <v>126</v>
      </c>
      <c r="CD793" s="2">
        <v>4068</v>
      </c>
      <c r="CE793" s="2" t="s">
        <v>120</v>
      </c>
      <c r="CF793" s="3">
        <v>43076</v>
      </c>
      <c r="CI793" s="2">
        <v>1</v>
      </c>
      <c r="CJ793" s="2">
        <v>1</v>
      </c>
      <c r="CK793" s="2">
        <v>21</v>
      </c>
      <c r="CL793" s="2" t="s">
        <v>89</v>
      </c>
    </row>
    <row r="794" spans="1:90">
      <c r="A794" s="2" t="s">
        <v>71</v>
      </c>
      <c r="B794" s="2" t="s">
        <v>72</v>
      </c>
      <c r="C794" s="2" t="s">
        <v>73</v>
      </c>
      <c r="E794" s="2" t="str">
        <f>"FES1162593953"</f>
        <v>FES1162593953</v>
      </c>
      <c r="F794" s="3">
        <v>43074</v>
      </c>
      <c r="G794" s="2">
        <v>201806</v>
      </c>
      <c r="H794" s="2" t="s">
        <v>74</v>
      </c>
      <c r="I794" s="2" t="s">
        <v>75</v>
      </c>
      <c r="J794" s="2" t="s">
        <v>97</v>
      </c>
      <c r="K794" s="2" t="s">
        <v>77</v>
      </c>
      <c r="L794" s="2" t="s">
        <v>98</v>
      </c>
      <c r="M794" s="2" t="s">
        <v>99</v>
      </c>
      <c r="N794" s="2" t="s">
        <v>670</v>
      </c>
      <c r="O794" s="2" t="s">
        <v>101</v>
      </c>
      <c r="P794" s="2" t="str">
        <f>"2170605996                    "</f>
        <v xml:space="preserve">2170605996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5.65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0.2</v>
      </c>
      <c r="BK794" s="2">
        <v>1</v>
      </c>
      <c r="BL794" s="2">
        <v>45.15</v>
      </c>
      <c r="BM794" s="2">
        <v>6.32</v>
      </c>
      <c r="BN794" s="2">
        <v>51.47</v>
      </c>
      <c r="BO794" s="2">
        <v>51.47</v>
      </c>
      <c r="BQ794" s="2" t="s">
        <v>102</v>
      </c>
      <c r="BR794" s="2" t="s">
        <v>103</v>
      </c>
      <c r="BS794" s="3">
        <v>43075</v>
      </c>
      <c r="BT794" s="4">
        <v>0.39583333333333331</v>
      </c>
      <c r="BU794" s="2" t="s">
        <v>671</v>
      </c>
      <c r="BV794" s="2" t="s">
        <v>85</v>
      </c>
      <c r="BY794" s="2">
        <v>1200</v>
      </c>
      <c r="CA794" s="2" t="s">
        <v>105</v>
      </c>
      <c r="CC794" s="2" t="s">
        <v>99</v>
      </c>
      <c r="CD794" s="2">
        <v>3200</v>
      </c>
      <c r="CE794" s="2" t="s">
        <v>120</v>
      </c>
      <c r="CF794" s="3">
        <v>43076</v>
      </c>
      <c r="CI794" s="2">
        <v>1</v>
      </c>
      <c r="CJ794" s="2">
        <v>1</v>
      </c>
      <c r="CK794" s="2">
        <v>21</v>
      </c>
      <c r="CL794" s="2" t="s">
        <v>89</v>
      </c>
    </row>
    <row r="795" spans="1:90">
      <c r="A795" s="2" t="s">
        <v>71</v>
      </c>
      <c r="B795" s="2" t="s">
        <v>72</v>
      </c>
      <c r="C795" s="2" t="s">
        <v>73</v>
      </c>
      <c r="E795" s="2" t="str">
        <f>"FES1162593588"</f>
        <v>FES1162593588</v>
      </c>
      <c r="F795" s="3">
        <v>43074</v>
      </c>
      <c r="G795" s="2">
        <v>201806</v>
      </c>
      <c r="H795" s="2" t="s">
        <v>74</v>
      </c>
      <c r="I795" s="2" t="s">
        <v>75</v>
      </c>
      <c r="J795" s="2" t="s">
        <v>97</v>
      </c>
      <c r="K795" s="2" t="s">
        <v>77</v>
      </c>
      <c r="L795" s="2" t="s">
        <v>168</v>
      </c>
      <c r="M795" s="2" t="s">
        <v>169</v>
      </c>
      <c r="N795" s="2" t="s">
        <v>585</v>
      </c>
      <c r="O795" s="2" t="s">
        <v>101</v>
      </c>
      <c r="P795" s="2" t="str">
        <f>"2170605700                    "</f>
        <v xml:space="preserve">2170605700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5.65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1</v>
      </c>
      <c r="BJ795" s="2">
        <v>0.2</v>
      </c>
      <c r="BK795" s="2">
        <v>1</v>
      </c>
      <c r="BL795" s="2">
        <v>45.15</v>
      </c>
      <c r="BM795" s="2">
        <v>6.32</v>
      </c>
      <c r="BN795" s="2">
        <v>51.47</v>
      </c>
      <c r="BO795" s="2">
        <v>51.47</v>
      </c>
      <c r="BQ795" s="2" t="s">
        <v>82</v>
      </c>
      <c r="BR795" s="2" t="s">
        <v>103</v>
      </c>
      <c r="BS795" s="3">
        <v>43075</v>
      </c>
      <c r="BT795" s="4">
        <v>0.40625</v>
      </c>
      <c r="BU795" s="2" t="s">
        <v>586</v>
      </c>
      <c r="BV795" s="2" t="s">
        <v>85</v>
      </c>
      <c r="BY795" s="2">
        <v>1200</v>
      </c>
      <c r="CA795" s="2" t="s">
        <v>172</v>
      </c>
      <c r="CC795" s="2" t="s">
        <v>169</v>
      </c>
      <c r="CD795" s="2">
        <v>3610</v>
      </c>
      <c r="CE795" s="2" t="s">
        <v>120</v>
      </c>
      <c r="CF795" s="3">
        <v>43076</v>
      </c>
      <c r="CI795" s="2">
        <v>1</v>
      </c>
      <c r="CJ795" s="2">
        <v>1</v>
      </c>
      <c r="CK795" s="2">
        <v>21</v>
      </c>
      <c r="CL795" s="2" t="s">
        <v>89</v>
      </c>
    </row>
    <row r="796" spans="1:90">
      <c r="A796" s="2" t="s">
        <v>71</v>
      </c>
      <c r="B796" s="2" t="s">
        <v>72</v>
      </c>
      <c r="C796" s="2" t="s">
        <v>73</v>
      </c>
      <c r="E796" s="2" t="str">
        <f>"FES1162593629"</f>
        <v>FES1162593629</v>
      </c>
      <c r="F796" s="3">
        <v>43074</v>
      </c>
      <c r="G796" s="2">
        <v>201806</v>
      </c>
      <c r="H796" s="2" t="s">
        <v>74</v>
      </c>
      <c r="I796" s="2" t="s">
        <v>75</v>
      </c>
      <c r="J796" s="2" t="s">
        <v>97</v>
      </c>
      <c r="K796" s="2" t="s">
        <v>77</v>
      </c>
      <c r="L796" s="2" t="s">
        <v>490</v>
      </c>
      <c r="M796" s="2" t="s">
        <v>491</v>
      </c>
      <c r="N796" s="2" t="s">
        <v>1304</v>
      </c>
      <c r="O796" s="2" t="s">
        <v>101</v>
      </c>
      <c r="P796" s="2" t="str">
        <f>"2170605743                    "</f>
        <v xml:space="preserve">2170605743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5.65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1</v>
      </c>
      <c r="BJ796" s="2">
        <v>0.2</v>
      </c>
      <c r="BK796" s="2">
        <v>1</v>
      </c>
      <c r="BL796" s="2">
        <v>45.15</v>
      </c>
      <c r="BM796" s="2">
        <v>6.32</v>
      </c>
      <c r="BN796" s="2">
        <v>51.47</v>
      </c>
      <c r="BO796" s="2">
        <v>51.47</v>
      </c>
      <c r="BQ796" s="2" t="s">
        <v>1305</v>
      </c>
      <c r="BR796" s="2" t="s">
        <v>103</v>
      </c>
      <c r="BS796" s="3">
        <v>43075</v>
      </c>
      <c r="BT796" s="4">
        <v>0.44791666666666669</v>
      </c>
      <c r="BU796" s="2" t="s">
        <v>1306</v>
      </c>
      <c r="BV796" s="2" t="s">
        <v>85</v>
      </c>
      <c r="BY796" s="2">
        <v>1200</v>
      </c>
      <c r="CA796" s="2" t="s">
        <v>494</v>
      </c>
      <c r="CC796" s="2" t="s">
        <v>491</v>
      </c>
      <c r="CD796" s="2">
        <v>3699</v>
      </c>
      <c r="CE796" s="2" t="s">
        <v>120</v>
      </c>
      <c r="CF796" s="3">
        <v>43076</v>
      </c>
      <c r="CI796" s="2">
        <v>1</v>
      </c>
      <c r="CJ796" s="2">
        <v>1</v>
      </c>
      <c r="CK796" s="2">
        <v>21</v>
      </c>
      <c r="CL796" s="2" t="s">
        <v>89</v>
      </c>
    </row>
    <row r="797" spans="1:90">
      <c r="A797" s="2" t="s">
        <v>71</v>
      </c>
      <c r="B797" s="2" t="s">
        <v>72</v>
      </c>
      <c r="C797" s="2" t="s">
        <v>73</v>
      </c>
      <c r="E797" s="2" t="str">
        <f>"FES1162593609"</f>
        <v>FES1162593609</v>
      </c>
      <c r="F797" s="3">
        <v>43074</v>
      </c>
      <c r="G797" s="2">
        <v>201806</v>
      </c>
      <c r="H797" s="2" t="s">
        <v>74</v>
      </c>
      <c r="I797" s="2" t="s">
        <v>75</v>
      </c>
      <c r="J797" s="2" t="s">
        <v>97</v>
      </c>
      <c r="K797" s="2" t="s">
        <v>77</v>
      </c>
      <c r="L797" s="2" t="s">
        <v>168</v>
      </c>
      <c r="M797" s="2" t="s">
        <v>169</v>
      </c>
      <c r="N797" s="2" t="s">
        <v>585</v>
      </c>
      <c r="O797" s="2" t="s">
        <v>101</v>
      </c>
      <c r="P797" s="2" t="str">
        <f>"2170605725                    "</f>
        <v xml:space="preserve">2170605725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5.65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1</v>
      </c>
      <c r="BJ797" s="2">
        <v>0.2</v>
      </c>
      <c r="BK797" s="2">
        <v>1</v>
      </c>
      <c r="BL797" s="2">
        <v>45.15</v>
      </c>
      <c r="BM797" s="2">
        <v>6.32</v>
      </c>
      <c r="BN797" s="2">
        <v>51.47</v>
      </c>
      <c r="BO797" s="2">
        <v>51.47</v>
      </c>
      <c r="BQ797" s="2" t="s">
        <v>82</v>
      </c>
      <c r="BR797" s="2" t="s">
        <v>103</v>
      </c>
      <c r="BS797" s="3">
        <v>43075</v>
      </c>
      <c r="BT797" s="4">
        <v>0.40625</v>
      </c>
      <c r="BU797" s="2" t="s">
        <v>586</v>
      </c>
      <c r="BV797" s="2" t="s">
        <v>85</v>
      </c>
      <c r="BY797" s="2">
        <v>1200</v>
      </c>
      <c r="CA797" s="2" t="s">
        <v>172</v>
      </c>
      <c r="CC797" s="2" t="s">
        <v>169</v>
      </c>
      <c r="CD797" s="2">
        <v>3610</v>
      </c>
      <c r="CE797" s="2" t="s">
        <v>120</v>
      </c>
      <c r="CF797" s="3">
        <v>43076</v>
      </c>
      <c r="CI797" s="2">
        <v>1</v>
      </c>
      <c r="CJ797" s="2">
        <v>1</v>
      </c>
      <c r="CK797" s="2">
        <v>21</v>
      </c>
      <c r="CL797" s="2" t="s">
        <v>89</v>
      </c>
    </row>
    <row r="798" spans="1:90">
      <c r="A798" s="2" t="s">
        <v>71</v>
      </c>
      <c r="B798" s="2" t="s">
        <v>72</v>
      </c>
      <c r="C798" s="2" t="s">
        <v>73</v>
      </c>
      <c r="E798" s="2" t="str">
        <f>"FES1162593821"</f>
        <v>FES1162593821</v>
      </c>
      <c r="F798" s="3">
        <v>43074</v>
      </c>
      <c r="G798" s="2">
        <v>201806</v>
      </c>
      <c r="H798" s="2" t="s">
        <v>74</v>
      </c>
      <c r="I798" s="2" t="s">
        <v>75</v>
      </c>
      <c r="J798" s="2" t="s">
        <v>97</v>
      </c>
      <c r="K798" s="2" t="s">
        <v>77</v>
      </c>
      <c r="L798" s="2" t="s">
        <v>131</v>
      </c>
      <c r="M798" s="2" t="s">
        <v>132</v>
      </c>
      <c r="N798" s="2" t="s">
        <v>133</v>
      </c>
      <c r="O798" s="2" t="s">
        <v>101</v>
      </c>
      <c r="P798" s="2" t="str">
        <f>"2170605868                    "</f>
        <v xml:space="preserve">2170605868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5.65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1</v>
      </c>
      <c r="BJ798" s="2">
        <v>0.2</v>
      </c>
      <c r="BK798" s="2">
        <v>1</v>
      </c>
      <c r="BL798" s="2">
        <v>45.15</v>
      </c>
      <c r="BM798" s="2">
        <v>6.32</v>
      </c>
      <c r="BN798" s="2">
        <v>51.47</v>
      </c>
      <c r="BO798" s="2">
        <v>51.47</v>
      </c>
      <c r="BQ798" s="2" t="s">
        <v>102</v>
      </c>
      <c r="BR798" s="2" t="s">
        <v>103</v>
      </c>
      <c r="BS798" s="3">
        <v>43075</v>
      </c>
      <c r="BT798" s="4">
        <v>0.38611111111111113</v>
      </c>
      <c r="BU798" s="2" t="s">
        <v>134</v>
      </c>
      <c r="BV798" s="2" t="s">
        <v>85</v>
      </c>
      <c r="BY798" s="2">
        <v>1200</v>
      </c>
      <c r="CA798" s="2" t="s">
        <v>135</v>
      </c>
      <c r="CC798" s="2" t="s">
        <v>132</v>
      </c>
      <c r="CD798" s="2">
        <v>4302</v>
      </c>
      <c r="CE798" s="2" t="s">
        <v>120</v>
      </c>
      <c r="CF798" s="3">
        <v>43076</v>
      </c>
      <c r="CI798" s="2">
        <v>1</v>
      </c>
      <c r="CJ798" s="2">
        <v>1</v>
      </c>
      <c r="CK798" s="2">
        <v>21</v>
      </c>
      <c r="CL798" s="2" t="s">
        <v>89</v>
      </c>
    </row>
    <row r="799" spans="1:90">
      <c r="A799" s="2" t="s">
        <v>71</v>
      </c>
      <c r="B799" s="2" t="s">
        <v>72</v>
      </c>
      <c r="C799" s="2" t="s">
        <v>73</v>
      </c>
      <c r="E799" s="2" t="str">
        <f>"FES1162593857"</f>
        <v>FES1162593857</v>
      </c>
      <c r="F799" s="3">
        <v>43074</v>
      </c>
      <c r="G799" s="2">
        <v>201806</v>
      </c>
      <c r="H799" s="2" t="s">
        <v>74</v>
      </c>
      <c r="I799" s="2" t="s">
        <v>75</v>
      </c>
      <c r="J799" s="2" t="s">
        <v>97</v>
      </c>
      <c r="K799" s="2" t="s">
        <v>77</v>
      </c>
      <c r="L799" s="2" t="s">
        <v>759</v>
      </c>
      <c r="M799" s="2" t="s">
        <v>760</v>
      </c>
      <c r="N799" s="2" t="s">
        <v>761</v>
      </c>
      <c r="O799" s="2" t="s">
        <v>101</v>
      </c>
      <c r="P799" s="2" t="str">
        <f>"2170605173                    "</f>
        <v xml:space="preserve">2170605173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5.65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</v>
      </c>
      <c r="BJ799" s="2">
        <v>0.2</v>
      </c>
      <c r="BK799" s="2">
        <v>1</v>
      </c>
      <c r="BL799" s="2">
        <v>45.15</v>
      </c>
      <c r="BM799" s="2">
        <v>6.32</v>
      </c>
      <c r="BN799" s="2">
        <v>51.47</v>
      </c>
      <c r="BO799" s="2">
        <v>51.47</v>
      </c>
      <c r="BQ799" s="2" t="s">
        <v>82</v>
      </c>
      <c r="BR799" s="2" t="s">
        <v>103</v>
      </c>
      <c r="BS799" s="3">
        <v>43075</v>
      </c>
      <c r="BT799" s="4">
        <v>0.35416666666666669</v>
      </c>
      <c r="BU799" s="2" t="s">
        <v>1284</v>
      </c>
      <c r="BV799" s="2" t="s">
        <v>85</v>
      </c>
      <c r="BY799" s="2">
        <v>1200</v>
      </c>
      <c r="CA799" s="2" t="s">
        <v>578</v>
      </c>
      <c r="CC799" s="2" t="s">
        <v>760</v>
      </c>
      <c r="CD799" s="2">
        <v>4026</v>
      </c>
      <c r="CE799" s="2" t="s">
        <v>120</v>
      </c>
      <c r="CF799" s="3">
        <v>43076</v>
      </c>
      <c r="CI799" s="2">
        <v>1</v>
      </c>
      <c r="CJ799" s="2">
        <v>1</v>
      </c>
      <c r="CK799" s="2">
        <v>21</v>
      </c>
      <c r="CL799" s="2" t="s">
        <v>89</v>
      </c>
    </row>
    <row r="800" spans="1:90">
      <c r="A800" s="2" t="s">
        <v>71</v>
      </c>
      <c r="B800" s="2" t="s">
        <v>72</v>
      </c>
      <c r="C800" s="2" t="s">
        <v>73</v>
      </c>
      <c r="E800" s="2" t="str">
        <f>"FES1162593803"</f>
        <v>FES1162593803</v>
      </c>
      <c r="F800" s="3">
        <v>43074</v>
      </c>
      <c r="G800" s="2">
        <v>201806</v>
      </c>
      <c r="H800" s="2" t="s">
        <v>74</v>
      </c>
      <c r="I800" s="2" t="s">
        <v>75</v>
      </c>
      <c r="J800" s="2" t="s">
        <v>97</v>
      </c>
      <c r="K800" s="2" t="s">
        <v>77</v>
      </c>
      <c r="L800" s="2" t="s">
        <v>490</v>
      </c>
      <c r="M800" s="2" t="s">
        <v>491</v>
      </c>
      <c r="N800" s="2" t="s">
        <v>1307</v>
      </c>
      <c r="O800" s="2" t="s">
        <v>101</v>
      </c>
      <c r="P800" s="2" t="str">
        <f>"2170605340                    "</f>
        <v xml:space="preserve">2170605340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5.65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1</v>
      </c>
      <c r="BJ800" s="2">
        <v>0.2</v>
      </c>
      <c r="BK800" s="2">
        <v>1</v>
      </c>
      <c r="BL800" s="2">
        <v>45.15</v>
      </c>
      <c r="BM800" s="2">
        <v>6.32</v>
      </c>
      <c r="BN800" s="2">
        <v>51.47</v>
      </c>
      <c r="BO800" s="2">
        <v>51.47</v>
      </c>
      <c r="BQ800" s="2" t="s">
        <v>1308</v>
      </c>
      <c r="BR800" s="2" t="s">
        <v>103</v>
      </c>
      <c r="BS800" s="3">
        <v>43075</v>
      </c>
      <c r="BT800" s="4">
        <v>0.44097222222222227</v>
      </c>
      <c r="BU800" s="2" t="s">
        <v>1309</v>
      </c>
      <c r="BV800" s="2" t="s">
        <v>85</v>
      </c>
      <c r="BY800" s="2">
        <v>1200</v>
      </c>
      <c r="CA800" s="2" t="s">
        <v>494</v>
      </c>
      <c r="CC800" s="2" t="s">
        <v>491</v>
      </c>
      <c r="CD800" s="2">
        <v>3699</v>
      </c>
      <c r="CE800" s="2" t="s">
        <v>120</v>
      </c>
      <c r="CF800" s="3">
        <v>43076</v>
      </c>
      <c r="CI800" s="2">
        <v>1</v>
      </c>
      <c r="CJ800" s="2">
        <v>1</v>
      </c>
      <c r="CK800" s="2">
        <v>21</v>
      </c>
      <c r="CL800" s="2" t="s">
        <v>89</v>
      </c>
    </row>
    <row r="801" spans="1:90">
      <c r="A801" s="2" t="s">
        <v>71</v>
      </c>
      <c r="B801" s="2" t="s">
        <v>72</v>
      </c>
      <c r="C801" s="2" t="s">
        <v>73</v>
      </c>
      <c r="E801" s="2" t="str">
        <f>"FES1162593870"</f>
        <v>FES1162593870</v>
      </c>
      <c r="F801" s="3">
        <v>43074</v>
      </c>
      <c r="G801" s="2">
        <v>201806</v>
      </c>
      <c r="H801" s="2" t="s">
        <v>74</v>
      </c>
      <c r="I801" s="2" t="s">
        <v>75</v>
      </c>
      <c r="J801" s="2" t="s">
        <v>97</v>
      </c>
      <c r="K801" s="2" t="s">
        <v>77</v>
      </c>
      <c r="L801" s="2" t="s">
        <v>125</v>
      </c>
      <c r="M801" s="2" t="s">
        <v>126</v>
      </c>
      <c r="N801" s="2" t="s">
        <v>127</v>
      </c>
      <c r="O801" s="2" t="s">
        <v>101</v>
      </c>
      <c r="P801" s="2" t="str">
        <f>"2170605784                    "</f>
        <v xml:space="preserve">2170605784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5.65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1</v>
      </c>
      <c r="BJ801" s="2">
        <v>0.2</v>
      </c>
      <c r="BK801" s="2">
        <v>1</v>
      </c>
      <c r="BL801" s="2">
        <v>45.15</v>
      </c>
      <c r="BM801" s="2">
        <v>6.32</v>
      </c>
      <c r="BN801" s="2">
        <v>51.47</v>
      </c>
      <c r="BO801" s="2">
        <v>51.47</v>
      </c>
      <c r="BQ801" s="2" t="s">
        <v>128</v>
      </c>
      <c r="BR801" s="2" t="s">
        <v>103</v>
      </c>
      <c r="BS801" s="3">
        <v>43075</v>
      </c>
      <c r="BT801" s="4">
        <v>0.36736111111111108</v>
      </c>
      <c r="BU801" s="2" t="s">
        <v>1310</v>
      </c>
      <c r="BV801" s="2" t="s">
        <v>85</v>
      </c>
      <c r="BY801" s="2">
        <v>1200</v>
      </c>
      <c r="CA801" s="2" t="s">
        <v>130</v>
      </c>
      <c r="CC801" s="2" t="s">
        <v>126</v>
      </c>
      <c r="CD801" s="2">
        <v>4001</v>
      </c>
      <c r="CE801" s="2" t="s">
        <v>120</v>
      </c>
      <c r="CF801" s="3">
        <v>43076</v>
      </c>
      <c r="CI801" s="2">
        <v>1</v>
      </c>
      <c r="CJ801" s="2">
        <v>1</v>
      </c>
      <c r="CK801" s="2">
        <v>21</v>
      </c>
      <c r="CL801" s="2" t="s">
        <v>89</v>
      </c>
    </row>
    <row r="802" spans="1:90">
      <c r="A802" s="2" t="s">
        <v>71</v>
      </c>
      <c r="B802" s="2" t="s">
        <v>72</v>
      </c>
      <c r="C802" s="2" t="s">
        <v>73</v>
      </c>
      <c r="E802" s="2" t="str">
        <f>"FES1162593620"</f>
        <v>FES1162593620</v>
      </c>
      <c r="F802" s="3">
        <v>43074</v>
      </c>
      <c r="G802" s="2">
        <v>201806</v>
      </c>
      <c r="H802" s="2" t="s">
        <v>74</v>
      </c>
      <c r="I802" s="2" t="s">
        <v>75</v>
      </c>
      <c r="J802" s="2" t="s">
        <v>97</v>
      </c>
      <c r="K802" s="2" t="s">
        <v>77</v>
      </c>
      <c r="L802" s="2" t="s">
        <v>125</v>
      </c>
      <c r="M802" s="2" t="s">
        <v>126</v>
      </c>
      <c r="N802" s="2" t="s">
        <v>1311</v>
      </c>
      <c r="O802" s="2" t="s">
        <v>101</v>
      </c>
      <c r="P802" s="2" t="str">
        <f>"2170605734                    "</f>
        <v xml:space="preserve">2170605734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5.65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1</v>
      </c>
      <c r="BJ802" s="2">
        <v>0.2</v>
      </c>
      <c r="BK802" s="2">
        <v>1</v>
      </c>
      <c r="BL802" s="2">
        <v>45.15</v>
      </c>
      <c r="BM802" s="2">
        <v>6.32</v>
      </c>
      <c r="BN802" s="2">
        <v>51.47</v>
      </c>
      <c r="BO802" s="2">
        <v>51.47</v>
      </c>
      <c r="BQ802" s="2" t="s">
        <v>102</v>
      </c>
      <c r="BR802" s="2" t="s">
        <v>103</v>
      </c>
      <c r="BS802" s="3">
        <v>43075</v>
      </c>
      <c r="BT802" s="4">
        <v>0.41319444444444442</v>
      </c>
      <c r="BU802" s="2" t="s">
        <v>1312</v>
      </c>
      <c r="BV802" s="2" t="s">
        <v>85</v>
      </c>
      <c r="BY802" s="2">
        <v>1200</v>
      </c>
      <c r="CA802" s="2" t="s">
        <v>1313</v>
      </c>
      <c r="CC802" s="2" t="s">
        <v>126</v>
      </c>
      <c r="CD802" s="2">
        <v>4052</v>
      </c>
      <c r="CE802" s="2" t="s">
        <v>120</v>
      </c>
      <c r="CF802" s="3">
        <v>43076</v>
      </c>
      <c r="CI802" s="2">
        <v>1</v>
      </c>
      <c r="CJ802" s="2">
        <v>1</v>
      </c>
      <c r="CK802" s="2">
        <v>21</v>
      </c>
      <c r="CL802" s="2" t="s">
        <v>89</v>
      </c>
    </row>
    <row r="803" spans="1:90">
      <c r="A803" s="2" t="s">
        <v>71</v>
      </c>
      <c r="B803" s="2" t="s">
        <v>72</v>
      </c>
      <c r="C803" s="2" t="s">
        <v>73</v>
      </c>
      <c r="E803" s="2" t="str">
        <f>"FES1162593884"</f>
        <v>FES1162593884</v>
      </c>
      <c r="F803" s="3">
        <v>43074</v>
      </c>
      <c r="G803" s="2">
        <v>201806</v>
      </c>
      <c r="H803" s="2" t="s">
        <v>74</v>
      </c>
      <c r="I803" s="2" t="s">
        <v>75</v>
      </c>
      <c r="J803" s="2" t="s">
        <v>97</v>
      </c>
      <c r="K803" s="2" t="s">
        <v>77</v>
      </c>
      <c r="L803" s="2" t="s">
        <v>125</v>
      </c>
      <c r="M803" s="2" t="s">
        <v>126</v>
      </c>
      <c r="N803" s="2" t="s">
        <v>930</v>
      </c>
      <c r="O803" s="2" t="s">
        <v>101</v>
      </c>
      <c r="P803" s="2" t="str">
        <f>"2170605903                    "</f>
        <v xml:space="preserve">2170605903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5.65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45.15</v>
      </c>
      <c r="BM803" s="2">
        <v>6.32</v>
      </c>
      <c r="BN803" s="2">
        <v>51.47</v>
      </c>
      <c r="BO803" s="2">
        <v>51.47</v>
      </c>
      <c r="BQ803" s="2" t="s">
        <v>1314</v>
      </c>
      <c r="BR803" s="2" t="s">
        <v>103</v>
      </c>
      <c r="BS803" s="3">
        <v>43075</v>
      </c>
      <c r="BT803" s="4">
        <v>0.3888888888888889</v>
      </c>
      <c r="BU803" s="2" t="s">
        <v>1315</v>
      </c>
      <c r="BV803" s="2" t="s">
        <v>85</v>
      </c>
      <c r="BY803" s="2">
        <v>1200</v>
      </c>
      <c r="CA803" s="2" t="s">
        <v>1313</v>
      </c>
      <c r="CC803" s="2" t="s">
        <v>126</v>
      </c>
      <c r="CD803" s="2">
        <v>4072</v>
      </c>
      <c r="CE803" s="2" t="s">
        <v>120</v>
      </c>
      <c r="CF803" s="3">
        <v>43076</v>
      </c>
      <c r="CI803" s="2">
        <v>1</v>
      </c>
      <c r="CJ803" s="2">
        <v>1</v>
      </c>
      <c r="CK803" s="2">
        <v>21</v>
      </c>
      <c r="CL803" s="2" t="s">
        <v>89</v>
      </c>
    </row>
    <row r="804" spans="1:90">
      <c r="A804" s="2" t="s">
        <v>71</v>
      </c>
      <c r="B804" s="2" t="s">
        <v>72</v>
      </c>
      <c r="C804" s="2" t="s">
        <v>73</v>
      </c>
      <c r="E804" s="2" t="str">
        <f>"FES1162593863"</f>
        <v>FES1162593863</v>
      </c>
      <c r="F804" s="3">
        <v>43074</v>
      </c>
      <c r="G804" s="2">
        <v>201806</v>
      </c>
      <c r="H804" s="2" t="s">
        <v>74</v>
      </c>
      <c r="I804" s="2" t="s">
        <v>75</v>
      </c>
      <c r="J804" s="2" t="s">
        <v>97</v>
      </c>
      <c r="K804" s="2" t="s">
        <v>77</v>
      </c>
      <c r="L804" s="2" t="s">
        <v>131</v>
      </c>
      <c r="M804" s="2" t="s">
        <v>132</v>
      </c>
      <c r="N804" s="2" t="s">
        <v>133</v>
      </c>
      <c r="O804" s="2" t="s">
        <v>101</v>
      </c>
      <c r="P804" s="2" t="str">
        <f>"2170605510                    "</f>
        <v xml:space="preserve">2170605510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5.65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</v>
      </c>
      <c r="BJ804" s="2">
        <v>0.2</v>
      </c>
      <c r="BK804" s="2">
        <v>1</v>
      </c>
      <c r="BL804" s="2">
        <v>45.15</v>
      </c>
      <c r="BM804" s="2">
        <v>6.32</v>
      </c>
      <c r="BN804" s="2">
        <v>51.47</v>
      </c>
      <c r="BO804" s="2">
        <v>51.47</v>
      </c>
      <c r="BQ804" s="2" t="s">
        <v>102</v>
      </c>
      <c r="BR804" s="2" t="s">
        <v>103</v>
      </c>
      <c r="BS804" s="3">
        <v>43075</v>
      </c>
      <c r="BT804" s="4">
        <v>0.38611111111111113</v>
      </c>
      <c r="BU804" s="2" t="s">
        <v>134</v>
      </c>
      <c r="BV804" s="2" t="s">
        <v>85</v>
      </c>
      <c r="BY804" s="2">
        <v>1200</v>
      </c>
      <c r="CA804" s="2" t="s">
        <v>135</v>
      </c>
      <c r="CC804" s="2" t="s">
        <v>132</v>
      </c>
      <c r="CD804" s="2">
        <v>4302</v>
      </c>
      <c r="CE804" s="2" t="s">
        <v>120</v>
      </c>
      <c r="CF804" s="3">
        <v>43076</v>
      </c>
      <c r="CI804" s="2">
        <v>1</v>
      </c>
      <c r="CJ804" s="2">
        <v>1</v>
      </c>
      <c r="CK804" s="2">
        <v>21</v>
      </c>
      <c r="CL804" s="2" t="s">
        <v>89</v>
      </c>
    </row>
    <row r="805" spans="1:90">
      <c r="A805" s="2" t="s">
        <v>71</v>
      </c>
      <c r="B805" s="2" t="s">
        <v>72</v>
      </c>
      <c r="C805" s="2" t="s">
        <v>73</v>
      </c>
      <c r="E805" s="2" t="str">
        <f>"FES1162594056"</f>
        <v>FES1162594056</v>
      </c>
      <c r="F805" s="3">
        <v>43074</v>
      </c>
      <c r="G805" s="2">
        <v>201806</v>
      </c>
      <c r="H805" s="2" t="s">
        <v>74</v>
      </c>
      <c r="I805" s="2" t="s">
        <v>75</v>
      </c>
      <c r="J805" s="2" t="s">
        <v>97</v>
      </c>
      <c r="K805" s="2" t="s">
        <v>77</v>
      </c>
      <c r="L805" s="2" t="s">
        <v>162</v>
      </c>
      <c r="M805" s="2" t="s">
        <v>163</v>
      </c>
      <c r="N805" s="2" t="s">
        <v>1224</v>
      </c>
      <c r="O805" s="2" t="s">
        <v>101</v>
      </c>
      <c r="P805" s="2" t="str">
        <f>"21705709                      "</f>
        <v xml:space="preserve">21705709  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4.41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2.2999999999999998</v>
      </c>
      <c r="BJ805" s="2">
        <v>1.4</v>
      </c>
      <c r="BK805" s="2">
        <v>3</v>
      </c>
      <c r="BL805" s="2">
        <v>35.270000000000003</v>
      </c>
      <c r="BM805" s="2">
        <v>4.9400000000000004</v>
      </c>
      <c r="BN805" s="2">
        <v>40.21</v>
      </c>
      <c r="BO805" s="2">
        <v>40.21</v>
      </c>
      <c r="BQ805" s="2" t="s">
        <v>1316</v>
      </c>
      <c r="BR805" s="2" t="s">
        <v>103</v>
      </c>
      <c r="BS805" s="3">
        <v>43075</v>
      </c>
      <c r="BT805" s="4">
        <v>0.3576388888888889</v>
      </c>
      <c r="BU805" s="2" t="s">
        <v>1225</v>
      </c>
      <c r="BV805" s="2" t="s">
        <v>85</v>
      </c>
      <c r="BY805" s="2">
        <v>7240.51</v>
      </c>
      <c r="CA805" s="2" t="s">
        <v>1226</v>
      </c>
      <c r="CC805" s="2" t="s">
        <v>163</v>
      </c>
      <c r="CD805" s="2">
        <v>1451</v>
      </c>
      <c r="CE805" s="2" t="s">
        <v>87</v>
      </c>
      <c r="CF805" s="3">
        <v>43077</v>
      </c>
      <c r="CI805" s="2">
        <v>1</v>
      </c>
      <c r="CJ805" s="2">
        <v>1</v>
      </c>
      <c r="CK805" s="2">
        <v>22</v>
      </c>
      <c r="CL805" s="2" t="s">
        <v>89</v>
      </c>
    </row>
    <row r="806" spans="1:90">
      <c r="A806" s="2" t="s">
        <v>71</v>
      </c>
      <c r="B806" s="2" t="s">
        <v>72</v>
      </c>
      <c r="C806" s="2" t="s">
        <v>73</v>
      </c>
      <c r="E806" s="2" t="str">
        <f>"FES1162593872"</f>
        <v>FES1162593872</v>
      </c>
      <c r="F806" s="3">
        <v>43074</v>
      </c>
      <c r="G806" s="2">
        <v>201806</v>
      </c>
      <c r="H806" s="2" t="s">
        <v>74</v>
      </c>
      <c r="I806" s="2" t="s">
        <v>75</v>
      </c>
      <c r="J806" s="2" t="s">
        <v>97</v>
      </c>
      <c r="K806" s="2" t="s">
        <v>77</v>
      </c>
      <c r="L806" s="2" t="s">
        <v>158</v>
      </c>
      <c r="M806" s="2" t="s">
        <v>159</v>
      </c>
      <c r="N806" s="2" t="s">
        <v>1275</v>
      </c>
      <c r="O806" s="2" t="s">
        <v>101</v>
      </c>
      <c r="P806" s="2" t="str">
        <f>"21705850                      "</f>
        <v xml:space="preserve">21705850  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5.65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1.6</v>
      </c>
      <c r="BJ806" s="2">
        <v>1.7</v>
      </c>
      <c r="BK806" s="2">
        <v>2</v>
      </c>
      <c r="BL806" s="2">
        <v>45.15</v>
      </c>
      <c r="BM806" s="2">
        <v>6.32</v>
      </c>
      <c r="BN806" s="2">
        <v>51.47</v>
      </c>
      <c r="BO806" s="2">
        <v>51.47</v>
      </c>
      <c r="BQ806" s="2" t="s">
        <v>142</v>
      </c>
      <c r="BR806" s="2" t="s">
        <v>103</v>
      </c>
      <c r="BS806" s="3">
        <v>43075</v>
      </c>
      <c r="BT806" s="4">
        <v>0.77430555555555547</v>
      </c>
      <c r="BU806" s="2" t="s">
        <v>1276</v>
      </c>
      <c r="BV806" s="2" t="s">
        <v>89</v>
      </c>
      <c r="BW806" s="2" t="s">
        <v>156</v>
      </c>
      <c r="BX806" s="2" t="s">
        <v>968</v>
      </c>
      <c r="BY806" s="2">
        <v>8655.36</v>
      </c>
      <c r="CA806" s="2" t="s">
        <v>678</v>
      </c>
      <c r="CC806" s="2" t="s">
        <v>159</v>
      </c>
      <c r="CD806" s="2">
        <v>184</v>
      </c>
      <c r="CE806" s="2" t="s">
        <v>87</v>
      </c>
      <c r="CF806" s="3">
        <v>43077</v>
      </c>
      <c r="CI806" s="2">
        <v>1</v>
      </c>
      <c r="CJ806" s="2">
        <v>1</v>
      </c>
      <c r="CK806" s="2">
        <v>21</v>
      </c>
      <c r="CL806" s="2" t="s">
        <v>89</v>
      </c>
    </row>
    <row r="807" spans="1:90">
      <c r="A807" s="2" t="s">
        <v>71</v>
      </c>
      <c r="B807" s="2" t="s">
        <v>72</v>
      </c>
      <c r="C807" s="2" t="s">
        <v>73</v>
      </c>
      <c r="E807" s="2" t="str">
        <f>"FES1162594016"</f>
        <v>FES1162594016</v>
      </c>
      <c r="F807" s="3">
        <v>43074</v>
      </c>
      <c r="G807" s="2">
        <v>201806</v>
      </c>
      <c r="H807" s="2" t="s">
        <v>74</v>
      </c>
      <c r="I807" s="2" t="s">
        <v>75</v>
      </c>
      <c r="J807" s="2" t="s">
        <v>97</v>
      </c>
      <c r="K807" s="2" t="s">
        <v>77</v>
      </c>
      <c r="L807" s="2" t="s">
        <v>152</v>
      </c>
      <c r="M807" s="2" t="s">
        <v>153</v>
      </c>
      <c r="N807" s="2" t="s">
        <v>1131</v>
      </c>
      <c r="O807" s="2" t="s">
        <v>101</v>
      </c>
      <c r="P807" s="2" t="str">
        <f>"2170606023                    "</f>
        <v xml:space="preserve">2170606023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4.41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35.270000000000003</v>
      </c>
      <c r="BM807" s="2">
        <v>4.9400000000000004</v>
      </c>
      <c r="BN807" s="2">
        <v>40.21</v>
      </c>
      <c r="BO807" s="2">
        <v>40.21</v>
      </c>
      <c r="BQ807" s="2" t="s">
        <v>102</v>
      </c>
      <c r="BR807" s="2" t="s">
        <v>103</v>
      </c>
      <c r="BS807" s="3">
        <v>43075</v>
      </c>
      <c r="BT807" s="4">
        <v>0.31666666666666665</v>
      </c>
      <c r="BU807" s="2" t="s">
        <v>1132</v>
      </c>
      <c r="BV807" s="2" t="s">
        <v>85</v>
      </c>
      <c r="BY807" s="2">
        <v>1200</v>
      </c>
      <c r="CA807" s="2" t="s">
        <v>337</v>
      </c>
      <c r="CC807" s="2" t="s">
        <v>153</v>
      </c>
      <c r="CD807" s="2">
        <v>1401</v>
      </c>
      <c r="CE807" s="2" t="s">
        <v>120</v>
      </c>
      <c r="CF807" s="3">
        <v>43077</v>
      </c>
      <c r="CI807" s="2">
        <v>1</v>
      </c>
      <c r="CJ807" s="2">
        <v>1</v>
      </c>
      <c r="CK807" s="2">
        <v>22</v>
      </c>
      <c r="CL807" s="2" t="s">
        <v>89</v>
      </c>
    </row>
    <row r="808" spans="1:90">
      <c r="A808" s="2" t="s">
        <v>71</v>
      </c>
      <c r="B808" s="2" t="s">
        <v>72</v>
      </c>
      <c r="C808" s="2" t="s">
        <v>73</v>
      </c>
      <c r="E808" s="2" t="str">
        <f>"FES1162593912"</f>
        <v>FES1162593912</v>
      </c>
      <c r="F808" s="3">
        <v>43074</v>
      </c>
      <c r="G808" s="2">
        <v>201806</v>
      </c>
      <c r="H808" s="2" t="s">
        <v>74</v>
      </c>
      <c r="I808" s="2" t="s">
        <v>75</v>
      </c>
      <c r="J808" s="2" t="s">
        <v>97</v>
      </c>
      <c r="K808" s="2" t="s">
        <v>77</v>
      </c>
      <c r="L808" s="2" t="s">
        <v>152</v>
      </c>
      <c r="M808" s="2" t="s">
        <v>153</v>
      </c>
      <c r="N808" s="2" t="s">
        <v>1317</v>
      </c>
      <c r="O808" s="2" t="s">
        <v>101</v>
      </c>
      <c r="P808" s="2" t="str">
        <f>"2170605954                    "</f>
        <v xml:space="preserve">2170605954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4.41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</v>
      </c>
      <c r="BJ808" s="2">
        <v>0.2</v>
      </c>
      <c r="BK808" s="2">
        <v>1</v>
      </c>
      <c r="BL808" s="2">
        <v>35.270000000000003</v>
      </c>
      <c r="BM808" s="2">
        <v>4.9400000000000004</v>
      </c>
      <c r="BN808" s="2">
        <v>40.21</v>
      </c>
      <c r="BO808" s="2">
        <v>40.21</v>
      </c>
      <c r="BQ808" s="2" t="s">
        <v>1318</v>
      </c>
      <c r="BR808" s="2" t="s">
        <v>103</v>
      </c>
      <c r="BS808" s="3">
        <v>43075</v>
      </c>
      <c r="BT808" s="4">
        <v>0.4375</v>
      </c>
      <c r="BU808" s="2" t="s">
        <v>1319</v>
      </c>
      <c r="BV808" s="2" t="s">
        <v>85</v>
      </c>
      <c r="BY808" s="2">
        <v>1200</v>
      </c>
      <c r="CA808" s="2" t="s">
        <v>1292</v>
      </c>
      <c r="CC808" s="2" t="s">
        <v>153</v>
      </c>
      <c r="CD808" s="2">
        <v>1422</v>
      </c>
      <c r="CE808" s="2" t="s">
        <v>120</v>
      </c>
      <c r="CF808" s="3">
        <v>43077</v>
      </c>
      <c r="CI808" s="2">
        <v>1</v>
      </c>
      <c r="CJ808" s="2">
        <v>1</v>
      </c>
      <c r="CK808" s="2">
        <v>22</v>
      </c>
      <c r="CL808" s="2" t="s">
        <v>89</v>
      </c>
    </row>
    <row r="809" spans="1:90">
      <c r="A809" s="2" t="s">
        <v>71</v>
      </c>
      <c r="B809" s="2" t="s">
        <v>72</v>
      </c>
      <c r="C809" s="2" t="s">
        <v>73</v>
      </c>
      <c r="E809" s="2" t="str">
        <f>"FES1162594058"</f>
        <v>FES1162594058</v>
      </c>
      <c r="F809" s="3">
        <v>43074</v>
      </c>
      <c r="G809" s="2">
        <v>201806</v>
      </c>
      <c r="H809" s="2" t="s">
        <v>74</v>
      </c>
      <c r="I809" s="2" t="s">
        <v>75</v>
      </c>
      <c r="J809" s="2" t="s">
        <v>97</v>
      </c>
      <c r="K809" s="2" t="s">
        <v>77</v>
      </c>
      <c r="L809" s="2" t="s">
        <v>158</v>
      </c>
      <c r="M809" s="2" t="s">
        <v>159</v>
      </c>
      <c r="N809" s="2" t="s">
        <v>1320</v>
      </c>
      <c r="O809" s="2" t="s">
        <v>101</v>
      </c>
      <c r="P809" s="2" t="str">
        <f>"2170606033                    "</f>
        <v xml:space="preserve">2170606033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5.65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2</v>
      </c>
      <c r="BJ809" s="2">
        <v>0.8</v>
      </c>
      <c r="BK809" s="2">
        <v>2</v>
      </c>
      <c r="BL809" s="2">
        <v>45.15</v>
      </c>
      <c r="BM809" s="2">
        <v>6.32</v>
      </c>
      <c r="BN809" s="2">
        <v>51.47</v>
      </c>
      <c r="BO809" s="2">
        <v>51.47</v>
      </c>
      <c r="BQ809" s="2" t="s">
        <v>102</v>
      </c>
      <c r="BR809" s="2" t="s">
        <v>103</v>
      </c>
      <c r="BS809" s="3">
        <v>43075</v>
      </c>
      <c r="BT809" s="4">
        <v>0.38194444444444442</v>
      </c>
      <c r="BU809" s="2" t="s">
        <v>1321</v>
      </c>
      <c r="BV809" s="2" t="s">
        <v>85</v>
      </c>
      <c r="BY809" s="2">
        <v>4096</v>
      </c>
      <c r="CC809" s="2" t="s">
        <v>159</v>
      </c>
      <c r="CD809" s="2">
        <v>117</v>
      </c>
      <c r="CE809" s="2" t="s">
        <v>356</v>
      </c>
      <c r="CF809" s="3">
        <v>43077</v>
      </c>
      <c r="CI809" s="2">
        <v>1</v>
      </c>
      <c r="CJ809" s="2">
        <v>1</v>
      </c>
      <c r="CK809" s="2">
        <v>21</v>
      </c>
      <c r="CL809" s="2" t="s">
        <v>89</v>
      </c>
    </row>
    <row r="810" spans="1:90">
      <c r="A810" s="2" t="s">
        <v>71</v>
      </c>
      <c r="B810" s="2" t="s">
        <v>72</v>
      </c>
      <c r="C810" s="2" t="s">
        <v>73</v>
      </c>
      <c r="E810" s="2" t="str">
        <f>"FES1162594063"</f>
        <v>FES1162594063</v>
      </c>
      <c r="F810" s="3">
        <v>43074</v>
      </c>
      <c r="G810" s="2">
        <v>201806</v>
      </c>
      <c r="H810" s="2" t="s">
        <v>74</v>
      </c>
      <c r="I810" s="2" t="s">
        <v>75</v>
      </c>
      <c r="J810" s="2" t="s">
        <v>97</v>
      </c>
      <c r="K810" s="2" t="s">
        <v>77</v>
      </c>
      <c r="L810" s="2" t="s">
        <v>173</v>
      </c>
      <c r="M810" s="2" t="s">
        <v>174</v>
      </c>
      <c r="N810" s="2" t="s">
        <v>487</v>
      </c>
      <c r="O810" s="2" t="s">
        <v>101</v>
      </c>
      <c r="P810" s="2" t="str">
        <f>"21706069                      "</f>
        <v xml:space="preserve">21706069  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5.65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1.8</v>
      </c>
      <c r="BJ810" s="2">
        <v>0.8</v>
      </c>
      <c r="BK810" s="2">
        <v>2</v>
      </c>
      <c r="BL810" s="2">
        <v>45.15</v>
      </c>
      <c r="BM810" s="2">
        <v>6.32</v>
      </c>
      <c r="BN810" s="2">
        <v>51.47</v>
      </c>
      <c r="BO810" s="2">
        <v>51.47</v>
      </c>
      <c r="BQ810" s="2" t="s">
        <v>82</v>
      </c>
      <c r="BR810" s="2" t="s">
        <v>103</v>
      </c>
      <c r="BS810" s="3">
        <v>43075</v>
      </c>
      <c r="BT810" s="4">
        <v>0.48125000000000001</v>
      </c>
      <c r="BU810" s="2" t="s">
        <v>1322</v>
      </c>
      <c r="BV810" s="2" t="s">
        <v>89</v>
      </c>
      <c r="BW810" s="2" t="s">
        <v>149</v>
      </c>
      <c r="BX810" s="2" t="s">
        <v>411</v>
      </c>
      <c r="BY810" s="2">
        <v>3832.92</v>
      </c>
      <c r="CA810" s="2" t="s">
        <v>1075</v>
      </c>
      <c r="CC810" s="2" t="s">
        <v>174</v>
      </c>
      <c r="CD810" s="2">
        <v>7580</v>
      </c>
      <c r="CE810" s="2" t="s">
        <v>87</v>
      </c>
      <c r="CF810" s="3">
        <v>43076</v>
      </c>
      <c r="CI810" s="2">
        <v>1</v>
      </c>
      <c r="CJ810" s="2">
        <v>1</v>
      </c>
      <c r="CK810" s="2">
        <v>21</v>
      </c>
      <c r="CL810" s="2" t="s">
        <v>89</v>
      </c>
    </row>
    <row r="811" spans="1:90">
      <c r="A811" s="2" t="s">
        <v>71</v>
      </c>
      <c r="B811" s="2" t="s">
        <v>72</v>
      </c>
      <c r="C811" s="2" t="s">
        <v>73</v>
      </c>
      <c r="E811" s="2" t="str">
        <f>"FES1162594022"</f>
        <v>FES1162594022</v>
      </c>
      <c r="F811" s="3">
        <v>43074</v>
      </c>
      <c r="G811" s="2">
        <v>201806</v>
      </c>
      <c r="H811" s="2" t="s">
        <v>74</v>
      </c>
      <c r="I811" s="2" t="s">
        <v>75</v>
      </c>
      <c r="J811" s="2" t="s">
        <v>97</v>
      </c>
      <c r="K811" s="2" t="s">
        <v>77</v>
      </c>
      <c r="L811" s="2" t="s">
        <v>90</v>
      </c>
      <c r="M811" s="2" t="s">
        <v>91</v>
      </c>
      <c r="N811" s="2" t="s">
        <v>725</v>
      </c>
      <c r="O811" s="2" t="s">
        <v>101</v>
      </c>
      <c r="P811" s="2" t="str">
        <f>"2170603004                    "</f>
        <v xml:space="preserve">2170603004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4.41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3.1</v>
      </c>
      <c r="BJ811" s="2">
        <v>3.8</v>
      </c>
      <c r="BK811" s="2">
        <v>4</v>
      </c>
      <c r="BL811" s="2">
        <v>35.270000000000003</v>
      </c>
      <c r="BM811" s="2">
        <v>4.9400000000000004</v>
      </c>
      <c r="BN811" s="2">
        <v>40.21</v>
      </c>
      <c r="BO811" s="2">
        <v>40.21</v>
      </c>
      <c r="BQ811" s="2" t="s">
        <v>102</v>
      </c>
      <c r="BR811" s="2" t="s">
        <v>103</v>
      </c>
      <c r="BS811" s="3">
        <v>43075</v>
      </c>
      <c r="BT811" s="4">
        <v>0.4375</v>
      </c>
      <c r="BU811" s="2" t="s">
        <v>1323</v>
      </c>
      <c r="BV811" s="2" t="s">
        <v>85</v>
      </c>
      <c r="BY811" s="2">
        <v>18983.830000000002</v>
      </c>
      <c r="CA811" s="2" t="s">
        <v>347</v>
      </c>
      <c r="CC811" s="2" t="s">
        <v>91</v>
      </c>
      <c r="CD811" s="2">
        <v>1559</v>
      </c>
      <c r="CE811" s="2" t="s">
        <v>95</v>
      </c>
      <c r="CF811" s="3">
        <v>43077</v>
      </c>
      <c r="CI811" s="2">
        <v>1</v>
      </c>
      <c r="CJ811" s="2">
        <v>1</v>
      </c>
      <c r="CK811" s="2">
        <v>22</v>
      </c>
      <c r="CL811" s="2" t="s">
        <v>89</v>
      </c>
    </row>
    <row r="812" spans="1:90">
      <c r="A812" s="2" t="s">
        <v>71</v>
      </c>
      <c r="B812" s="2" t="s">
        <v>72</v>
      </c>
      <c r="C812" s="2" t="s">
        <v>73</v>
      </c>
      <c r="E812" s="2" t="str">
        <f>"FES1162593815"</f>
        <v>FES1162593815</v>
      </c>
      <c r="F812" s="3">
        <v>43074</v>
      </c>
      <c r="G812" s="2">
        <v>201806</v>
      </c>
      <c r="H812" s="2" t="s">
        <v>74</v>
      </c>
      <c r="I812" s="2" t="s">
        <v>75</v>
      </c>
      <c r="J812" s="2" t="s">
        <v>97</v>
      </c>
      <c r="K812" s="2" t="s">
        <v>77</v>
      </c>
      <c r="L812" s="2" t="s">
        <v>158</v>
      </c>
      <c r="M812" s="2" t="s">
        <v>159</v>
      </c>
      <c r="N812" s="2" t="s">
        <v>1241</v>
      </c>
      <c r="O812" s="2" t="s">
        <v>101</v>
      </c>
      <c r="P812" s="2" t="str">
        <f>"2170605817                    "</f>
        <v xml:space="preserve">2170605817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5.65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45.15</v>
      </c>
      <c r="BM812" s="2">
        <v>6.32</v>
      </c>
      <c r="BN812" s="2">
        <v>51.47</v>
      </c>
      <c r="BO812" s="2">
        <v>51.47</v>
      </c>
      <c r="BQ812" s="2" t="s">
        <v>229</v>
      </c>
      <c r="BR812" s="2" t="s">
        <v>103</v>
      </c>
      <c r="BS812" s="3">
        <v>43075</v>
      </c>
      <c r="BT812" s="4">
        <v>0.4375</v>
      </c>
      <c r="BU812" s="2" t="s">
        <v>1242</v>
      </c>
      <c r="BV812" s="2" t="s">
        <v>85</v>
      </c>
      <c r="BY812" s="2">
        <v>1200</v>
      </c>
      <c r="CC812" s="2" t="s">
        <v>159</v>
      </c>
      <c r="CD812" s="2">
        <v>200</v>
      </c>
      <c r="CE812" s="2" t="s">
        <v>120</v>
      </c>
      <c r="CI812" s="2">
        <v>1</v>
      </c>
      <c r="CJ812" s="2">
        <v>1</v>
      </c>
      <c r="CK812" s="2">
        <v>21</v>
      </c>
      <c r="CL812" s="2" t="s">
        <v>89</v>
      </c>
    </row>
    <row r="813" spans="1:90">
      <c r="A813" s="2" t="s">
        <v>71</v>
      </c>
      <c r="B813" s="2" t="s">
        <v>72</v>
      </c>
      <c r="C813" s="2" t="s">
        <v>73</v>
      </c>
      <c r="E813" s="2" t="str">
        <f>"FES1162593925"</f>
        <v>FES1162593925</v>
      </c>
      <c r="F813" s="3">
        <v>43074</v>
      </c>
      <c r="G813" s="2">
        <v>201806</v>
      </c>
      <c r="H813" s="2" t="s">
        <v>74</v>
      </c>
      <c r="I813" s="2" t="s">
        <v>75</v>
      </c>
      <c r="J813" s="2" t="s">
        <v>97</v>
      </c>
      <c r="K813" s="2" t="s">
        <v>77</v>
      </c>
      <c r="L813" s="2" t="s">
        <v>325</v>
      </c>
      <c r="M813" s="2" t="s">
        <v>326</v>
      </c>
      <c r="N813" s="2" t="s">
        <v>1324</v>
      </c>
      <c r="O813" s="2" t="s">
        <v>101</v>
      </c>
      <c r="P813" s="2" t="str">
        <f>"2170605973                    "</f>
        <v xml:space="preserve">2170605973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5.65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</v>
      </c>
      <c r="BJ813" s="2">
        <v>0.2</v>
      </c>
      <c r="BK813" s="2">
        <v>1</v>
      </c>
      <c r="BL813" s="2">
        <v>45.15</v>
      </c>
      <c r="BM813" s="2">
        <v>6.32</v>
      </c>
      <c r="BN813" s="2">
        <v>51.47</v>
      </c>
      <c r="BO813" s="2">
        <v>51.47</v>
      </c>
      <c r="BQ813" s="2" t="s">
        <v>82</v>
      </c>
      <c r="BR813" s="2" t="s">
        <v>103</v>
      </c>
      <c r="BS813" s="3">
        <v>43075</v>
      </c>
      <c r="BT813" s="4">
        <v>0.43402777777777773</v>
      </c>
      <c r="BU813" s="2" t="s">
        <v>1325</v>
      </c>
      <c r="BV813" s="2" t="s">
        <v>85</v>
      </c>
      <c r="BY813" s="2">
        <v>1200</v>
      </c>
      <c r="CA813" s="2" t="s">
        <v>1326</v>
      </c>
      <c r="CC813" s="2" t="s">
        <v>326</v>
      </c>
      <c r="CD813" s="2">
        <v>1939</v>
      </c>
      <c r="CE813" s="2" t="s">
        <v>120</v>
      </c>
      <c r="CF813" s="3">
        <v>43077</v>
      </c>
      <c r="CI813" s="2">
        <v>1</v>
      </c>
      <c r="CJ813" s="2">
        <v>1</v>
      </c>
      <c r="CK813" s="2">
        <v>21</v>
      </c>
      <c r="CL813" s="2" t="s">
        <v>89</v>
      </c>
    </row>
    <row r="814" spans="1:90">
      <c r="A814" s="2" t="s">
        <v>71</v>
      </c>
      <c r="B814" s="2" t="s">
        <v>72</v>
      </c>
      <c r="C814" s="2" t="s">
        <v>73</v>
      </c>
      <c r="E814" s="2" t="str">
        <f>"FES1162593932"</f>
        <v>FES1162593932</v>
      </c>
      <c r="F814" s="3">
        <v>43074</v>
      </c>
      <c r="G814" s="2">
        <v>201806</v>
      </c>
      <c r="H814" s="2" t="s">
        <v>74</v>
      </c>
      <c r="I814" s="2" t="s">
        <v>75</v>
      </c>
      <c r="J814" s="2" t="s">
        <v>97</v>
      </c>
      <c r="K814" s="2" t="s">
        <v>77</v>
      </c>
      <c r="L814" s="2" t="s">
        <v>566</v>
      </c>
      <c r="M814" s="2" t="s">
        <v>567</v>
      </c>
      <c r="N814" s="2" t="s">
        <v>888</v>
      </c>
      <c r="O814" s="2" t="s">
        <v>101</v>
      </c>
      <c r="P814" s="2" t="str">
        <f>"2170605456                    "</f>
        <v xml:space="preserve">2170605456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7.94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0.2</v>
      </c>
      <c r="BK814" s="2">
        <v>1</v>
      </c>
      <c r="BL814" s="2">
        <v>63.49</v>
      </c>
      <c r="BM814" s="2">
        <v>8.89</v>
      </c>
      <c r="BN814" s="2">
        <v>72.38</v>
      </c>
      <c r="BO814" s="2">
        <v>72.38</v>
      </c>
      <c r="BQ814" s="2" t="s">
        <v>102</v>
      </c>
      <c r="BR814" s="2" t="s">
        <v>103</v>
      </c>
      <c r="BS814" s="3">
        <v>43075</v>
      </c>
      <c r="BT814" s="4">
        <v>0.43263888888888885</v>
      </c>
      <c r="BU814" s="2" t="s">
        <v>889</v>
      </c>
      <c r="BV814" s="2" t="s">
        <v>85</v>
      </c>
      <c r="BY814" s="2">
        <v>1200</v>
      </c>
      <c r="CA814" s="2" t="s">
        <v>890</v>
      </c>
      <c r="CC814" s="2" t="s">
        <v>567</v>
      </c>
      <c r="CD814" s="2">
        <v>1739</v>
      </c>
      <c r="CE814" s="2" t="s">
        <v>120</v>
      </c>
      <c r="CF814" s="3">
        <v>43077</v>
      </c>
      <c r="CI814" s="2">
        <v>1</v>
      </c>
      <c r="CJ814" s="2">
        <v>1</v>
      </c>
      <c r="CK814" s="2">
        <v>24</v>
      </c>
      <c r="CL814" s="2" t="s">
        <v>89</v>
      </c>
    </row>
    <row r="815" spans="1:90">
      <c r="A815" s="2" t="s">
        <v>71</v>
      </c>
      <c r="B815" s="2" t="s">
        <v>72</v>
      </c>
      <c r="C815" s="2" t="s">
        <v>73</v>
      </c>
      <c r="E815" s="2" t="str">
        <f>"FES1162593977"</f>
        <v>FES1162593977</v>
      </c>
      <c r="F815" s="3">
        <v>43074</v>
      </c>
      <c r="G815" s="2">
        <v>201806</v>
      </c>
      <c r="H815" s="2" t="s">
        <v>74</v>
      </c>
      <c r="I815" s="2" t="s">
        <v>75</v>
      </c>
      <c r="J815" s="2" t="s">
        <v>97</v>
      </c>
      <c r="K815" s="2" t="s">
        <v>77</v>
      </c>
      <c r="L815" s="2" t="s">
        <v>106</v>
      </c>
      <c r="M815" s="2" t="s">
        <v>107</v>
      </c>
      <c r="N815" s="2" t="s">
        <v>108</v>
      </c>
      <c r="O815" s="2" t="s">
        <v>101</v>
      </c>
      <c r="P815" s="2" t="str">
        <f>"2170600747                    "</f>
        <v xml:space="preserve">2170600747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4.41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</v>
      </c>
      <c r="BJ815" s="2">
        <v>0.2</v>
      </c>
      <c r="BK815" s="2">
        <v>1</v>
      </c>
      <c r="BL815" s="2">
        <v>35.270000000000003</v>
      </c>
      <c r="BM815" s="2">
        <v>4.9400000000000004</v>
      </c>
      <c r="BN815" s="2">
        <v>40.21</v>
      </c>
      <c r="BO815" s="2">
        <v>40.21</v>
      </c>
      <c r="BQ815" s="2" t="s">
        <v>82</v>
      </c>
      <c r="BR815" s="2" t="s">
        <v>103</v>
      </c>
      <c r="BS815" s="3">
        <v>43075</v>
      </c>
      <c r="BT815" s="4">
        <v>0.40972222222222227</v>
      </c>
      <c r="BU815" s="2" t="s">
        <v>1227</v>
      </c>
      <c r="BV815" s="2" t="s">
        <v>85</v>
      </c>
      <c r="BY815" s="2">
        <v>1200</v>
      </c>
      <c r="CA815" s="2" t="s">
        <v>110</v>
      </c>
      <c r="CC815" s="2" t="s">
        <v>107</v>
      </c>
      <c r="CD815" s="2">
        <v>2094</v>
      </c>
      <c r="CE815" s="2" t="s">
        <v>120</v>
      </c>
      <c r="CF815" s="3">
        <v>43077</v>
      </c>
      <c r="CI815" s="2">
        <v>1</v>
      </c>
      <c r="CJ815" s="2">
        <v>1</v>
      </c>
      <c r="CK815" s="2">
        <v>22</v>
      </c>
      <c r="CL815" s="2" t="s">
        <v>89</v>
      </c>
    </row>
    <row r="816" spans="1:90">
      <c r="A816" s="2" t="s">
        <v>71</v>
      </c>
      <c r="B816" s="2" t="s">
        <v>72</v>
      </c>
      <c r="C816" s="2" t="s">
        <v>73</v>
      </c>
      <c r="E816" s="2" t="str">
        <f>"FES1162593945"</f>
        <v>FES1162593945</v>
      </c>
      <c r="F816" s="3">
        <v>43074</v>
      </c>
      <c r="G816" s="2">
        <v>201806</v>
      </c>
      <c r="H816" s="2" t="s">
        <v>74</v>
      </c>
      <c r="I816" s="2" t="s">
        <v>75</v>
      </c>
      <c r="J816" s="2" t="s">
        <v>97</v>
      </c>
      <c r="K816" s="2" t="s">
        <v>77</v>
      </c>
      <c r="L816" s="2" t="s">
        <v>440</v>
      </c>
      <c r="M816" s="2" t="s">
        <v>441</v>
      </c>
      <c r="N816" s="2" t="s">
        <v>442</v>
      </c>
      <c r="O816" s="2" t="s">
        <v>101</v>
      </c>
      <c r="P816" s="2" t="str">
        <f>"2170605890                    "</f>
        <v xml:space="preserve">2170605890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7.94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63.49</v>
      </c>
      <c r="BM816" s="2">
        <v>8.89</v>
      </c>
      <c r="BN816" s="2">
        <v>72.38</v>
      </c>
      <c r="BO816" s="2">
        <v>72.38</v>
      </c>
      <c r="BQ816" s="2" t="s">
        <v>102</v>
      </c>
      <c r="BR816" s="2" t="s">
        <v>103</v>
      </c>
      <c r="BS816" s="3">
        <v>43075</v>
      </c>
      <c r="BT816" s="4">
        <v>0.43333333333333335</v>
      </c>
      <c r="BU816" s="2" t="s">
        <v>443</v>
      </c>
      <c r="BV816" s="2" t="s">
        <v>85</v>
      </c>
      <c r="BY816" s="2">
        <v>1200</v>
      </c>
      <c r="CC816" s="2" t="s">
        <v>441</v>
      </c>
      <c r="CD816" s="2">
        <v>1759</v>
      </c>
      <c r="CE816" s="2" t="s">
        <v>120</v>
      </c>
      <c r="CF816" s="3">
        <v>43077</v>
      </c>
      <c r="CI816" s="2">
        <v>1</v>
      </c>
      <c r="CJ816" s="2">
        <v>1</v>
      </c>
      <c r="CK816" s="2">
        <v>24</v>
      </c>
      <c r="CL816" s="2" t="s">
        <v>89</v>
      </c>
    </row>
    <row r="817" spans="1:90">
      <c r="A817" s="2" t="s">
        <v>71</v>
      </c>
      <c r="B817" s="2" t="s">
        <v>72</v>
      </c>
      <c r="C817" s="2" t="s">
        <v>73</v>
      </c>
      <c r="E817" s="2" t="str">
        <f>"FES1162593946"</f>
        <v>FES1162593946</v>
      </c>
      <c r="F817" s="3">
        <v>43074</v>
      </c>
      <c r="G817" s="2">
        <v>201806</v>
      </c>
      <c r="H817" s="2" t="s">
        <v>74</v>
      </c>
      <c r="I817" s="2" t="s">
        <v>75</v>
      </c>
      <c r="J817" s="2" t="s">
        <v>97</v>
      </c>
      <c r="K817" s="2" t="s">
        <v>77</v>
      </c>
      <c r="L817" s="2" t="s">
        <v>125</v>
      </c>
      <c r="M817" s="2" t="s">
        <v>126</v>
      </c>
      <c r="N817" s="2" t="s">
        <v>1327</v>
      </c>
      <c r="O817" s="2" t="s">
        <v>101</v>
      </c>
      <c r="P817" s="2" t="str">
        <f>"2170605910                    "</f>
        <v xml:space="preserve">2170605910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5.65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1</v>
      </c>
      <c r="BJ817" s="2">
        <v>0.2</v>
      </c>
      <c r="BK817" s="2">
        <v>1</v>
      </c>
      <c r="BL817" s="2">
        <v>45.15</v>
      </c>
      <c r="BM817" s="2">
        <v>6.32</v>
      </c>
      <c r="BN817" s="2">
        <v>51.47</v>
      </c>
      <c r="BO817" s="2">
        <v>51.47</v>
      </c>
      <c r="BR817" s="2" t="s">
        <v>103</v>
      </c>
      <c r="BS817" s="3">
        <v>43075</v>
      </c>
      <c r="BT817" s="4">
        <v>0.4375</v>
      </c>
      <c r="BU817" s="2" t="s">
        <v>1328</v>
      </c>
      <c r="BV817" s="2" t="s">
        <v>85</v>
      </c>
      <c r="BY817" s="2">
        <v>1200</v>
      </c>
      <c r="CA817" s="2" t="s">
        <v>1329</v>
      </c>
      <c r="CC817" s="2" t="s">
        <v>126</v>
      </c>
      <c r="CD817" s="2">
        <v>3630</v>
      </c>
      <c r="CE817" s="2" t="s">
        <v>120</v>
      </c>
      <c r="CF817" s="3">
        <v>43076</v>
      </c>
      <c r="CI817" s="2">
        <v>1</v>
      </c>
      <c r="CJ817" s="2">
        <v>1</v>
      </c>
      <c r="CK817" s="2">
        <v>21</v>
      </c>
      <c r="CL817" s="2" t="s">
        <v>89</v>
      </c>
    </row>
    <row r="818" spans="1:90">
      <c r="A818" s="2" t="s">
        <v>71</v>
      </c>
      <c r="B818" s="2" t="s">
        <v>72</v>
      </c>
      <c r="C818" s="2" t="s">
        <v>73</v>
      </c>
      <c r="E818" s="2" t="str">
        <f>"FES1162594059"</f>
        <v>FES1162594059</v>
      </c>
      <c r="F818" s="3">
        <v>43074</v>
      </c>
      <c r="G818" s="2">
        <v>201806</v>
      </c>
      <c r="H818" s="2" t="s">
        <v>74</v>
      </c>
      <c r="I818" s="2" t="s">
        <v>75</v>
      </c>
      <c r="J818" s="2" t="s">
        <v>97</v>
      </c>
      <c r="K818" s="2" t="s">
        <v>77</v>
      </c>
      <c r="L818" s="2" t="s">
        <v>158</v>
      </c>
      <c r="M818" s="2" t="s">
        <v>159</v>
      </c>
      <c r="N818" s="2" t="s">
        <v>1320</v>
      </c>
      <c r="O818" s="2" t="s">
        <v>101</v>
      </c>
      <c r="P818" s="2" t="str">
        <f>"2170606035                    "</f>
        <v xml:space="preserve">2170606035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5.65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2</v>
      </c>
      <c r="BJ818" s="2">
        <v>0.8</v>
      </c>
      <c r="BK818" s="2">
        <v>2</v>
      </c>
      <c r="BL818" s="2">
        <v>45.15</v>
      </c>
      <c r="BM818" s="2">
        <v>6.32</v>
      </c>
      <c r="BN818" s="2">
        <v>51.47</v>
      </c>
      <c r="BO818" s="2">
        <v>51.47</v>
      </c>
      <c r="BQ818" s="2" t="s">
        <v>102</v>
      </c>
      <c r="BR818" s="2" t="s">
        <v>103</v>
      </c>
      <c r="BS818" s="3">
        <v>43075</v>
      </c>
      <c r="BT818" s="4">
        <v>0.38194444444444442</v>
      </c>
      <c r="BU818" s="2" t="s">
        <v>1330</v>
      </c>
      <c r="BV818" s="2" t="s">
        <v>85</v>
      </c>
      <c r="BY818" s="2">
        <v>4096</v>
      </c>
      <c r="CC818" s="2" t="s">
        <v>159</v>
      </c>
      <c r="CD818" s="2">
        <v>117</v>
      </c>
      <c r="CE818" s="2" t="s">
        <v>356</v>
      </c>
      <c r="CF818" s="3">
        <v>43077</v>
      </c>
      <c r="CI818" s="2">
        <v>1</v>
      </c>
      <c r="CJ818" s="2">
        <v>1</v>
      </c>
      <c r="CK818" s="2">
        <v>21</v>
      </c>
      <c r="CL818" s="2" t="s">
        <v>89</v>
      </c>
    </row>
    <row r="819" spans="1:90">
      <c r="A819" s="2" t="s">
        <v>71</v>
      </c>
      <c r="B819" s="2" t="s">
        <v>72</v>
      </c>
      <c r="C819" s="2" t="s">
        <v>73</v>
      </c>
      <c r="E819" s="2" t="str">
        <f>"FES1162594099"</f>
        <v>FES1162594099</v>
      </c>
      <c r="F819" s="3">
        <v>43074</v>
      </c>
      <c r="G819" s="2">
        <v>201806</v>
      </c>
      <c r="H819" s="2" t="s">
        <v>74</v>
      </c>
      <c r="I819" s="2" t="s">
        <v>75</v>
      </c>
      <c r="J819" s="2" t="s">
        <v>97</v>
      </c>
      <c r="K819" s="2" t="s">
        <v>77</v>
      </c>
      <c r="L819" s="2" t="s">
        <v>136</v>
      </c>
      <c r="M819" s="2" t="s">
        <v>137</v>
      </c>
      <c r="N819" s="2" t="s">
        <v>1331</v>
      </c>
      <c r="O819" s="2" t="s">
        <v>101</v>
      </c>
      <c r="P819" s="2" t="str">
        <f>"21706060612                   "</f>
        <v xml:space="preserve">21706060612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5.65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1</v>
      </c>
      <c r="BJ819" s="2">
        <v>0.2</v>
      </c>
      <c r="BK819" s="2">
        <v>1</v>
      </c>
      <c r="BL819" s="2">
        <v>45.15</v>
      </c>
      <c r="BM819" s="2">
        <v>6.32</v>
      </c>
      <c r="BN819" s="2">
        <v>51.47</v>
      </c>
      <c r="BO819" s="2">
        <v>51.47</v>
      </c>
      <c r="BQ819" s="2" t="s">
        <v>265</v>
      </c>
      <c r="BR819" s="2" t="s">
        <v>103</v>
      </c>
      <c r="BS819" s="3">
        <v>43075</v>
      </c>
      <c r="BT819" s="4">
        <v>0.4909722222222222</v>
      </c>
      <c r="BU819" s="2" t="s">
        <v>1332</v>
      </c>
      <c r="BV819" s="2" t="s">
        <v>89</v>
      </c>
      <c r="BW819" s="2" t="s">
        <v>1333</v>
      </c>
      <c r="BX819" s="2" t="s">
        <v>1334</v>
      </c>
      <c r="BY819" s="2">
        <v>1200</v>
      </c>
      <c r="CA819" s="2" t="s">
        <v>1335</v>
      </c>
      <c r="CC819" s="2" t="s">
        <v>137</v>
      </c>
      <c r="CD819" s="2">
        <v>6001</v>
      </c>
      <c r="CE819" s="2" t="s">
        <v>120</v>
      </c>
      <c r="CF819" s="3">
        <v>43077</v>
      </c>
      <c r="CI819" s="2">
        <v>1</v>
      </c>
      <c r="CJ819" s="2">
        <v>1</v>
      </c>
      <c r="CK819" s="2">
        <v>21</v>
      </c>
      <c r="CL819" s="2" t="s">
        <v>89</v>
      </c>
    </row>
    <row r="820" spans="1:90">
      <c r="A820" s="2" t="s">
        <v>71</v>
      </c>
      <c r="B820" s="2" t="s">
        <v>72</v>
      </c>
      <c r="C820" s="2" t="s">
        <v>73</v>
      </c>
      <c r="E820" s="2" t="str">
        <f>"FES1162594095"</f>
        <v>FES1162594095</v>
      </c>
      <c r="F820" s="3">
        <v>43074</v>
      </c>
      <c r="G820" s="2">
        <v>201806</v>
      </c>
      <c r="H820" s="2" t="s">
        <v>74</v>
      </c>
      <c r="I820" s="2" t="s">
        <v>75</v>
      </c>
      <c r="J820" s="2" t="s">
        <v>97</v>
      </c>
      <c r="K820" s="2" t="s">
        <v>77</v>
      </c>
      <c r="L820" s="2" t="s">
        <v>136</v>
      </c>
      <c r="M820" s="2" t="s">
        <v>137</v>
      </c>
      <c r="N820" s="2" t="s">
        <v>1331</v>
      </c>
      <c r="O820" s="2" t="s">
        <v>101</v>
      </c>
      <c r="P820" s="2" t="str">
        <f>"2170606115                    "</f>
        <v xml:space="preserve">2170606115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5.65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1</v>
      </c>
      <c r="BJ820" s="2">
        <v>0.2</v>
      </c>
      <c r="BK820" s="2">
        <v>1</v>
      </c>
      <c r="BL820" s="2">
        <v>45.15</v>
      </c>
      <c r="BM820" s="2">
        <v>6.32</v>
      </c>
      <c r="BN820" s="2">
        <v>51.47</v>
      </c>
      <c r="BO820" s="2">
        <v>51.47</v>
      </c>
      <c r="BQ820" s="2" t="s">
        <v>265</v>
      </c>
      <c r="BR820" s="2" t="s">
        <v>103</v>
      </c>
      <c r="BS820" s="3">
        <v>43075</v>
      </c>
      <c r="BT820" s="4">
        <v>0.4909722222222222</v>
      </c>
      <c r="BU820" s="2" t="s">
        <v>1336</v>
      </c>
      <c r="BV820" s="2" t="s">
        <v>89</v>
      </c>
      <c r="BW820" s="2" t="s">
        <v>1333</v>
      </c>
      <c r="BX820" s="2" t="s">
        <v>1334</v>
      </c>
      <c r="BY820" s="2">
        <v>1200</v>
      </c>
      <c r="CA820" s="2" t="s">
        <v>1335</v>
      </c>
      <c r="CC820" s="2" t="s">
        <v>137</v>
      </c>
      <c r="CD820" s="2">
        <v>6001</v>
      </c>
      <c r="CE820" s="2" t="s">
        <v>120</v>
      </c>
      <c r="CF820" s="3">
        <v>43077</v>
      </c>
      <c r="CI820" s="2">
        <v>1</v>
      </c>
      <c r="CJ820" s="2">
        <v>1</v>
      </c>
      <c r="CK820" s="2">
        <v>21</v>
      </c>
      <c r="CL820" s="2" t="s">
        <v>89</v>
      </c>
    </row>
    <row r="821" spans="1:90">
      <c r="A821" s="2" t="s">
        <v>71</v>
      </c>
      <c r="B821" s="2" t="s">
        <v>72</v>
      </c>
      <c r="C821" s="2" t="s">
        <v>73</v>
      </c>
      <c r="E821" s="2" t="str">
        <f>"FES1162594033"</f>
        <v>FES1162594033</v>
      </c>
      <c r="F821" s="3">
        <v>43074</v>
      </c>
      <c r="G821" s="2">
        <v>201806</v>
      </c>
      <c r="H821" s="2" t="s">
        <v>74</v>
      </c>
      <c r="I821" s="2" t="s">
        <v>75</v>
      </c>
      <c r="J821" s="2" t="s">
        <v>97</v>
      </c>
      <c r="K821" s="2" t="s">
        <v>77</v>
      </c>
      <c r="L821" s="2" t="s">
        <v>238</v>
      </c>
      <c r="M821" s="2" t="s">
        <v>239</v>
      </c>
      <c r="N821" s="2" t="s">
        <v>240</v>
      </c>
      <c r="O821" s="2" t="s">
        <v>101</v>
      </c>
      <c r="P821" s="2" t="str">
        <f>"2170606036                    "</f>
        <v xml:space="preserve">2170606036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7.94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63.49</v>
      </c>
      <c r="BM821" s="2">
        <v>8.89</v>
      </c>
      <c r="BN821" s="2">
        <v>72.38</v>
      </c>
      <c r="BO821" s="2">
        <v>72.38</v>
      </c>
      <c r="BQ821" s="2" t="s">
        <v>1337</v>
      </c>
      <c r="BR821" s="2" t="s">
        <v>103</v>
      </c>
      <c r="BS821" s="3">
        <v>43075</v>
      </c>
      <c r="BT821" s="4">
        <v>0.3659722222222222</v>
      </c>
      <c r="BU821" s="2" t="s">
        <v>1338</v>
      </c>
      <c r="BV821" s="2" t="s">
        <v>85</v>
      </c>
      <c r="BY821" s="2">
        <v>1200</v>
      </c>
      <c r="CA821" s="2" t="s">
        <v>1339</v>
      </c>
      <c r="CC821" s="2" t="s">
        <v>239</v>
      </c>
      <c r="CD821" s="2">
        <v>299</v>
      </c>
      <c r="CE821" s="2" t="s">
        <v>120</v>
      </c>
      <c r="CF821" s="3">
        <v>43077</v>
      </c>
      <c r="CI821" s="2">
        <v>1</v>
      </c>
      <c r="CJ821" s="2">
        <v>1</v>
      </c>
      <c r="CK821" s="2">
        <v>24</v>
      </c>
      <c r="CL821" s="2" t="s">
        <v>89</v>
      </c>
    </row>
    <row r="822" spans="1:90">
      <c r="A822" s="2" t="s">
        <v>71</v>
      </c>
      <c r="B822" s="2" t="s">
        <v>72</v>
      </c>
      <c r="C822" s="2" t="s">
        <v>73</v>
      </c>
      <c r="E822" s="2" t="str">
        <f>"FES1162593862"</f>
        <v>FES1162593862</v>
      </c>
      <c r="F822" s="3">
        <v>43074</v>
      </c>
      <c r="G822" s="2">
        <v>201806</v>
      </c>
      <c r="H822" s="2" t="s">
        <v>74</v>
      </c>
      <c r="I822" s="2" t="s">
        <v>75</v>
      </c>
      <c r="J822" s="2" t="s">
        <v>97</v>
      </c>
      <c r="K822" s="2" t="s">
        <v>77</v>
      </c>
      <c r="L822" s="2" t="s">
        <v>759</v>
      </c>
      <c r="M822" s="2" t="s">
        <v>760</v>
      </c>
      <c r="N822" s="2" t="s">
        <v>761</v>
      </c>
      <c r="O822" s="2" t="s">
        <v>101</v>
      </c>
      <c r="P822" s="2" t="str">
        <f>"2170605497                    "</f>
        <v xml:space="preserve">2170605497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5.65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</v>
      </c>
      <c r="BJ822" s="2">
        <v>0.2</v>
      </c>
      <c r="BK822" s="2">
        <v>1</v>
      </c>
      <c r="BL822" s="2">
        <v>45.15</v>
      </c>
      <c r="BM822" s="2">
        <v>6.32</v>
      </c>
      <c r="BN822" s="2">
        <v>51.47</v>
      </c>
      <c r="BO822" s="2">
        <v>51.47</v>
      </c>
      <c r="BQ822" s="2" t="s">
        <v>82</v>
      </c>
      <c r="BR822" s="2" t="s">
        <v>103</v>
      </c>
      <c r="BS822" s="3">
        <v>43075</v>
      </c>
      <c r="BT822" s="4">
        <v>0.3527777777777778</v>
      </c>
      <c r="BU822" s="2" t="s">
        <v>1284</v>
      </c>
      <c r="BV822" s="2" t="s">
        <v>85</v>
      </c>
      <c r="BY822" s="2">
        <v>1200</v>
      </c>
      <c r="CA822" s="2" t="s">
        <v>578</v>
      </c>
      <c r="CC822" s="2" t="s">
        <v>760</v>
      </c>
      <c r="CD822" s="2">
        <v>4026</v>
      </c>
      <c r="CE822" s="2" t="s">
        <v>120</v>
      </c>
      <c r="CF822" s="3">
        <v>43076</v>
      </c>
      <c r="CI822" s="2">
        <v>1</v>
      </c>
      <c r="CJ822" s="2">
        <v>1</v>
      </c>
      <c r="CK822" s="2">
        <v>21</v>
      </c>
      <c r="CL822" s="2" t="s">
        <v>89</v>
      </c>
    </row>
    <row r="823" spans="1:90">
      <c r="A823" s="2" t="s">
        <v>71</v>
      </c>
      <c r="B823" s="2" t="s">
        <v>72</v>
      </c>
      <c r="C823" s="2" t="s">
        <v>73</v>
      </c>
      <c r="E823" s="2" t="str">
        <f>"FES1162594046"</f>
        <v>FES1162594046</v>
      </c>
      <c r="F823" s="3">
        <v>43074</v>
      </c>
      <c r="G823" s="2">
        <v>201806</v>
      </c>
      <c r="H823" s="2" t="s">
        <v>74</v>
      </c>
      <c r="I823" s="2" t="s">
        <v>75</v>
      </c>
      <c r="J823" s="2" t="s">
        <v>97</v>
      </c>
      <c r="K823" s="2" t="s">
        <v>77</v>
      </c>
      <c r="L823" s="2" t="s">
        <v>115</v>
      </c>
      <c r="M823" s="2" t="s">
        <v>116</v>
      </c>
      <c r="N823" s="2" t="s">
        <v>283</v>
      </c>
      <c r="O823" s="2" t="s">
        <v>101</v>
      </c>
      <c r="P823" s="2" t="str">
        <f>"2170604688                    "</f>
        <v xml:space="preserve">2170604688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4.41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</v>
      </c>
      <c r="BJ823" s="2">
        <v>0.2</v>
      </c>
      <c r="BK823" s="2">
        <v>1</v>
      </c>
      <c r="BL823" s="2">
        <v>35.270000000000003</v>
      </c>
      <c r="BM823" s="2">
        <v>4.9400000000000004</v>
      </c>
      <c r="BN823" s="2">
        <v>40.21</v>
      </c>
      <c r="BO823" s="2">
        <v>40.21</v>
      </c>
      <c r="BQ823" s="2" t="s">
        <v>102</v>
      </c>
      <c r="BR823" s="2" t="s">
        <v>103</v>
      </c>
      <c r="BS823" s="3">
        <v>43075</v>
      </c>
      <c r="BT823" s="4">
        <v>0.41666666666666669</v>
      </c>
      <c r="BU823" s="2" t="s">
        <v>205</v>
      </c>
      <c r="BV823" s="2" t="s">
        <v>85</v>
      </c>
      <c r="BY823" s="2">
        <v>1200</v>
      </c>
      <c r="CC823" s="2" t="s">
        <v>116</v>
      </c>
      <c r="CD823" s="2">
        <v>1459</v>
      </c>
      <c r="CE823" s="2" t="s">
        <v>120</v>
      </c>
      <c r="CF823" s="3">
        <v>43081</v>
      </c>
      <c r="CI823" s="2">
        <v>1</v>
      </c>
      <c r="CJ823" s="2">
        <v>1</v>
      </c>
      <c r="CK823" s="2">
        <v>22</v>
      </c>
      <c r="CL823" s="2" t="s">
        <v>89</v>
      </c>
    </row>
    <row r="824" spans="1:90">
      <c r="A824" s="2" t="s">
        <v>71</v>
      </c>
      <c r="B824" s="2" t="s">
        <v>72</v>
      </c>
      <c r="C824" s="2" t="s">
        <v>73</v>
      </c>
      <c r="E824" s="2" t="str">
        <f>"FES1162594049"</f>
        <v>FES1162594049</v>
      </c>
      <c r="F824" s="3">
        <v>43074</v>
      </c>
      <c r="G824" s="2">
        <v>201806</v>
      </c>
      <c r="H824" s="2" t="s">
        <v>74</v>
      </c>
      <c r="I824" s="2" t="s">
        <v>75</v>
      </c>
      <c r="J824" s="2" t="s">
        <v>97</v>
      </c>
      <c r="K824" s="2" t="s">
        <v>77</v>
      </c>
      <c r="L824" s="2" t="s">
        <v>106</v>
      </c>
      <c r="M824" s="2" t="s">
        <v>107</v>
      </c>
      <c r="N824" s="2" t="s">
        <v>108</v>
      </c>
      <c r="O824" s="2" t="s">
        <v>101</v>
      </c>
      <c r="P824" s="2" t="str">
        <f>"2170606055                    "</f>
        <v xml:space="preserve">2170606055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4.41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2</v>
      </c>
      <c r="BI824" s="2">
        <v>4</v>
      </c>
      <c r="BJ824" s="2">
        <v>0.8</v>
      </c>
      <c r="BK824" s="2">
        <v>4</v>
      </c>
      <c r="BL824" s="2">
        <v>35.270000000000003</v>
      </c>
      <c r="BM824" s="2">
        <v>4.9400000000000004</v>
      </c>
      <c r="BN824" s="2">
        <v>40.21</v>
      </c>
      <c r="BO824" s="2">
        <v>40.21</v>
      </c>
      <c r="BQ824" s="2" t="s">
        <v>82</v>
      </c>
      <c r="BR824" s="2" t="s">
        <v>103</v>
      </c>
      <c r="BS824" s="3">
        <v>43075</v>
      </c>
      <c r="BT824" s="4">
        <v>0.4069444444444445</v>
      </c>
      <c r="BU824" s="2" t="s">
        <v>1227</v>
      </c>
      <c r="BV824" s="2" t="s">
        <v>85</v>
      </c>
      <c r="BY824" s="2">
        <v>3930</v>
      </c>
      <c r="CA824" s="2" t="s">
        <v>110</v>
      </c>
      <c r="CC824" s="2" t="s">
        <v>107</v>
      </c>
      <c r="CD824" s="2">
        <v>2094</v>
      </c>
      <c r="CE824" s="2" t="s">
        <v>1340</v>
      </c>
      <c r="CF824" s="3">
        <v>43077</v>
      </c>
      <c r="CI824" s="2">
        <v>1</v>
      </c>
      <c r="CJ824" s="2">
        <v>1</v>
      </c>
      <c r="CK824" s="2">
        <v>22</v>
      </c>
      <c r="CL824" s="2" t="s">
        <v>89</v>
      </c>
    </row>
    <row r="825" spans="1:90">
      <c r="A825" s="2" t="s">
        <v>71</v>
      </c>
      <c r="B825" s="2" t="s">
        <v>72</v>
      </c>
      <c r="C825" s="2" t="s">
        <v>73</v>
      </c>
      <c r="E825" s="2" t="str">
        <f>"FES1162594088"</f>
        <v>FES1162594088</v>
      </c>
      <c r="F825" s="3">
        <v>43074</v>
      </c>
      <c r="G825" s="2">
        <v>201806</v>
      </c>
      <c r="H825" s="2" t="s">
        <v>74</v>
      </c>
      <c r="I825" s="2" t="s">
        <v>75</v>
      </c>
      <c r="J825" s="2" t="s">
        <v>97</v>
      </c>
      <c r="K825" s="2" t="s">
        <v>77</v>
      </c>
      <c r="L825" s="2" t="s">
        <v>115</v>
      </c>
      <c r="M825" s="2" t="s">
        <v>116</v>
      </c>
      <c r="N825" s="2" t="s">
        <v>1341</v>
      </c>
      <c r="O825" s="2" t="s">
        <v>101</v>
      </c>
      <c r="P825" s="2" t="str">
        <f>"2170606015                    "</f>
        <v xml:space="preserve">2170606015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4.41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35.270000000000003</v>
      </c>
      <c r="BM825" s="2">
        <v>4.9400000000000004</v>
      </c>
      <c r="BN825" s="2">
        <v>40.21</v>
      </c>
      <c r="BO825" s="2">
        <v>40.21</v>
      </c>
      <c r="BQ825" s="2" t="s">
        <v>1342</v>
      </c>
      <c r="BR825" s="2" t="s">
        <v>103</v>
      </c>
      <c r="BS825" s="3">
        <v>43075</v>
      </c>
      <c r="BT825" s="4">
        <v>0.41041666666666665</v>
      </c>
      <c r="BU825" s="2" t="s">
        <v>1343</v>
      </c>
      <c r="BV825" s="2" t="s">
        <v>85</v>
      </c>
      <c r="BY825" s="2">
        <v>1200</v>
      </c>
      <c r="CA825" s="2" t="s">
        <v>293</v>
      </c>
      <c r="CC825" s="2" t="s">
        <v>116</v>
      </c>
      <c r="CD825" s="2">
        <v>1460</v>
      </c>
      <c r="CE825" s="2" t="s">
        <v>120</v>
      </c>
      <c r="CF825" s="3">
        <v>43077</v>
      </c>
      <c r="CI825" s="2">
        <v>1</v>
      </c>
      <c r="CJ825" s="2">
        <v>1</v>
      </c>
      <c r="CK825" s="2">
        <v>22</v>
      </c>
      <c r="CL825" s="2" t="s">
        <v>89</v>
      </c>
    </row>
    <row r="826" spans="1:90">
      <c r="A826" s="2" t="s">
        <v>71</v>
      </c>
      <c r="B826" s="2" t="s">
        <v>72</v>
      </c>
      <c r="C826" s="2" t="s">
        <v>73</v>
      </c>
      <c r="E826" s="2" t="str">
        <f>"FES1162594098"</f>
        <v>FES1162594098</v>
      </c>
      <c r="F826" s="3">
        <v>43074</v>
      </c>
      <c r="G826" s="2">
        <v>201806</v>
      </c>
      <c r="H826" s="2" t="s">
        <v>74</v>
      </c>
      <c r="I826" s="2" t="s">
        <v>75</v>
      </c>
      <c r="J826" s="2" t="s">
        <v>97</v>
      </c>
      <c r="K826" s="2" t="s">
        <v>77</v>
      </c>
      <c r="L826" s="2" t="s">
        <v>173</v>
      </c>
      <c r="M826" s="2" t="s">
        <v>174</v>
      </c>
      <c r="N826" s="2" t="s">
        <v>1344</v>
      </c>
      <c r="O826" s="2" t="s">
        <v>101</v>
      </c>
      <c r="P826" s="2" t="str">
        <f>"2170606119                    "</f>
        <v xml:space="preserve">2170606119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5.65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1</v>
      </c>
      <c r="BJ826" s="2">
        <v>0.2</v>
      </c>
      <c r="BK826" s="2">
        <v>1</v>
      </c>
      <c r="BL826" s="2">
        <v>45.15</v>
      </c>
      <c r="BM826" s="2">
        <v>6.32</v>
      </c>
      <c r="BN826" s="2">
        <v>51.47</v>
      </c>
      <c r="BO826" s="2">
        <v>51.47</v>
      </c>
      <c r="BQ826" s="2" t="s">
        <v>82</v>
      </c>
      <c r="BR826" s="2" t="s">
        <v>103</v>
      </c>
      <c r="BS826" s="3">
        <v>43075</v>
      </c>
      <c r="BT826" s="4">
        <v>0.41666666666666669</v>
      </c>
      <c r="BU826" s="2" t="s">
        <v>1345</v>
      </c>
      <c r="BV826" s="2" t="s">
        <v>85</v>
      </c>
      <c r="BY826" s="2">
        <v>1200</v>
      </c>
      <c r="CC826" s="2" t="s">
        <v>174</v>
      </c>
      <c r="CD826" s="2">
        <v>7975</v>
      </c>
      <c r="CE826" s="2" t="s">
        <v>120</v>
      </c>
      <c r="CF826" s="3">
        <v>43076</v>
      </c>
      <c r="CI826" s="2">
        <v>1</v>
      </c>
      <c r="CJ826" s="2">
        <v>1</v>
      </c>
      <c r="CK826" s="2">
        <v>21</v>
      </c>
      <c r="CL826" s="2" t="s">
        <v>89</v>
      </c>
    </row>
    <row r="827" spans="1:90">
      <c r="A827" s="2" t="s">
        <v>71</v>
      </c>
      <c r="B827" s="2" t="s">
        <v>72</v>
      </c>
      <c r="C827" s="2" t="s">
        <v>73</v>
      </c>
      <c r="E827" s="2" t="str">
        <f>"FES1162594100"</f>
        <v>FES1162594100</v>
      </c>
      <c r="F827" s="3">
        <v>43074</v>
      </c>
      <c r="G827" s="2">
        <v>201806</v>
      </c>
      <c r="H827" s="2" t="s">
        <v>74</v>
      </c>
      <c r="I827" s="2" t="s">
        <v>75</v>
      </c>
      <c r="J827" s="2" t="s">
        <v>97</v>
      </c>
      <c r="K827" s="2" t="s">
        <v>77</v>
      </c>
      <c r="L827" s="2" t="s">
        <v>136</v>
      </c>
      <c r="M827" s="2" t="s">
        <v>137</v>
      </c>
      <c r="N827" s="2" t="s">
        <v>660</v>
      </c>
      <c r="O827" s="2" t="s">
        <v>101</v>
      </c>
      <c r="P827" s="2" t="str">
        <f>"2170606123                    "</f>
        <v xml:space="preserve">2170606123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12.71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3.5</v>
      </c>
      <c r="BJ827" s="2">
        <v>4.0999999999999996</v>
      </c>
      <c r="BK827" s="2">
        <v>4.5</v>
      </c>
      <c r="BL827" s="2">
        <v>101.56</v>
      </c>
      <c r="BM827" s="2">
        <v>14.22</v>
      </c>
      <c r="BN827" s="2">
        <v>115.78</v>
      </c>
      <c r="BO827" s="2">
        <v>115.78</v>
      </c>
      <c r="BQ827" s="2" t="s">
        <v>1346</v>
      </c>
      <c r="BR827" s="2" t="s">
        <v>103</v>
      </c>
      <c r="BS827" s="3">
        <v>43075</v>
      </c>
      <c r="BT827" s="4">
        <v>0.3666666666666667</v>
      </c>
      <c r="BU827" s="2" t="s">
        <v>1347</v>
      </c>
      <c r="BV827" s="2" t="s">
        <v>85</v>
      </c>
      <c r="BY827" s="2">
        <v>20511.150000000001</v>
      </c>
      <c r="CC827" s="2" t="s">
        <v>137</v>
      </c>
      <c r="CD827" s="2">
        <v>6001</v>
      </c>
      <c r="CE827" s="2" t="s">
        <v>95</v>
      </c>
      <c r="CF827" s="3">
        <v>43077</v>
      </c>
      <c r="CI827" s="2">
        <v>1</v>
      </c>
      <c r="CJ827" s="2">
        <v>1</v>
      </c>
      <c r="CK827" s="2">
        <v>21</v>
      </c>
      <c r="CL827" s="2" t="s">
        <v>89</v>
      </c>
    </row>
    <row r="828" spans="1:90">
      <c r="A828" s="2" t="s">
        <v>71</v>
      </c>
      <c r="B828" s="2" t="s">
        <v>72</v>
      </c>
      <c r="C828" s="2" t="s">
        <v>73</v>
      </c>
      <c r="E828" s="2" t="str">
        <f>"FES1162593385"</f>
        <v>FES1162593385</v>
      </c>
      <c r="F828" s="3">
        <v>43074</v>
      </c>
      <c r="G828" s="2">
        <v>201806</v>
      </c>
      <c r="H828" s="2" t="s">
        <v>74</v>
      </c>
      <c r="I828" s="2" t="s">
        <v>75</v>
      </c>
      <c r="J828" s="2" t="s">
        <v>97</v>
      </c>
      <c r="K828" s="2" t="s">
        <v>77</v>
      </c>
      <c r="L828" s="2" t="s">
        <v>168</v>
      </c>
      <c r="M828" s="2" t="s">
        <v>169</v>
      </c>
      <c r="N828" s="2" t="s">
        <v>170</v>
      </c>
      <c r="O828" s="2" t="s">
        <v>101</v>
      </c>
      <c r="P828" s="2" t="str">
        <f>"2170602983                    "</f>
        <v xml:space="preserve">2170602983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5.65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</v>
      </c>
      <c r="BJ828" s="2">
        <v>0.2</v>
      </c>
      <c r="BK828" s="2">
        <v>1</v>
      </c>
      <c r="BL828" s="2">
        <v>45.15</v>
      </c>
      <c r="BM828" s="2">
        <v>6.32</v>
      </c>
      <c r="BN828" s="2">
        <v>51.47</v>
      </c>
      <c r="BO828" s="2">
        <v>51.47</v>
      </c>
      <c r="BQ828" s="2" t="s">
        <v>128</v>
      </c>
      <c r="BR828" s="2" t="s">
        <v>103</v>
      </c>
      <c r="BS828" s="3">
        <v>43075</v>
      </c>
      <c r="BT828" s="4">
        <v>0.3888888888888889</v>
      </c>
      <c r="BU828" s="2" t="s">
        <v>546</v>
      </c>
      <c r="BV828" s="2" t="s">
        <v>85</v>
      </c>
      <c r="BY828" s="2">
        <v>1200</v>
      </c>
      <c r="CA828" s="2" t="s">
        <v>172</v>
      </c>
      <c r="CC828" s="2" t="s">
        <v>169</v>
      </c>
      <c r="CD828" s="2">
        <v>3610</v>
      </c>
      <c r="CE828" s="2" t="s">
        <v>120</v>
      </c>
      <c r="CF828" s="3">
        <v>43076</v>
      </c>
      <c r="CI828" s="2">
        <v>1</v>
      </c>
      <c r="CJ828" s="2">
        <v>1</v>
      </c>
      <c r="CK828" s="2">
        <v>21</v>
      </c>
      <c r="CL828" s="2" t="s">
        <v>89</v>
      </c>
    </row>
    <row r="829" spans="1:90">
      <c r="A829" s="2" t="s">
        <v>71</v>
      </c>
      <c r="B829" s="2" t="s">
        <v>72</v>
      </c>
      <c r="C829" s="2" t="s">
        <v>73</v>
      </c>
      <c r="E829" s="2" t="str">
        <f>"FES1162594103"</f>
        <v>FES1162594103</v>
      </c>
      <c r="F829" s="3">
        <v>43074</v>
      </c>
      <c r="G829" s="2">
        <v>201806</v>
      </c>
      <c r="H829" s="2" t="s">
        <v>74</v>
      </c>
      <c r="I829" s="2" t="s">
        <v>75</v>
      </c>
      <c r="J829" s="2" t="s">
        <v>97</v>
      </c>
      <c r="K829" s="2" t="s">
        <v>77</v>
      </c>
      <c r="L829" s="2" t="s">
        <v>682</v>
      </c>
      <c r="M829" s="2" t="s">
        <v>683</v>
      </c>
      <c r="N829" s="2" t="s">
        <v>684</v>
      </c>
      <c r="O829" s="2" t="s">
        <v>101</v>
      </c>
      <c r="P829" s="2" t="str">
        <f>"2170606129                    "</f>
        <v xml:space="preserve">2170606129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10.94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1</v>
      </c>
      <c r="BJ829" s="2">
        <v>0.2</v>
      </c>
      <c r="BK829" s="2">
        <v>1</v>
      </c>
      <c r="BL829" s="2">
        <v>87.47</v>
      </c>
      <c r="BM829" s="2">
        <v>12.25</v>
      </c>
      <c r="BN829" s="2">
        <v>99.72</v>
      </c>
      <c r="BO829" s="2">
        <v>99.72</v>
      </c>
      <c r="BQ829" s="2" t="s">
        <v>685</v>
      </c>
      <c r="BR829" s="2" t="s">
        <v>103</v>
      </c>
      <c r="BS829" s="3">
        <v>43075</v>
      </c>
      <c r="BT829" s="4">
        <v>0</v>
      </c>
      <c r="BU829" s="2" t="s">
        <v>597</v>
      </c>
      <c r="BV829" s="2" t="s">
        <v>85</v>
      </c>
      <c r="BY829" s="2">
        <v>1200</v>
      </c>
      <c r="CC829" s="2" t="s">
        <v>683</v>
      </c>
      <c r="CD829" s="2">
        <v>6300</v>
      </c>
      <c r="CE829" s="2" t="s">
        <v>120</v>
      </c>
      <c r="CF829" s="3">
        <v>43087</v>
      </c>
      <c r="CI829" s="2">
        <v>3</v>
      </c>
      <c r="CJ829" s="2">
        <v>1</v>
      </c>
      <c r="CK829" s="2">
        <v>23</v>
      </c>
      <c r="CL829" s="2" t="s">
        <v>89</v>
      </c>
    </row>
    <row r="830" spans="1:90">
      <c r="A830" s="2" t="s">
        <v>71</v>
      </c>
      <c r="B830" s="2" t="s">
        <v>72</v>
      </c>
      <c r="C830" s="2" t="s">
        <v>73</v>
      </c>
      <c r="E830" s="2" t="str">
        <f>"FES1162594089"</f>
        <v>FES1162594089</v>
      </c>
      <c r="F830" s="3">
        <v>43074</v>
      </c>
      <c r="G830" s="2">
        <v>201806</v>
      </c>
      <c r="H830" s="2" t="s">
        <v>74</v>
      </c>
      <c r="I830" s="2" t="s">
        <v>75</v>
      </c>
      <c r="J830" s="2" t="s">
        <v>97</v>
      </c>
      <c r="K830" s="2" t="s">
        <v>77</v>
      </c>
      <c r="L830" s="2" t="s">
        <v>173</v>
      </c>
      <c r="M830" s="2" t="s">
        <v>174</v>
      </c>
      <c r="N830" s="2" t="s">
        <v>175</v>
      </c>
      <c r="O830" s="2" t="s">
        <v>101</v>
      </c>
      <c r="P830" s="2" t="str">
        <f>"2170606107                    "</f>
        <v xml:space="preserve">2170606107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5.65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1</v>
      </c>
      <c r="BJ830" s="2">
        <v>0.2</v>
      </c>
      <c r="BK830" s="2">
        <v>1</v>
      </c>
      <c r="BL830" s="2">
        <v>45.15</v>
      </c>
      <c r="BM830" s="2">
        <v>6.32</v>
      </c>
      <c r="BN830" s="2">
        <v>51.47</v>
      </c>
      <c r="BO830" s="2">
        <v>51.47</v>
      </c>
      <c r="BQ830" s="2" t="s">
        <v>102</v>
      </c>
      <c r="BR830" s="2" t="s">
        <v>103</v>
      </c>
      <c r="BS830" s="3">
        <v>43075</v>
      </c>
      <c r="BT830" s="4">
        <v>0.69097222222222221</v>
      </c>
      <c r="BU830" s="2" t="s">
        <v>1248</v>
      </c>
      <c r="BV830" s="2" t="s">
        <v>89</v>
      </c>
      <c r="BW830" s="2" t="s">
        <v>149</v>
      </c>
      <c r="BX830" s="2" t="s">
        <v>368</v>
      </c>
      <c r="BY830" s="2">
        <v>1200</v>
      </c>
      <c r="CA830" s="2" t="s">
        <v>1221</v>
      </c>
      <c r="CC830" s="2" t="s">
        <v>174</v>
      </c>
      <c r="CD830" s="2">
        <v>7405</v>
      </c>
      <c r="CE830" s="2" t="s">
        <v>120</v>
      </c>
      <c r="CF830" s="3">
        <v>43076</v>
      </c>
      <c r="CI830" s="2">
        <v>1</v>
      </c>
      <c r="CJ830" s="2">
        <v>1</v>
      </c>
      <c r="CK830" s="2">
        <v>21</v>
      </c>
      <c r="CL830" s="2" t="s">
        <v>89</v>
      </c>
    </row>
    <row r="831" spans="1:90">
      <c r="A831" s="2" t="s">
        <v>71</v>
      </c>
      <c r="B831" s="2" t="s">
        <v>72</v>
      </c>
      <c r="C831" s="2" t="s">
        <v>73</v>
      </c>
      <c r="E831" s="2" t="str">
        <f>"FES1162594102"</f>
        <v>FES1162594102</v>
      </c>
      <c r="F831" s="3">
        <v>43074</v>
      </c>
      <c r="G831" s="2">
        <v>201806</v>
      </c>
      <c r="H831" s="2" t="s">
        <v>74</v>
      </c>
      <c r="I831" s="2" t="s">
        <v>75</v>
      </c>
      <c r="J831" s="2" t="s">
        <v>97</v>
      </c>
      <c r="K831" s="2" t="s">
        <v>77</v>
      </c>
      <c r="L831" s="2" t="s">
        <v>212</v>
      </c>
      <c r="M831" s="2" t="s">
        <v>212</v>
      </c>
      <c r="N831" s="2" t="s">
        <v>1263</v>
      </c>
      <c r="O831" s="2" t="s">
        <v>101</v>
      </c>
      <c r="P831" s="2" t="str">
        <f>"2170606128                    "</f>
        <v xml:space="preserve">2170606128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5.65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1</v>
      </c>
      <c r="BJ831" s="2">
        <v>0.2</v>
      </c>
      <c r="BK831" s="2">
        <v>1</v>
      </c>
      <c r="BL831" s="2">
        <v>45.15</v>
      </c>
      <c r="BM831" s="2">
        <v>6.32</v>
      </c>
      <c r="BN831" s="2">
        <v>51.47</v>
      </c>
      <c r="BO831" s="2">
        <v>51.47</v>
      </c>
      <c r="BQ831" s="2" t="s">
        <v>82</v>
      </c>
      <c r="BR831" s="2" t="s">
        <v>103</v>
      </c>
      <c r="BS831" s="3">
        <v>43075</v>
      </c>
      <c r="BT831" s="4">
        <v>0.60763888888888895</v>
      </c>
      <c r="BU831" s="2" t="s">
        <v>1264</v>
      </c>
      <c r="BV831" s="2" t="s">
        <v>89</v>
      </c>
      <c r="BW831" s="2" t="s">
        <v>149</v>
      </c>
      <c r="BX831" s="2" t="s">
        <v>368</v>
      </c>
      <c r="BY831" s="2">
        <v>1200</v>
      </c>
      <c r="CA831" s="2" t="s">
        <v>1108</v>
      </c>
      <c r="CC831" s="2" t="s">
        <v>212</v>
      </c>
      <c r="CD831" s="2">
        <v>7646</v>
      </c>
      <c r="CE831" s="2" t="s">
        <v>120</v>
      </c>
      <c r="CF831" s="3">
        <v>43075</v>
      </c>
      <c r="CI831" s="2">
        <v>1</v>
      </c>
      <c r="CJ831" s="2">
        <v>1</v>
      </c>
      <c r="CK831" s="2">
        <v>21</v>
      </c>
      <c r="CL831" s="2" t="s">
        <v>89</v>
      </c>
    </row>
    <row r="832" spans="1:90">
      <c r="A832" s="2" t="s">
        <v>71</v>
      </c>
      <c r="B832" s="2" t="s">
        <v>72</v>
      </c>
      <c r="C832" s="2" t="s">
        <v>73</v>
      </c>
      <c r="E832" s="2" t="str">
        <f>"FES1162594082"</f>
        <v>FES1162594082</v>
      </c>
      <c r="F832" s="3">
        <v>43074</v>
      </c>
      <c r="G832" s="2">
        <v>201806</v>
      </c>
      <c r="H832" s="2" t="s">
        <v>74</v>
      </c>
      <c r="I832" s="2" t="s">
        <v>75</v>
      </c>
      <c r="J832" s="2" t="s">
        <v>97</v>
      </c>
      <c r="K832" s="2" t="s">
        <v>77</v>
      </c>
      <c r="L832" s="2" t="s">
        <v>173</v>
      </c>
      <c r="M832" s="2" t="s">
        <v>174</v>
      </c>
      <c r="N832" s="2" t="s">
        <v>1188</v>
      </c>
      <c r="O832" s="2" t="s">
        <v>101</v>
      </c>
      <c r="P832" s="2" t="str">
        <f>"2170606096                    "</f>
        <v xml:space="preserve">2170606096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5.65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0.5</v>
      </c>
      <c r="BJ832" s="2">
        <v>1.4</v>
      </c>
      <c r="BK832" s="2">
        <v>1.5</v>
      </c>
      <c r="BL832" s="2">
        <v>45.15</v>
      </c>
      <c r="BM832" s="2">
        <v>6.32</v>
      </c>
      <c r="BN832" s="2">
        <v>51.47</v>
      </c>
      <c r="BO832" s="2">
        <v>51.47</v>
      </c>
      <c r="BQ832" s="2" t="s">
        <v>128</v>
      </c>
      <c r="BR832" s="2" t="s">
        <v>103</v>
      </c>
      <c r="BS832" s="3">
        <v>43075</v>
      </c>
      <c r="BT832" s="4">
        <v>0.60555555555555551</v>
      </c>
      <c r="BU832" s="2" t="s">
        <v>1348</v>
      </c>
      <c r="BV832" s="2" t="s">
        <v>89</v>
      </c>
      <c r="BW832" s="2" t="s">
        <v>156</v>
      </c>
      <c r="BX832" s="2" t="s">
        <v>411</v>
      </c>
      <c r="BY832" s="2">
        <v>7133.47</v>
      </c>
      <c r="CA832" s="2" t="s">
        <v>412</v>
      </c>
      <c r="CC832" s="2" t="s">
        <v>174</v>
      </c>
      <c r="CD832" s="2">
        <v>7800</v>
      </c>
      <c r="CE832" s="2" t="s">
        <v>95</v>
      </c>
      <c r="CF832" s="3">
        <v>43075</v>
      </c>
      <c r="CI832" s="2">
        <v>1</v>
      </c>
      <c r="CJ832" s="2">
        <v>1</v>
      </c>
      <c r="CK832" s="2">
        <v>21</v>
      </c>
      <c r="CL832" s="2" t="s">
        <v>89</v>
      </c>
    </row>
    <row r="833" spans="1:90">
      <c r="A833" s="2" t="s">
        <v>71</v>
      </c>
      <c r="B833" s="2" t="s">
        <v>72</v>
      </c>
      <c r="C833" s="2" t="s">
        <v>73</v>
      </c>
      <c r="E833" s="2" t="str">
        <f>"FES1162594044"</f>
        <v>FES1162594044</v>
      </c>
      <c r="F833" s="3">
        <v>43074</v>
      </c>
      <c r="G833" s="2">
        <v>201806</v>
      </c>
      <c r="H833" s="2" t="s">
        <v>74</v>
      </c>
      <c r="I833" s="2" t="s">
        <v>75</v>
      </c>
      <c r="J833" s="2" t="s">
        <v>97</v>
      </c>
      <c r="K833" s="2" t="s">
        <v>77</v>
      </c>
      <c r="L833" s="2" t="s">
        <v>462</v>
      </c>
      <c r="M833" s="2" t="s">
        <v>463</v>
      </c>
      <c r="N833" s="2" t="s">
        <v>464</v>
      </c>
      <c r="O833" s="2" t="s">
        <v>101</v>
      </c>
      <c r="P833" s="2" t="str">
        <f>"2170603263                    "</f>
        <v xml:space="preserve">2170603263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32.47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11.1</v>
      </c>
      <c r="BJ833" s="2">
        <v>4</v>
      </c>
      <c r="BK833" s="2">
        <v>11.5</v>
      </c>
      <c r="BL833" s="2">
        <v>259.5</v>
      </c>
      <c r="BM833" s="2">
        <v>36.33</v>
      </c>
      <c r="BN833" s="2">
        <v>295.83</v>
      </c>
      <c r="BO833" s="2">
        <v>295.83</v>
      </c>
      <c r="BQ833" s="2" t="s">
        <v>465</v>
      </c>
      <c r="BR833" s="2" t="s">
        <v>103</v>
      </c>
      <c r="BS833" s="3">
        <v>43075</v>
      </c>
      <c r="BT833" s="4">
        <v>0.41666666666666669</v>
      </c>
      <c r="BU833" s="2" t="s">
        <v>1349</v>
      </c>
      <c r="BV833" s="2" t="s">
        <v>85</v>
      </c>
      <c r="BY833" s="2">
        <v>19891.5</v>
      </c>
      <c r="CC833" s="2" t="s">
        <v>463</v>
      </c>
      <c r="CD833" s="2">
        <v>7130</v>
      </c>
      <c r="CE833" s="2" t="s">
        <v>95</v>
      </c>
      <c r="CF833" s="3">
        <v>43076</v>
      </c>
      <c r="CI833" s="2">
        <v>1</v>
      </c>
      <c r="CJ833" s="2">
        <v>1</v>
      </c>
      <c r="CK833" s="2">
        <v>21</v>
      </c>
      <c r="CL833" s="2" t="s">
        <v>89</v>
      </c>
    </row>
    <row r="834" spans="1:90">
      <c r="A834" s="2" t="s">
        <v>71</v>
      </c>
      <c r="B834" s="2" t="s">
        <v>72</v>
      </c>
      <c r="C834" s="2" t="s">
        <v>73</v>
      </c>
      <c r="E834" s="2" t="str">
        <f>"FES1162594045"</f>
        <v>FES1162594045</v>
      </c>
      <c r="F834" s="3">
        <v>43074</v>
      </c>
      <c r="G834" s="2">
        <v>201806</v>
      </c>
      <c r="H834" s="2" t="s">
        <v>74</v>
      </c>
      <c r="I834" s="2" t="s">
        <v>75</v>
      </c>
      <c r="J834" s="2" t="s">
        <v>97</v>
      </c>
      <c r="K834" s="2" t="s">
        <v>77</v>
      </c>
      <c r="L834" s="2" t="s">
        <v>462</v>
      </c>
      <c r="M834" s="2" t="s">
        <v>463</v>
      </c>
      <c r="N834" s="2" t="s">
        <v>464</v>
      </c>
      <c r="O834" s="2" t="s">
        <v>101</v>
      </c>
      <c r="P834" s="2" t="str">
        <f>"2170602236                    "</f>
        <v xml:space="preserve">2170602236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24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8.4</v>
      </c>
      <c r="BJ834" s="2">
        <v>3.3</v>
      </c>
      <c r="BK834" s="2">
        <v>8.5</v>
      </c>
      <c r="BL834" s="2">
        <v>191.81</v>
      </c>
      <c r="BM834" s="2">
        <v>26.85</v>
      </c>
      <c r="BN834" s="2">
        <v>218.66</v>
      </c>
      <c r="BO834" s="2">
        <v>218.66</v>
      </c>
      <c r="BQ834" s="2" t="s">
        <v>465</v>
      </c>
      <c r="BR834" s="2" t="s">
        <v>103</v>
      </c>
      <c r="BS834" s="3">
        <v>43075</v>
      </c>
      <c r="BT834" s="4">
        <v>0.41666666666666669</v>
      </c>
      <c r="BU834" s="2" t="s">
        <v>1350</v>
      </c>
      <c r="BV834" s="2" t="s">
        <v>85</v>
      </c>
      <c r="BY834" s="2">
        <v>16568.93</v>
      </c>
      <c r="CC834" s="2" t="s">
        <v>463</v>
      </c>
      <c r="CD834" s="2">
        <v>7130</v>
      </c>
      <c r="CE834" s="2" t="s">
        <v>95</v>
      </c>
      <c r="CF834" s="3">
        <v>43076</v>
      </c>
      <c r="CI834" s="2">
        <v>1</v>
      </c>
      <c r="CJ834" s="2">
        <v>1</v>
      </c>
      <c r="CK834" s="2">
        <v>21</v>
      </c>
      <c r="CL834" s="2" t="s">
        <v>89</v>
      </c>
    </row>
    <row r="835" spans="1:90">
      <c r="A835" s="2" t="s">
        <v>71</v>
      </c>
      <c r="B835" s="2" t="s">
        <v>72</v>
      </c>
      <c r="C835" s="2" t="s">
        <v>73</v>
      </c>
      <c r="E835" s="2" t="str">
        <f>"FES1162594051"</f>
        <v>FES1162594051</v>
      </c>
      <c r="F835" s="3">
        <v>43074</v>
      </c>
      <c r="G835" s="2">
        <v>201806</v>
      </c>
      <c r="H835" s="2" t="s">
        <v>74</v>
      </c>
      <c r="I835" s="2" t="s">
        <v>75</v>
      </c>
      <c r="J835" s="2" t="s">
        <v>97</v>
      </c>
      <c r="K835" s="2" t="s">
        <v>77</v>
      </c>
      <c r="L835" s="2" t="s">
        <v>462</v>
      </c>
      <c r="M835" s="2" t="s">
        <v>463</v>
      </c>
      <c r="N835" s="2" t="s">
        <v>464</v>
      </c>
      <c r="O835" s="2" t="s">
        <v>101</v>
      </c>
      <c r="P835" s="2" t="str">
        <f>"2170603272                    "</f>
        <v xml:space="preserve">2170603272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32.47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11.1</v>
      </c>
      <c r="BJ835" s="2">
        <v>4.0999999999999996</v>
      </c>
      <c r="BK835" s="2">
        <v>11.5</v>
      </c>
      <c r="BL835" s="2">
        <v>259.5</v>
      </c>
      <c r="BM835" s="2">
        <v>36.33</v>
      </c>
      <c r="BN835" s="2">
        <v>295.83</v>
      </c>
      <c r="BO835" s="2">
        <v>295.83</v>
      </c>
      <c r="BQ835" s="2" t="s">
        <v>465</v>
      </c>
      <c r="BR835" s="2" t="s">
        <v>103</v>
      </c>
      <c r="BS835" s="3">
        <v>43075</v>
      </c>
      <c r="BT835" s="4">
        <v>0.41666666666666669</v>
      </c>
      <c r="BU835" s="2" t="s">
        <v>1349</v>
      </c>
      <c r="BV835" s="2" t="s">
        <v>85</v>
      </c>
      <c r="BY835" s="2">
        <v>20593.14</v>
      </c>
      <c r="CC835" s="2" t="s">
        <v>463</v>
      </c>
      <c r="CD835" s="2">
        <v>7130</v>
      </c>
      <c r="CE835" s="2" t="s">
        <v>95</v>
      </c>
      <c r="CF835" s="3">
        <v>43076</v>
      </c>
      <c r="CI835" s="2">
        <v>1</v>
      </c>
      <c r="CJ835" s="2">
        <v>1</v>
      </c>
      <c r="CK835" s="2">
        <v>21</v>
      </c>
      <c r="CL835" s="2" t="s">
        <v>89</v>
      </c>
    </row>
    <row r="836" spans="1:90">
      <c r="A836" s="2" t="s">
        <v>71</v>
      </c>
      <c r="B836" s="2" t="s">
        <v>72</v>
      </c>
      <c r="C836" s="2" t="s">
        <v>73</v>
      </c>
      <c r="E836" s="2" t="str">
        <f>"FES1162593920"</f>
        <v>FES1162593920</v>
      </c>
      <c r="F836" s="3">
        <v>43074</v>
      </c>
      <c r="G836" s="2">
        <v>201806</v>
      </c>
      <c r="H836" s="2" t="s">
        <v>74</v>
      </c>
      <c r="I836" s="2" t="s">
        <v>75</v>
      </c>
      <c r="J836" s="2" t="s">
        <v>97</v>
      </c>
      <c r="K836" s="2" t="s">
        <v>77</v>
      </c>
      <c r="L836" s="2" t="s">
        <v>1051</v>
      </c>
      <c r="M836" s="2" t="s">
        <v>1052</v>
      </c>
      <c r="N836" s="2" t="s">
        <v>1053</v>
      </c>
      <c r="O836" s="2" t="s">
        <v>101</v>
      </c>
      <c r="P836" s="2" t="str">
        <f>"2170605965                    "</f>
        <v xml:space="preserve">2170605965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48.01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2.2999999999999998</v>
      </c>
      <c r="BJ836" s="2">
        <v>9.3000000000000007</v>
      </c>
      <c r="BK836" s="2">
        <v>9.5</v>
      </c>
      <c r="BL836" s="2">
        <v>383.74</v>
      </c>
      <c r="BM836" s="2">
        <v>53.72</v>
      </c>
      <c r="BN836" s="2">
        <v>437.46</v>
      </c>
      <c r="BO836" s="2">
        <v>437.46</v>
      </c>
      <c r="BQ836" s="2" t="s">
        <v>82</v>
      </c>
      <c r="BR836" s="2" t="s">
        <v>103</v>
      </c>
      <c r="BS836" s="3">
        <v>43075</v>
      </c>
      <c r="BT836" s="4">
        <v>0.52083333333333337</v>
      </c>
      <c r="BU836" s="2" t="s">
        <v>1054</v>
      </c>
      <c r="BV836" s="2" t="s">
        <v>85</v>
      </c>
      <c r="BY836" s="2">
        <v>46580.63</v>
      </c>
      <c r="CA836" s="2" t="s">
        <v>1351</v>
      </c>
      <c r="CC836" s="2" t="s">
        <v>1052</v>
      </c>
      <c r="CD836" s="2">
        <v>3370</v>
      </c>
      <c r="CE836" s="2" t="s">
        <v>95</v>
      </c>
      <c r="CF836" s="3">
        <v>43080</v>
      </c>
      <c r="CI836" s="2">
        <v>3</v>
      </c>
      <c r="CJ836" s="2">
        <v>1</v>
      </c>
      <c r="CK836" s="2">
        <v>23</v>
      </c>
      <c r="CL836" s="2" t="s">
        <v>89</v>
      </c>
    </row>
    <row r="837" spans="1:90">
      <c r="A837" s="2" t="s">
        <v>71</v>
      </c>
      <c r="B837" s="2" t="s">
        <v>72</v>
      </c>
      <c r="C837" s="2" t="s">
        <v>73</v>
      </c>
      <c r="E837" s="2" t="str">
        <f>"FES1162594091"</f>
        <v>FES1162594091</v>
      </c>
      <c r="F837" s="3">
        <v>43074</v>
      </c>
      <c r="G837" s="2">
        <v>201806</v>
      </c>
      <c r="H837" s="2" t="s">
        <v>74</v>
      </c>
      <c r="I837" s="2" t="s">
        <v>75</v>
      </c>
      <c r="J837" s="2" t="s">
        <v>97</v>
      </c>
      <c r="K837" s="2" t="s">
        <v>77</v>
      </c>
      <c r="L837" s="2" t="s">
        <v>158</v>
      </c>
      <c r="M837" s="2" t="s">
        <v>159</v>
      </c>
      <c r="N837" s="2" t="s">
        <v>1352</v>
      </c>
      <c r="O837" s="2" t="s">
        <v>101</v>
      </c>
      <c r="P837" s="2" t="str">
        <f>"217060108                     "</f>
        <v xml:space="preserve">217060108 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5.65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1</v>
      </c>
      <c r="BJ837" s="2">
        <v>0.2</v>
      </c>
      <c r="BK837" s="2">
        <v>1</v>
      </c>
      <c r="BL837" s="2">
        <v>45.15</v>
      </c>
      <c r="BM837" s="2">
        <v>6.32</v>
      </c>
      <c r="BN837" s="2">
        <v>51.47</v>
      </c>
      <c r="BO837" s="2">
        <v>51.47</v>
      </c>
      <c r="BP837" s="2" t="s">
        <v>1353</v>
      </c>
      <c r="BQ837" s="2" t="s">
        <v>1354</v>
      </c>
      <c r="BR837" s="2" t="s">
        <v>103</v>
      </c>
      <c r="BS837" s="3">
        <v>43075</v>
      </c>
      <c r="BT837" s="4">
        <v>0.53125</v>
      </c>
      <c r="BU837" s="2" t="s">
        <v>1193</v>
      </c>
      <c r="BV837" s="2" t="s">
        <v>89</v>
      </c>
      <c r="BW837" s="2" t="s">
        <v>156</v>
      </c>
      <c r="BX837" s="2" t="s">
        <v>968</v>
      </c>
      <c r="BY837" s="2">
        <v>1200</v>
      </c>
      <c r="CC837" s="2" t="s">
        <v>159</v>
      </c>
      <c r="CD837" s="2">
        <v>1</v>
      </c>
      <c r="CE837" s="2" t="s">
        <v>120</v>
      </c>
      <c r="CF837" s="3">
        <v>43077</v>
      </c>
      <c r="CI837" s="2">
        <v>1</v>
      </c>
      <c r="CJ837" s="2">
        <v>1</v>
      </c>
      <c r="CK837" s="2">
        <v>21</v>
      </c>
      <c r="CL837" s="2" t="s">
        <v>89</v>
      </c>
    </row>
    <row r="838" spans="1:90">
      <c r="A838" s="2" t="s">
        <v>71</v>
      </c>
      <c r="B838" s="2" t="s">
        <v>72</v>
      </c>
      <c r="C838" s="2" t="s">
        <v>73</v>
      </c>
      <c r="E838" s="2" t="str">
        <f>"FES1162593898"</f>
        <v>FES1162593898</v>
      </c>
      <c r="F838" s="3">
        <v>43074</v>
      </c>
      <c r="G838" s="2">
        <v>201806</v>
      </c>
      <c r="H838" s="2" t="s">
        <v>74</v>
      </c>
      <c r="I838" s="2" t="s">
        <v>75</v>
      </c>
      <c r="J838" s="2" t="s">
        <v>97</v>
      </c>
      <c r="K838" s="2" t="s">
        <v>77</v>
      </c>
      <c r="L838" s="2" t="s">
        <v>131</v>
      </c>
      <c r="M838" s="2" t="s">
        <v>132</v>
      </c>
      <c r="N838" s="2" t="s">
        <v>1355</v>
      </c>
      <c r="O838" s="2" t="s">
        <v>101</v>
      </c>
      <c r="P838" s="2" t="str">
        <f>"2170605931                    "</f>
        <v xml:space="preserve">2170605931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8.4700000000000006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3</v>
      </c>
      <c r="BJ838" s="2">
        <v>1.5</v>
      </c>
      <c r="BK838" s="2">
        <v>3</v>
      </c>
      <c r="BL838" s="2">
        <v>67.709999999999994</v>
      </c>
      <c r="BM838" s="2">
        <v>9.48</v>
      </c>
      <c r="BN838" s="2">
        <v>77.19</v>
      </c>
      <c r="BO838" s="2">
        <v>77.19</v>
      </c>
      <c r="BQ838" s="2" t="s">
        <v>82</v>
      </c>
      <c r="BR838" s="2" t="s">
        <v>103</v>
      </c>
      <c r="BS838" s="3">
        <v>43075</v>
      </c>
      <c r="BT838" s="4">
        <v>0.39374999999999999</v>
      </c>
      <c r="BU838" s="2" t="s">
        <v>1356</v>
      </c>
      <c r="BV838" s="2" t="s">
        <v>85</v>
      </c>
      <c r="BY838" s="2">
        <v>7540</v>
      </c>
      <c r="CA838" s="2" t="s">
        <v>135</v>
      </c>
      <c r="CC838" s="2" t="s">
        <v>132</v>
      </c>
      <c r="CD838" s="2">
        <v>4300</v>
      </c>
      <c r="CE838" s="2" t="s">
        <v>95</v>
      </c>
      <c r="CF838" s="3">
        <v>43076</v>
      </c>
      <c r="CI838" s="2">
        <v>1</v>
      </c>
      <c r="CJ838" s="2">
        <v>1</v>
      </c>
      <c r="CK838" s="2">
        <v>21</v>
      </c>
      <c r="CL838" s="2" t="s">
        <v>89</v>
      </c>
    </row>
    <row r="839" spans="1:90">
      <c r="A839" s="2" t="s">
        <v>71</v>
      </c>
      <c r="B839" s="2" t="s">
        <v>72</v>
      </c>
      <c r="C839" s="2" t="s">
        <v>73</v>
      </c>
      <c r="E839" s="2" t="str">
        <f>"FES1162593572"</f>
        <v>FES1162593572</v>
      </c>
      <c r="F839" s="3">
        <v>43074</v>
      </c>
      <c r="G839" s="2">
        <v>201806</v>
      </c>
      <c r="H839" s="2" t="s">
        <v>74</v>
      </c>
      <c r="I839" s="2" t="s">
        <v>75</v>
      </c>
      <c r="J839" s="2" t="s">
        <v>97</v>
      </c>
      <c r="K839" s="2" t="s">
        <v>77</v>
      </c>
      <c r="L839" s="2" t="s">
        <v>98</v>
      </c>
      <c r="M839" s="2" t="s">
        <v>99</v>
      </c>
      <c r="N839" s="2" t="s">
        <v>670</v>
      </c>
      <c r="O839" s="2" t="s">
        <v>101</v>
      </c>
      <c r="P839" s="2" t="str">
        <f>"21705682                      "</f>
        <v xml:space="preserve">21705682  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15.53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5.2</v>
      </c>
      <c r="BJ839" s="2">
        <v>1.4</v>
      </c>
      <c r="BK839" s="2">
        <v>5.5</v>
      </c>
      <c r="BL839" s="2">
        <v>124.12</v>
      </c>
      <c r="BM839" s="2">
        <v>17.38</v>
      </c>
      <c r="BN839" s="2">
        <v>141.5</v>
      </c>
      <c r="BO839" s="2">
        <v>141.5</v>
      </c>
      <c r="BQ839" s="2" t="s">
        <v>102</v>
      </c>
      <c r="BR839" s="2" t="s">
        <v>103</v>
      </c>
      <c r="BS839" s="3">
        <v>43075</v>
      </c>
      <c r="BT839" s="4">
        <v>0.39583333333333331</v>
      </c>
      <c r="BU839" s="2" t="s">
        <v>671</v>
      </c>
      <c r="BV839" s="2" t="s">
        <v>85</v>
      </c>
      <c r="BY839" s="2">
        <v>7007.42</v>
      </c>
      <c r="CA839" s="2" t="s">
        <v>105</v>
      </c>
      <c r="CC839" s="2" t="s">
        <v>99</v>
      </c>
      <c r="CD839" s="2">
        <v>3200</v>
      </c>
      <c r="CE839" s="2" t="s">
        <v>95</v>
      </c>
      <c r="CF839" s="3">
        <v>43076</v>
      </c>
      <c r="CI839" s="2">
        <v>1</v>
      </c>
      <c r="CJ839" s="2">
        <v>1</v>
      </c>
      <c r="CK839" s="2">
        <v>21</v>
      </c>
      <c r="CL839" s="2" t="s">
        <v>89</v>
      </c>
    </row>
    <row r="840" spans="1:90">
      <c r="A840" s="2" t="s">
        <v>71</v>
      </c>
      <c r="B840" s="2" t="s">
        <v>72</v>
      </c>
      <c r="C840" s="2" t="s">
        <v>73</v>
      </c>
      <c r="E840" s="2" t="str">
        <f>"FES1162594057"</f>
        <v>FES1162594057</v>
      </c>
      <c r="F840" s="3">
        <v>43074</v>
      </c>
      <c r="G840" s="2">
        <v>201806</v>
      </c>
      <c r="H840" s="2" t="s">
        <v>74</v>
      </c>
      <c r="I840" s="2" t="s">
        <v>75</v>
      </c>
      <c r="J840" s="2" t="s">
        <v>97</v>
      </c>
      <c r="K840" s="2" t="s">
        <v>77</v>
      </c>
      <c r="L840" s="2" t="s">
        <v>850</v>
      </c>
      <c r="M840" s="2" t="s">
        <v>851</v>
      </c>
      <c r="N840" s="2" t="s">
        <v>1357</v>
      </c>
      <c r="O840" s="2" t="s">
        <v>101</v>
      </c>
      <c r="P840" s="2" t="str">
        <f>"2170605750                    "</f>
        <v xml:space="preserve">2170605750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5.65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1.9</v>
      </c>
      <c r="BJ840" s="2">
        <v>1.8</v>
      </c>
      <c r="BK840" s="2">
        <v>2</v>
      </c>
      <c r="BL840" s="2">
        <v>45.15</v>
      </c>
      <c r="BM840" s="2">
        <v>6.32</v>
      </c>
      <c r="BN840" s="2">
        <v>51.47</v>
      </c>
      <c r="BO840" s="2">
        <v>51.47</v>
      </c>
      <c r="BQ840" s="2" t="s">
        <v>1358</v>
      </c>
      <c r="BR840" s="2" t="s">
        <v>103</v>
      </c>
      <c r="BS840" s="3">
        <v>43075</v>
      </c>
      <c r="BT840" s="4">
        <v>0.48888888888888887</v>
      </c>
      <c r="BU840" s="2" t="s">
        <v>1359</v>
      </c>
      <c r="BV840" s="2" t="s">
        <v>85</v>
      </c>
      <c r="BY840" s="2">
        <v>8864.64</v>
      </c>
      <c r="CA840" s="2" t="s">
        <v>854</v>
      </c>
      <c r="CC840" s="2" t="s">
        <v>851</v>
      </c>
      <c r="CD840" s="2">
        <v>3291</v>
      </c>
      <c r="CE840" s="2" t="s">
        <v>95</v>
      </c>
      <c r="CF840" s="3">
        <v>43083</v>
      </c>
      <c r="CI840" s="2">
        <v>1</v>
      </c>
      <c r="CJ840" s="2">
        <v>1</v>
      </c>
      <c r="CK840" s="2">
        <v>21</v>
      </c>
      <c r="CL840" s="2" t="s">
        <v>89</v>
      </c>
    </row>
    <row r="841" spans="1:90">
      <c r="A841" s="2" t="s">
        <v>71</v>
      </c>
      <c r="B841" s="2" t="s">
        <v>72</v>
      </c>
      <c r="C841" s="2" t="s">
        <v>73</v>
      </c>
      <c r="E841" s="2" t="str">
        <f>"FES1162593974"</f>
        <v>FES1162593974</v>
      </c>
      <c r="F841" s="3">
        <v>43074</v>
      </c>
      <c r="G841" s="2">
        <v>201806</v>
      </c>
      <c r="H841" s="2" t="s">
        <v>74</v>
      </c>
      <c r="I841" s="2" t="s">
        <v>75</v>
      </c>
      <c r="J841" s="2" t="s">
        <v>97</v>
      </c>
      <c r="K841" s="2" t="s">
        <v>77</v>
      </c>
      <c r="L841" s="2" t="s">
        <v>125</v>
      </c>
      <c r="M841" s="2" t="s">
        <v>126</v>
      </c>
      <c r="N841" s="2" t="s">
        <v>1360</v>
      </c>
      <c r="O841" s="2" t="s">
        <v>101</v>
      </c>
      <c r="P841" s="2" t="str">
        <f>"2170600506                    "</f>
        <v xml:space="preserve">2170600506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12.71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4</v>
      </c>
      <c r="BJ841" s="2">
        <v>4.0999999999999996</v>
      </c>
      <c r="BK841" s="2">
        <v>4.5</v>
      </c>
      <c r="BL841" s="2">
        <v>101.56</v>
      </c>
      <c r="BM841" s="2">
        <v>14.22</v>
      </c>
      <c r="BN841" s="2">
        <v>115.78</v>
      </c>
      <c r="BO841" s="2">
        <v>115.78</v>
      </c>
      <c r="BQ841" s="2" t="s">
        <v>187</v>
      </c>
      <c r="BR841" s="2" t="s">
        <v>103</v>
      </c>
      <c r="BS841" s="3">
        <v>43075</v>
      </c>
      <c r="BT841" s="4">
        <v>0.43055555555555558</v>
      </c>
      <c r="BU841" s="2" t="s">
        <v>1361</v>
      </c>
      <c r="BV841" s="2" t="s">
        <v>85</v>
      </c>
      <c r="BY841" s="2">
        <v>20358</v>
      </c>
      <c r="CC841" s="2" t="s">
        <v>126</v>
      </c>
      <c r="CD841" s="2">
        <v>4022</v>
      </c>
      <c r="CE841" s="2" t="s">
        <v>95</v>
      </c>
      <c r="CF841" s="3">
        <v>43076</v>
      </c>
      <c r="CI841" s="2">
        <v>1</v>
      </c>
      <c r="CJ841" s="2">
        <v>1</v>
      </c>
      <c r="CK841" s="2">
        <v>21</v>
      </c>
      <c r="CL841" s="2" t="s">
        <v>89</v>
      </c>
    </row>
    <row r="842" spans="1:90">
      <c r="A842" s="2" t="s">
        <v>71</v>
      </c>
      <c r="B842" s="2" t="s">
        <v>72</v>
      </c>
      <c r="C842" s="2" t="s">
        <v>73</v>
      </c>
      <c r="E842" s="2" t="str">
        <f>"FES1162593975"</f>
        <v>FES1162593975</v>
      </c>
      <c r="F842" s="3">
        <v>43074</v>
      </c>
      <c r="G842" s="2">
        <v>201806</v>
      </c>
      <c r="H842" s="2" t="s">
        <v>74</v>
      </c>
      <c r="I842" s="2" t="s">
        <v>75</v>
      </c>
      <c r="J842" s="2" t="s">
        <v>97</v>
      </c>
      <c r="K842" s="2" t="s">
        <v>77</v>
      </c>
      <c r="L842" s="2" t="s">
        <v>850</v>
      </c>
      <c r="M842" s="2" t="s">
        <v>851</v>
      </c>
      <c r="N842" s="2" t="s">
        <v>1362</v>
      </c>
      <c r="O842" s="2" t="s">
        <v>101</v>
      </c>
      <c r="P842" s="2" t="str">
        <f>"2170600558                    "</f>
        <v xml:space="preserve">2170600558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22.59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2.4</v>
      </c>
      <c r="BJ842" s="2">
        <v>7.8</v>
      </c>
      <c r="BK842" s="2">
        <v>8</v>
      </c>
      <c r="BL842" s="2">
        <v>180.53</v>
      </c>
      <c r="BM842" s="2">
        <v>25.27</v>
      </c>
      <c r="BN842" s="2">
        <v>205.8</v>
      </c>
      <c r="BO842" s="2">
        <v>205.8</v>
      </c>
      <c r="BQ842" s="2" t="s">
        <v>1363</v>
      </c>
      <c r="BR842" s="2" t="s">
        <v>103</v>
      </c>
      <c r="BS842" s="3">
        <v>43075</v>
      </c>
      <c r="BT842" s="4">
        <v>0.52222222222222225</v>
      </c>
      <c r="BU842" s="2" t="s">
        <v>1364</v>
      </c>
      <c r="BV842" s="2" t="s">
        <v>85</v>
      </c>
      <c r="BY842" s="2">
        <v>38890.080000000002</v>
      </c>
      <c r="CA842" s="2" t="s">
        <v>854</v>
      </c>
      <c r="CC842" s="2" t="s">
        <v>851</v>
      </c>
      <c r="CD842" s="2">
        <v>3290</v>
      </c>
      <c r="CE842" s="2" t="s">
        <v>87</v>
      </c>
      <c r="CF842" s="3">
        <v>43077</v>
      </c>
      <c r="CI842" s="2">
        <v>1</v>
      </c>
      <c r="CJ842" s="2">
        <v>1</v>
      </c>
      <c r="CK842" s="2">
        <v>21</v>
      </c>
      <c r="CL842" s="2" t="s">
        <v>89</v>
      </c>
    </row>
    <row r="843" spans="1:90">
      <c r="A843" s="2" t="s">
        <v>71</v>
      </c>
      <c r="B843" s="2" t="s">
        <v>72</v>
      </c>
      <c r="C843" s="2" t="s">
        <v>73</v>
      </c>
      <c r="E843" s="2" t="str">
        <f>"FES1162593899"</f>
        <v>FES1162593899</v>
      </c>
      <c r="F843" s="3">
        <v>43074</v>
      </c>
      <c r="G843" s="2">
        <v>201806</v>
      </c>
      <c r="H843" s="2" t="s">
        <v>74</v>
      </c>
      <c r="I843" s="2" t="s">
        <v>75</v>
      </c>
      <c r="J843" s="2" t="s">
        <v>97</v>
      </c>
      <c r="K843" s="2" t="s">
        <v>77</v>
      </c>
      <c r="L843" s="2" t="s">
        <v>168</v>
      </c>
      <c r="M843" s="2" t="s">
        <v>169</v>
      </c>
      <c r="N843" s="2" t="s">
        <v>585</v>
      </c>
      <c r="O843" s="2" t="s">
        <v>101</v>
      </c>
      <c r="P843" s="2" t="str">
        <f>"217060593                     "</f>
        <v xml:space="preserve">217060593 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5.65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2</v>
      </c>
      <c r="BJ843" s="2">
        <v>2</v>
      </c>
      <c r="BK843" s="2">
        <v>2</v>
      </c>
      <c r="BL843" s="2">
        <v>45.15</v>
      </c>
      <c r="BM843" s="2">
        <v>6.32</v>
      </c>
      <c r="BN843" s="2">
        <v>51.47</v>
      </c>
      <c r="BO843" s="2">
        <v>51.47</v>
      </c>
      <c r="BQ843" s="2" t="s">
        <v>82</v>
      </c>
      <c r="BR843" s="2" t="s">
        <v>103</v>
      </c>
      <c r="BS843" s="3">
        <v>43075</v>
      </c>
      <c r="BT843" s="4">
        <v>0.40625</v>
      </c>
      <c r="BU843" s="2" t="s">
        <v>586</v>
      </c>
      <c r="BV843" s="2" t="s">
        <v>85</v>
      </c>
      <c r="BY843" s="2">
        <v>10171.200000000001</v>
      </c>
      <c r="CA843" s="2" t="s">
        <v>172</v>
      </c>
      <c r="CC843" s="2" t="s">
        <v>169</v>
      </c>
      <c r="CD843" s="2">
        <v>3610</v>
      </c>
      <c r="CE843" s="2" t="s">
        <v>95</v>
      </c>
      <c r="CF843" s="3">
        <v>43076</v>
      </c>
      <c r="CI843" s="2">
        <v>1</v>
      </c>
      <c r="CJ843" s="2">
        <v>1</v>
      </c>
      <c r="CK843" s="2">
        <v>21</v>
      </c>
      <c r="CL843" s="2" t="s">
        <v>89</v>
      </c>
    </row>
    <row r="844" spans="1:90">
      <c r="A844" s="2" t="s">
        <v>71</v>
      </c>
      <c r="B844" s="2" t="s">
        <v>72</v>
      </c>
      <c r="C844" s="2" t="s">
        <v>73</v>
      </c>
      <c r="E844" s="2" t="str">
        <f>"FES1162593949"</f>
        <v>FES1162593949</v>
      </c>
      <c r="F844" s="3">
        <v>43074</v>
      </c>
      <c r="G844" s="2">
        <v>201806</v>
      </c>
      <c r="H844" s="2" t="s">
        <v>74</v>
      </c>
      <c r="I844" s="2" t="s">
        <v>75</v>
      </c>
      <c r="J844" s="2" t="s">
        <v>97</v>
      </c>
      <c r="K844" s="2" t="s">
        <v>77</v>
      </c>
      <c r="L844" s="2" t="s">
        <v>551</v>
      </c>
      <c r="M844" s="2" t="s">
        <v>552</v>
      </c>
      <c r="N844" s="2" t="s">
        <v>1002</v>
      </c>
      <c r="O844" s="2" t="s">
        <v>101</v>
      </c>
      <c r="P844" s="2" t="str">
        <f>"2170605985                    "</f>
        <v xml:space="preserve">2170605985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26.82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7</v>
      </c>
      <c r="BJ844" s="2">
        <v>9.1</v>
      </c>
      <c r="BK844" s="2">
        <v>9.5</v>
      </c>
      <c r="BL844" s="2">
        <v>214.37</v>
      </c>
      <c r="BM844" s="2">
        <v>30.01</v>
      </c>
      <c r="BN844" s="2">
        <v>244.38</v>
      </c>
      <c r="BO844" s="2">
        <v>244.38</v>
      </c>
      <c r="BQ844" s="2" t="s">
        <v>102</v>
      </c>
      <c r="BR844" s="2" t="s">
        <v>103</v>
      </c>
      <c r="BS844" s="3">
        <v>43075</v>
      </c>
      <c r="BT844" s="4">
        <v>0.47152777777777777</v>
      </c>
      <c r="BU844" s="2" t="s">
        <v>1003</v>
      </c>
      <c r="BV844" s="2" t="s">
        <v>85</v>
      </c>
      <c r="BY844" s="2">
        <v>45632</v>
      </c>
      <c r="CA844" s="2" t="s">
        <v>555</v>
      </c>
      <c r="CC844" s="2" t="s">
        <v>552</v>
      </c>
      <c r="CD844" s="2">
        <v>3310</v>
      </c>
      <c r="CE844" s="2" t="s">
        <v>95</v>
      </c>
      <c r="CF844" s="3">
        <v>43077</v>
      </c>
      <c r="CI844" s="2">
        <v>1</v>
      </c>
      <c r="CJ844" s="2">
        <v>1</v>
      </c>
      <c r="CK844" s="2">
        <v>21</v>
      </c>
      <c r="CL844" s="2" t="s">
        <v>89</v>
      </c>
    </row>
    <row r="845" spans="1:90">
      <c r="A845" s="2" t="s">
        <v>71</v>
      </c>
      <c r="B845" s="2" t="s">
        <v>72</v>
      </c>
      <c r="C845" s="2" t="s">
        <v>73</v>
      </c>
      <c r="E845" s="2" t="str">
        <f>"FES1162594041"</f>
        <v>FES1162594041</v>
      </c>
      <c r="F845" s="3">
        <v>43074</v>
      </c>
      <c r="G845" s="2">
        <v>201806</v>
      </c>
      <c r="H845" s="2" t="s">
        <v>74</v>
      </c>
      <c r="I845" s="2" t="s">
        <v>75</v>
      </c>
      <c r="J845" s="2" t="s">
        <v>97</v>
      </c>
      <c r="K845" s="2" t="s">
        <v>77</v>
      </c>
      <c r="L845" s="2" t="s">
        <v>136</v>
      </c>
      <c r="M845" s="2" t="s">
        <v>137</v>
      </c>
      <c r="N845" s="2" t="s">
        <v>1161</v>
      </c>
      <c r="O845" s="2" t="s">
        <v>101</v>
      </c>
      <c r="P845" s="2" t="str">
        <f>"2170606048                    "</f>
        <v xml:space="preserve">2170606048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5.65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1.3</v>
      </c>
      <c r="BJ845" s="2">
        <v>1.3</v>
      </c>
      <c r="BK845" s="2">
        <v>1.5</v>
      </c>
      <c r="BL845" s="2">
        <v>45.15</v>
      </c>
      <c r="BM845" s="2">
        <v>6.32</v>
      </c>
      <c r="BN845" s="2">
        <v>51.47</v>
      </c>
      <c r="BO845" s="2">
        <v>51.47</v>
      </c>
      <c r="BQ845" s="2" t="s">
        <v>187</v>
      </c>
      <c r="BR845" s="2" t="s">
        <v>103</v>
      </c>
      <c r="BS845" s="3">
        <v>43075</v>
      </c>
      <c r="BT845" s="4">
        <v>0.37152777777777773</v>
      </c>
      <c r="BU845" s="2" t="s">
        <v>1162</v>
      </c>
      <c r="BV845" s="2" t="s">
        <v>85</v>
      </c>
      <c r="BY845" s="2">
        <v>6618.62</v>
      </c>
      <c r="CA845" s="2" t="s">
        <v>180</v>
      </c>
      <c r="CC845" s="2" t="s">
        <v>137</v>
      </c>
      <c r="CD845" s="2">
        <v>6014</v>
      </c>
      <c r="CE845" s="2" t="s">
        <v>95</v>
      </c>
      <c r="CF845" s="3">
        <v>43077</v>
      </c>
      <c r="CI845" s="2">
        <v>1</v>
      </c>
      <c r="CJ845" s="2">
        <v>1</v>
      </c>
      <c r="CK845" s="2">
        <v>21</v>
      </c>
      <c r="CL845" s="2" t="s">
        <v>89</v>
      </c>
    </row>
    <row r="846" spans="1:90">
      <c r="A846" s="2" t="s">
        <v>71</v>
      </c>
      <c r="B846" s="2" t="s">
        <v>72</v>
      </c>
      <c r="C846" s="2" t="s">
        <v>73</v>
      </c>
      <c r="E846" s="2" t="str">
        <f>"FES1162592408"</f>
        <v>FES1162592408</v>
      </c>
      <c r="F846" s="3">
        <v>43074</v>
      </c>
      <c r="G846" s="2">
        <v>201806</v>
      </c>
      <c r="H846" s="2" t="s">
        <v>74</v>
      </c>
      <c r="I846" s="2" t="s">
        <v>75</v>
      </c>
      <c r="J846" s="2" t="s">
        <v>97</v>
      </c>
      <c r="K846" s="2" t="s">
        <v>77</v>
      </c>
      <c r="L846" s="2" t="s">
        <v>98</v>
      </c>
      <c r="M846" s="2" t="s">
        <v>99</v>
      </c>
      <c r="N846" s="2" t="s">
        <v>1365</v>
      </c>
      <c r="O846" s="2" t="s">
        <v>101</v>
      </c>
      <c r="P846" s="2" t="str">
        <f>"2170605040                    "</f>
        <v xml:space="preserve">2170605040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45.17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16</v>
      </c>
      <c r="BJ846" s="2">
        <v>3.9</v>
      </c>
      <c r="BK846" s="2">
        <v>16</v>
      </c>
      <c r="BL846" s="2">
        <v>361.03</v>
      </c>
      <c r="BM846" s="2">
        <v>50.54</v>
      </c>
      <c r="BN846" s="2">
        <v>411.57</v>
      </c>
      <c r="BO846" s="2">
        <v>411.57</v>
      </c>
      <c r="BQ846" s="2" t="s">
        <v>128</v>
      </c>
      <c r="BR846" s="2" t="s">
        <v>103</v>
      </c>
      <c r="BS846" s="3">
        <v>43075</v>
      </c>
      <c r="BT846" s="4">
        <v>0.40625</v>
      </c>
      <c r="BU846" s="2" t="s">
        <v>1366</v>
      </c>
      <c r="BV846" s="2" t="s">
        <v>85</v>
      </c>
      <c r="BY846" s="2">
        <v>19602</v>
      </c>
      <c r="CA846" s="2" t="s">
        <v>497</v>
      </c>
      <c r="CC846" s="2" t="s">
        <v>99</v>
      </c>
      <c r="CD846" s="2">
        <v>3201</v>
      </c>
      <c r="CE846" s="2" t="s">
        <v>87</v>
      </c>
      <c r="CF846" s="3">
        <v>43076</v>
      </c>
      <c r="CI846" s="2">
        <v>1</v>
      </c>
      <c r="CJ846" s="2">
        <v>1</v>
      </c>
      <c r="CK846" s="2">
        <v>21</v>
      </c>
      <c r="CL846" s="2" t="s">
        <v>89</v>
      </c>
    </row>
    <row r="847" spans="1:90">
      <c r="A847" s="2" t="s">
        <v>71</v>
      </c>
      <c r="B847" s="2" t="s">
        <v>72</v>
      </c>
      <c r="C847" s="2" t="s">
        <v>73</v>
      </c>
      <c r="E847" s="2" t="str">
        <f>"FES1162594015"</f>
        <v>FES1162594015</v>
      </c>
      <c r="F847" s="3">
        <v>43074</v>
      </c>
      <c r="G847" s="2">
        <v>201806</v>
      </c>
      <c r="H847" s="2" t="s">
        <v>74</v>
      </c>
      <c r="I847" s="2" t="s">
        <v>75</v>
      </c>
      <c r="J847" s="2" t="s">
        <v>97</v>
      </c>
      <c r="K847" s="2" t="s">
        <v>77</v>
      </c>
      <c r="L847" s="2" t="s">
        <v>125</v>
      </c>
      <c r="M847" s="2" t="s">
        <v>126</v>
      </c>
      <c r="N847" s="2" t="s">
        <v>1367</v>
      </c>
      <c r="O847" s="2" t="s">
        <v>101</v>
      </c>
      <c r="P847" s="2" t="str">
        <f>"2170606021                    "</f>
        <v xml:space="preserve">2170606021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5.65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1</v>
      </c>
      <c r="BJ847" s="2">
        <v>0.2</v>
      </c>
      <c r="BK847" s="2">
        <v>1</v>
      </c>
      <c r="BL847" s="2">
        <v>45.15</v>
      </c>
      <c r="BM847" s="2">
        <v>6.32</v>
      </c>
      <c r="BN847" s="2">
        <v>51.47</v>
      </c>
      <c r="BO847" s="2">
        <v>51.47</v>
      </c>
      <c r="BR847" s="2" t="s">
        <v>103</v>
      </c>
      <c r="BS847" s="3">
        <v>43075</v>
      </c>
      <c r="BT847" s="4">
        <v>0.32500000000000001</v>
      </c>
      <c r="BU847" s="2" t="s">
        <v>1368</v>
      </c>
      <c r="BV847" s="2" t="s">
        <v>85</v>
      </c>
      <c r="BY847" s="2">
        <v>1200</v>
      </c>
      <c r="CA847" s="2" t="s">
        <v>1369</v>
      </c>
      <c r="CC847" s="2" t="s">
        <v>126</v>
      </c>
      <c r="CD847" s="2">
        <v>4064</v>
      </c>
      <c r="CE847" s="2" t="s">
        <v>120</v>
      </c>
      <c r="CF847" s="3">
        <v>43076</v>
      </c>
      <c r="CI847" s="2">
        <v>1</v>
      </c>
      <c r="CJ847" s="2">
        <v>1</v>
      </c>
      <c r="CK847" s="2">
        <v>21</v>
      </c>
      <c r="CL847" s="2" t="s">
        <v>89</v>
      </c>
    </row>
    <row r="848" spans="1:90">
      <c r="A848" s="2" t="s">
        <v>71</v>
      </c>
      <c r="B848" s="2" t="s">
        <v>72</v>
      </c>
      <c r="C848" s="2" t="s">
        <v>73</v>
      </c>
      <c r="E848" s="2" t="str">
        <f>"FES1162594017"</f>
        <v>FES1162594017</v>
      </c>
      <c r="F848" s="3">
        <v>43074</v>
      </c>
      <c r="G848" s="2">
        <v>201806</v>
      </c>
      <c r="H848" s="2" t="s">
        <v>74</v>
      </c>
      <c r="I848" s="2" t="s">
        <v>75</v>
      </c>
      <c r="J848" s="2" t="s">
        <v>97</v>
      </c>
      <c r="K848" s="2" t="s">
        <v>77</v>
      </c>
      <c r="L848" s="2" t="s">
        <v>168</v>
      </c>
      <c r="M848" s="2" t="s">
        <v>169</v>
      </c>
      <c r="N848" s="2" t="s">
        <v>170</v>
      </c>
      <c r="O848" s="2" t="s">
        <v>101</v>
      </c>
      <c r="P848" s="2" t="str">
        <f>"2170606024                    "</f>
        <v xml:space="preserve">2170606024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5.65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</v>
      </c>
      <c r="BJ848" s="2">
        <v>0.2</v>
      </c>
      <c r="BK848" s="2">
        <v>1</v>
      </c>
      <c r="BL848" s="2">
        <v>45.15</v>
      </c>
      <c r="BM848" s="2">
        <v>6.32</v>
      </c>
      <c r="BN848" s="2">
        <v>51.47</v>
      </c>
      <c r="BO848" s="2">
        <v>51.47</v>
      </c>
      <c r="BQ848" s="2" t="s">
        <v>128</v>
      </c>
      <c r="BR848" s="2" t="s">
        <v>103</v>
      </c>
      <c r="BS848" s="3">
        <v>43075</v>
      </c>
      <c r="BT848" s="4">
        <v>0.3888888888888889</v>
      </c>
      <c r="BU848" s="2" t="s">
        <v>546</v>
      </c>
      <c r="BV848" s="2" t="s">
        <v>85</v>
      </c>
      <c r="BY848" s="2">
        <v>1200</v>
      </c>
      <c r="CA848" s="2" t="s">
        <v>172</v>
      </c>
      <c r="CC848" s="2" t="s">
        <v>169</v>
      </c>
      <c r="CD848" s="2">
        <v>3610</v>
      </c>
      <c r="CE848" s="2" t="s">
        <v>120</v>
      </c>
      <c r="CF848" s="3">
        <v>43076</v>
      </c>
      <c r="CI848" s="2">
        <v>1</v>
      </c>
      <c r="CJ848" s="2">
        <v>1</v>
      </c>
      <c r="CK848" s="2">
        <v>21</v>
      </c>
      <c r="CL848" s="2" t="s">
        <v>89</v>
      </c>
    </row>
    <row r="849" spans="1:90">
      <c r="A849" s="2" t="s">
        <v>71</v>
      </c>
      <c r="B849" s="2" t="s">
        <v>72</v>
      </c>
      <c r="C849" s="2" t="s">
        <v>73</v>
      </c>
      <c r="E849" s="2" t="str">
        <f>"FES1162594087"</f>
        <v>FES1162594087</v>
      </c>
      <c r="F849" s="3">
        <v>43074</v>
      </c>
      <c r="G849" s="2">
        <v>201806</v>
      </c>
      <c r="H849" s="2" t="s">
        <v>74</v>
      </c>
      <c r="I849" s="2" t="s">
        <v>75</v>
      </c>
      <c r="J849" s="2" t="s">
        <v>97</v>
      </c>
      <c r="K849" s="2" t="s">
        <v>77</v>
      </c>
      <c r="L849" s="2" t="s">
        <v>173</v>
      </c>
      <c r="M849" s="2" t="s">
        <v>174</v>
      </c>
      <c r="N849" s="2" t="s">
        <v>802</v>
      </c>
      <c r="O849" s="2" t="s">
        <v>101</v>
      </c>
      <c r="P849" s="2" t="str">
        <f>"2170605814                    "</f>
        <v xml:space="preserve">2170605814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5.65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1</v>
      </c>
      <c r="BJ849" s="2">
        <v>0.2</v>
      </c>
      <c r="BK849" s="2">
        <v>1</v>
      </c>
      <c r="BL849" s="2">
        <v>45.15</v>
      </c>
      <c r="BM849" s="2">
        <v>6.32</v>
      </c>
      <c r="BN849" s="2">
        <v>51.47</v>
      </c>
      <c r="BO849" s="2">
        <v>51.47</v>
      </c>
      <c r="BQ849" s="2" t="s">
        <v>102</v>
      </c>
      <c r="BR849" s="2" t="s">
        <v>103</v>
      </c>
      <c r="BS849" s="3">
        <v>43075</v>
      </c>
      <c r="BT849" s="4">
        <v>0.54375000000000007</v>
      </c>
      <c r="BU849" s="2" t="s">
        <v>1370</v>
      </c>
      <c r="BV849" s="2" t="s">
        <v>89</v>
      </c>
      <c r="BW849" s="2" t="s">
        <v>149</v>
      </c>
      <c r="BX849" s="2" t="s">
        <v>411</v>
      </c>
      <c r="BY849" s="2">
        <v>1200</v>
      </c>
      <c r="CA849" s="2" t="s">
        <v>1267</v>
      </c>
      <c r="CC849" s="2" t="s">
        <v>174</v>
      </c>
      <c r="CD849" s="2">
        <v>7441</v>
      </c>
      <c r="CE849" s="2" t="s">
        <v>120</v>
      </c>
      <c r="CF849" s="3">
        <v>43075</v>
      </c>
      <c r="CI849" s="2">
        <v>1</v>
      </c>
      <c r="CJ849" s="2">
        <v>1</v>
      </c>
      <c r="CK849" s="2">
        <v>21</v>
      </c>
      <c r="CL849" s="2" t="s">
        <v>89</v>
      </c>
    </row>
    <row r="850" spans="1:90">
      <c r="A850" s="2" t="s">
        <v>71</v>
      </c>
      <c r="B850" s="2" t="s">
        <v>72</v>
      </c>
      <c r="C850" s="2" t="s">
        <v>73</v>
      </c>
      <c r="E850" s="2" t="str">
        <f>"FES1162594006"</f>
        <v>FES1162594006</v>
      </c>
      <c r="F850" s="3">
        <v>43074</v>
      </c>
      <c r="G850" s="2">
        <v>201806</v>
      </c>
      <c r="H850" s="2" t="s">
        <v>74</v>
      </c>
      <c r="I850" s="2" t="s">
        <v>75</v>
      </c>
      <c r="J850" s="2" t="s">
        <v>97</v>
      </c>
      <c r="K850" s="2" t="s">
        <v>77</v>
      </c>
      <c r="L850" s="2" t="s">
        <v>131</v>
      </c>
      <c r="M850" s="2" t="s">
        <v>132</v>
      </c>
      <c r="N850" s="2" t="s">
        <v>228</v>
      </c>
      <c r="O850" s="2" t="s">
        <v>101</v>
      </c>
      <c r="P850" s="2" t="str">
        <f>"2170606013                    "</f>
        <v xml:space="preserve">2170606013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5.65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1</v>
      </c>
      <c r="BJ850" s="2">
        <v>0.2</v>
      </c>
      <c r="BK850" s="2">
        <v>1</v>
      </c>
      <c r="BL850" s="2">
        <v>45.15</v>
      </c>
      <c r="BM850" s="2">
        <v>6.32</v>
      </c>
      <c r="BN850" s="2">
        <v>51.47</v>
      </c>
      <c r="BO850" s="2">
        <v>51.47</v>
      </c>
      <c r="BQ850" s="2" t="s">
        <v>229</v>
      </c>
      <c r="BR850" s="2" t="s">
        <v>103</v>
      </c>
      <c r="BS850" s="3">
        <v>43075</v>
      </c>
      <c r="BT850" s="4">
        <v>0.43055555555555558</v>
      </c>
      <c r="BU850" s="2" t="s">
        <v>230</v>
      </c>
      <c r="BV850" s="2" t="s">
        <v>85</v>
      </c>
      <c r="BY850" s="2">
        <v>1200</v>
      </c>
      <c r="CA850" s="2" t="s">
        <v>231</v>
      </c>
      <c r="CC850" s="2" t="s">
        <v>132</v>
      </c>
      <c r="CD850" s="2">
        <v>4300</v>
      </c>
      <c r="CE850" s="2" t="s">
        <v>120</v>
      </c>
      <c r="CF850" s="3">
        <v>43075</v>
      </c>
      <c r="CI850" s="2">
        <v>1</v>
      </c>
      <c r="CJ850" s="2">
        <v>1</v>
      </c>
      <c r="CK850" s="2">
        <v>21</v>
      </c>
      <c r="CL850" s="2" t="s">
        <v>89</v>
      </c>
    </row>
    <row r="851" spans="1:90">
      <c r="A851" s="2" t="s">
        <v>71</v>
      </c>
      <c r="B851" s="2" t="s">
        <v>72</v>
      </c>
      <c r="C851" s="2" t="s">
        <v>73</v>
      </c>
      <c r="E851" s="2" t="str">
        <f>"FES1162594071"</f>
        <v>FES1162594071</v>
      </c>
      <c r="F851" s="3">
        <v>43074</v>
      </c>
      <c r="G851" s="2">
        <v>201806</v>
      </c>
      <c r="H851" s="2" t="s">
        <v>74</v>
      </c>
      <c r="I851" s="2" t="s">
        <v>75</v>
      </c>
      <c r="J851" s="2" t="s">
        <v>97</v>
      </c>
      <c r="K851" s="2" t="s">
        <v>77</v>
      </c>
      <c r="L851" s="2" t="s">
        <v>125</v>
      </c>
      <c r="M851" s="2" t="s">
        <v>126</v>
      </c>
      <c r="N851" s="2" t="s">
        <v>858</v>
      </c>
      <c r="O851" s="2" t="s">
        <v>101</v>
      </c>
      <c r="P851" s="2" t="str">
        <f>"2170606079                    "</f>
        <v xml:space="preserve">2170606079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5.65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1</v>
      </c>
      <c r="BJ851" s="2">
        <v>0.2</v>
      </c>
      <c r="BK851" s="2">
        <v>1</v>
      </c>
      <c r="BL851" s="2">
        <v>45.15</v>
      </c>
      <c r="BM851" s="2">
        <v>6.32</v>
      </c>
      <c r="BN851" s="2">
        <v>51.47</v>
      </c>
      <c r="BO851" s="2">
        <v>51.47</v>
      </c>
      <c r="BQ851" s="2" t="s">
        <v>82</v>
      </c>
      <c r="BR851" s="2" t="s">
        <v>103</v>
      </c>
      <c r="BS851" s="3">
        <v>43075</v>
      </c>
      <c r="BT851" s="4">
        <v>0.36805555555555558</v>
      </c>
      <c r="BU851" s="2" t="s">
        <v>859</v>
      </c>
      <c r="BV851" s="2" t="s">
        <v>85</v>
      </c>
      <c r="BY851" s="2">
        <v>1200</v>
      </c>
      <c r="CA851" s="2" t="s">
        <v>666</v>
      </c>
      <c r="CC851" s="2" t="s">
        <v>126</v>
      </c>
      <c r="CD851" s="2">
        <v>4001</v>
      </c>
      <c r="CE851" s="2" t="s">
        <v>120</v>
      </c>
      <c r="CF851" s="3">
        <v>43076</v>
      </c>
      <c r="CI851" s="2">
        <v>1</v>
      </c>
      <c r="CJ851" s="2">
        <v>1</v>
      </c>
      <c r="CK851" s="2">
        <v>21</v>
      </c>
      <c r="CL851" s="2" t="s">
        <v>89</v>
      </c>
    </row>
    <row r="852" spans="1:90">
      <c r="A852" s="2" t="s">
        <v>71</v>
      </c>
      <c r="B852" s="2" t="s">
        <v>72</v>
      </c>
      <c r="C852" s="2" t="s">
        <v>73</v>
      </c>
      <c r="E852" s="2" t="str">
        <f>"FES1162594040"</f>
        <v>FES1162594040</v>
      </c>
      <c r="F852" s="3">
        <v>43074</v>
      </c>
      <c r="G852" s="2">
        <v>201806</v>
      </c>
      <c r="H852" s="2" t="s">
        <v>74</v>
      </c>
      <c r="I852" s="2" t="s">
        <v>75</v>
      </c>
      <c r="J852" s="2" t="s">
        <v>97</v>
      </c>
      <c r="K852" s="2" t="s">
        <v>77</v>
      </c>
      <c r="L852" s="2" t="s">
        <v>152</v>
      </c>
      <c r="M852" s="2" t="s">
        <v>153</v>
      </c>
      <c r="N852" s="2" t="s">
        <v>1371</v>
      </c>
      <c r="O852" s="2" t="s">
        <v>101</v>
      </c>
      <c r="P852" s="2" t="str">
        <f>"2170606047                    "</f>
        <v xml:space="preserve">2170606047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4.41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1</v>
      </c>
      <c r="BJ852" s="2">
        <v>0.2</v>
      </c>
      <c r="BK852" s="2">
        <v>1</v>
      </c>
      <c r="BL852" s="2">
        <v>35.270000000000003</v>
      </c>
      <c r="BM852" s="2">
        <v>4.9400000000000004</v>
      </c>
      <c r="BN852" s="2">
        <v>40.21</v>
      </c>
      <c r="BO852" s="2">
        <v>40.21</v>
      </c>
      <c r="BQ852" s="2" t="s">
        <v>1372</v>
      </c>
      <c r="BR852" s="2" t="s">
        <v>103</v>
      </c>
      <c r="BS852" s="3">
        <v>43075</v>
      </c>
      <c r="BT852" s="4">
        <v>0.3125</v>
      </c>
      <c r="BU852" s="2" t="s">
        <v>1373</v>
      </c>
      <c r="BV852" s="2" t="s">
        <v>85</v>
      </c>
      <c r="BY852" s="2">
        <v>1200</v>
      </c>
      <c r="CA852" s="2" t="s">
        <v>293</v>
      </c>
      <c r="CC852" s="2" t="s">
        <v>153</v>
      </c>
      <c r="CD852" s="2">
        <v>1406</v>
      </c>
      <c r="CE852" s="2" t="s">
        <v>120</v>
      </c>
      <c r="CF852" s="3">
        <v>43077</v>
      </c>
      <c r="CI852" s="2">
        <v>1</v>
      </c>
      <c r="CJ852" s="2">
        <v>1</v>
      </c>
      <c r="CK852" s="2">
        <v>22</v>
      </c>
      <c r="CL852" s="2" t="s">
        <v>89</v>
      </c>
    </row>
    <row r="853" spans="1:90">
      <c r="A853" s="2" t="s">
        <v>71</v>
      </c>
      <c r="B853" s="2" t="s">
        <v>72</v>
      </c>
      <c r="C853" s="2" t="s">
        <v>73</v>
      </c>
      <c r="E853" s="2" t="str">
        <f>"FES1162594083"</f>
        <v>FES1162594083</v>
      </c>
      <c r="F853" s="3">
        <v>43074</v>
      </c>
      <c r="G853" s="2">
        <v>201806</v>
      </c>
      <c r="H853" s="2" t="s">
        <v>74</v>
      </c>
      <c r="I853" s="2" t="s">
        <v>75</v>
      </c>
      <c r="J853" s="2" t="s">
        <v>97</v>
      </c>
      <c r="K853" s="2" t="s">
        <v>77</v>
      </c>
      <c r="L853" s="2" t="s">
        <v>125</v>
      </c>
      <c r="M853" s="2" t="s">
        <v>126</v>
      </c>
      <c r="N853" s="2" t="s">
        <v>1374</v>
      </c>
      <c r="O853" s="2" t="s">
        <v>101</v>
      </c>
      <c r="P853" s="2" t="str">
        <f>"217060099                     "</f>
        <v xml:space="preserve">217060099 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5.65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</v>
      </c>
      <c r="BJ853" s="2">
        <v>0.2</v>
      </c>
      <c r="BK853" s="2">
        <v>1</v>
      </c>
      <c r="BL853" s="2">
        <v>45.15</v>
      </c>
      <c r="BM853" s="2">
        <v>6.32</v>
      </c>
      <c r="BN853" s="2">
        <v>51.47</v>
      </c>
      <c r="BO853" s="2">
        <v>51.47</v>
      </c>
      <c r="BQ853" s="2" t="s">
        <v>142</v>
      </c>
      <c r="BR853" s="2" t="s">
        <v>103</v>
      </c>
      <c r="BS853" s="3">
        <v>43075</v>
      </c>
      <c r="BT853" s="4">
        <v>0.3576388888888889</v>
      </c>
      <c r="BU853" s="2" t="s">
        <v>1375</v>
      </c>
      <c r="BV853" s="2" t="s">
        <v>85</v>
      </c>
      <c r="BY853" s="2">
        <v>1200</v>
      </c>
      <c r="CA853" s="2" t="s">
        <v>666</v>
      </c>
      <c r="CC853" s="2" t="s">
        <v>126</v>
      </c>
      <c r="CD853" s="2">
        <v>4001</v>
      </c>
      <c r="CE853" s="2" t="s">
        <v>120</v>
      </c>
      <c r="CF853" s="3">
        <v>43076</v>
      </c>
      <c r="CI853" s="2">
        <v>1</v>
      </c>
      <c r="CJ853" s="2">
        <v>1</v>
      </c>
      <c r="CK853" s="2">
        <v>21</v>
      </c>
      <c r="CL853" s="2" t="s">
        <v>89</v>
      </c>
    </row>
    <row r="854" spans="1:90">
      <c r="A854" s="2" t="s">
        <v>71</v>
      </c>
      <c r="B854" s="2" t="s">
        <v>72</v>
      </c>
      <c r="C854" s="2" t="s">
        <v>73</v>
      </c>
      <c r="E854" s="2" t="str">
        <f>"FES1162593787"</f>
        <v>FES1162593787</v>
      </c>
      <c r="F854" s="3">
        <v>43074</v>
      </c>
      <c r="G854" s="2">
        <v>201806</v>
      </c>
      <c r="H854" s="2" t="s">
        <v>74</v>
      </c>
      <c r="I854" s="2" t="s">
        <v>75</v>
      </c>
      <c r="J854" s="2" t="s">
        <v>97</v>
      </c>
      <c r="K854" s="2" t="s">
        <v>77</v>
      </c>
      <c r="L854" s="2" t="s">
        <v>158</v>
      </c>
      <c r="M854" s="2" t="s">
        <v>159</v>
      </c>
      <c r="N854" s="2" t="s">
        <v>564</v>
      </c>
      <c r="O854" s="2" t="s">
        <v>101</v>
      </c>
      <c r="P854" s="2" t="str">
        <f>"2170604341                    "</f>
        <v xml:space="preserve">2170604341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5.65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</v>
      </c>
      <c r="BJ854" s="2">
        <v>0.2</v>
      </c>
      <c r="BK854" s="2">
        <v>1</v>
      </c>
      <c r="BL854" s="2">
        <v>45.15</v>
      </c>
      <c r="BM854" s="2">
        <v>6.32</v>
      </c>
      <c r="BN854" s="2">
        <v>51.47</v>
      </c>
      <c r="BO854" s="2">
        <v>51.47</v>
      </c>
      <c r="BQ854" s="2" t="s">
        <v>128</v>
      </c>
      <c r="BR854" s="2" t="s">
        <v>103</v>
      </c>
      <c r="BS854" s="3">
        <v>43075</v>
      </c>
      <c r="BT854" s="4">
        <v>0.5</v>
      </c>
      <c r="BU854" s="2" t="s">
        <v>1181</v>
      </c>
      <c r="BV854" s="2" t="s">
        <v>89</v>
      </c>
      <c r="BW854" s="2" t="s">
        <v>156</v>
      </c>
      <c r="BX854" s="2" t="s">
        <v>968</v>
      </c>
      <c r="BY854" s="2">
        <v>1200</v>
      </c>
      <c r="CC854" s="2" t="s">
        <v>159</v>
      </c>
      <c r="CD854" s="2">
        <v>200</v>
      </c>
      <c r="CE854" s="2" t="s">
        <v>120</v>
      </c>
      <c r="CF854" s="3">
        <v>43077</v>
      </c>
      <c r="CI854" s="2">
        <v>1</v>
      </c>
      <c r="CJ854" s="2">
        <v>1</v>
      </c>
      <c r="CK854" s="2">
        <v>21</v>
      </c>
      <c r="CL854" s="2" t="s">
        <v>89</v>
      </c>
    </row>
    <row r="855" spans="1:90">
      <c r="A855" s="2" t="s">
        <v>71</v>
      </c>
      <c r="B855" s="2" t="s">
        <v>72</v>
      </c>
      <c r="C855" s="2" t="s">
        <v>73</v>
      </c>
      <c r="E855" s="2" t="str">
        <f>"FES1162593935"</f>
        <v>FES1162593935</v>
      </c>
      <c r="F855" s="3">
        <v>43074</v>
      </c>
      <c r="G855" s="2">
        <v>201806</v>
      </c>
      <c r="H855" s="2" t="s">
        <v>74</v>
      </c>
      <c r="I855" s="2" t="s">
        <v>75</v>
      </c>
      <c r="J855" s="2" t="s">
        <v>97</v>
      </c>
      <c r="K855" s="2" t="s">
        <v>77</v>
      </c>
      <c r="L855" s="2" t="s">
        <v>106</v>
      </c>
      <c r="M855" s="2" t="s">
        <v>107</v>
      </c>
      <c r="N855" s="2" t="s">
        <v>630</v>
      </c>
      <c r="O855" s="2" t="s">
        <v>101</v>
      </c>
      <c r="P855" s="2" t="str">
        <f>"2170605921                    "</f>
        <v xml:space="preserve">2170605921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4.41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35.270000000000003</v>
      </c>
      <c r="BM855" s="2">
        <v>4.9400000000000004</v>
      </c>
      <c r="BN855" s="2">
        <v>40.21</v>
      </c>
      <c r="BO855" s="2">
        <v>40.21</v>
      </c>
      <c r="BQ855" s="2" t="s">
        <v>631</v>
      </c>
      <c r="BR855" s="2" t="s">
        <v>103</v>
      </c>
      <c r="BS855" s="3">
        <v>43075</v>
      </c>
      <c r="BT855" s="4">
        <v>0.35000000000000003</v>
      </c>
      <c r="BU855" s="2" t="s">
        <v>1193</v>
      </c>
      <c r="BV855" s="2" t="s">
        <v>85</v>
      </c>
      <c r="BY855" s="2">
        <v>1200</v>
      </c>
      <c r="CA855" s="2" t="s">
        <v>453</v>
      </c>
      <c r="CC855" s="2" t="s">
        <v>107</v>
      </c>
      <c r="CD855" s="2">
        <v>2093</v>
      </c>
      <c r="CE855" s="2" t="s">
        <v>120</v>
      </c>
      <c r="CF855" s="3">
        <v>43077</v>
      </c>
      <c r="CI855" s="2">
        <v>1</v>
      </c>
      <c r="CJ855" s="2">
        <v>1</v>
      </c>
      <c r="CK855" s="2">
        <v>22</v>
      </c>
      <c r="CL855" s="2" t="s">
        <v>89</v>
      </c>
    </row>
    <row r="856" spans="1:90">
      <c r="A856" s="2" t="s">
        <v>71</v>
      </c>
      <c r="B856" s="2" t="s">
        <v>72</v>
      </c>
      <c r="C856" s="2" t="s">
        <v>73</v>
      </c>
      <c r="E856" s="2" t="str">
        <f>"FES1162594065"</f>
        <v>FES1162594065</v>
      </c>
      <c r="F856" s="3">
        <v>43074</v>
      </c>
      <c r="G856" s="2">
        <v>201806</v>
      </c>
      <c r="H856" s="2" t="s">
        <v>74</v>
      </c>
      <c r="I856" s="2" t="s">
        <v>75</v>
      </c>
      <c r="J856" s="2" t="s">
        <v>97</v>
      </c>
      <c r="K856" s="2" t="s">
        <v>77</v>
      </c>
      <c r="L856" s="2" t="s">
        <v>125</v>
      </c>
      <c r="M856" s="2" t="s">
        <v>126</v>
      </c>
      <c r="N856" s="2" t="s">
        <v>858</v>
      </c>
      <c r="O856" s="2" t="s">
        <v>101</v>
      </c>
      <c r="P856" s="2" t="str">
        <f>"2170605895                    "</f>
        <v xml:space="preserve">2170605895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35.29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12.1</v>
      </c>
      <c r="BJ856" s="2">
        <v>3.5</v>
      </c>
      <c r="BK856" s="2">
        <v>12.5</v>
      </c>
      <c r="BL856" s="2">
        <v>282.06</v>
      </c>
      <c r="BM856" s="2">
        <v>39.49</v>
      </c>
      <c r="BN856" s="2">
        <v>321.55</v>
      </c>
      <c r="BO856" s="2">
        <v>321.55</v>
      </c>
      <c r="BQ856" s="2" t="s">
        <v>82</v>
      </c>
      <c r="BR856" s="2" t="s">
        <v>103</v>
      </c>
      <c r="BS856" s="3">
        <v>43075</v>
      </c>
      <c r="BT856" s="4">
        <v>0.36805555555555558</v>
      </c>
      <c r="BU856" s="2" t="s">
        <v>859</v>
      </c>
      <c r="BV856" s="2" t="s">
        <v>85</v>
      </c>
      <c r="BY856" s="2">
        <v>17342.21</v>
      </c>
      <c r="CA856" s="2" t="s">
        <v>666</v>
      </c>
      <c r="CC856" s="2" t="s">
        <v>126</v>
      </c>
      <c r="CD856" s="2">
        <v>4001</v>
      </c>
      <c r="CE856" s="2" t="s">
        <v>95</v>
      </c>
      <c r="CF856" s="3">
        <v>43076</v>
      </c>
      <c r="CI856" s="2">
        <v>1</v>
      </c>
      <c r="CJ856" s="2">
        <v>1</v>
      </c>
      <c r="CK856" s="2">
        <v>21</v>
      </c>
      <c r="CL856" s="2" t="s">
        <v>89</v>
      </c>
    </row>
    <row r="857" spans="1:90">
      <c r="A857" s="2" t="s">
        <v>71</v>
      </c>
      <c r="B857" s="2" t="s">
        <v>72</v>
      </c>
      <c r="C857" s="2" t="s">
        <v>73</v>
      </c>
      <c r="E857" s="2" t="str">
        <f>"FES1162594077"</f>
        <v>FES1162594077</v>
      </c>
      <c r="F857" s="3">
        <v>43074</v>
      </c>
      <c r="G857" s="2">
        <v>201806</v>
      </c>
      <c r="H857" s="2" t="s">
        <v>74</v>
      </c>
      <c r="I857" s="2" t="s">
        <v>75</v>
      </c>
      <c r="J857" s="2" t="s">
        <v>97</v>
      </c>
      <c r="K857" s="2" t="s">
        <v>77</v>
      </c>
      <c r="L857" s="2" t="s">
        <v>74</v>
      </c>
      <c r="M857" s="2" t="s">
        <v>75</v>
      </c>
      <c r="N857" s="2" t="s">
        <v>925</v>
      </c>
      <c r="O857" s="2" t="s">
        <v>101</v>
      </c>
      <c r="P857" s="2" t="str">
        <f>"21706092                      "</f>
        <v xml:space="preserve">21706092  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4.41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2</v>
      </c>
      <c r="BJ857" s="2">
        <v>0.8</v>
      </c>
      <c r="BK857" s="2">
        <v>2</v>
      </c>
      <c r="BL857" s="2">
        <v>35.270000000000003</v>
      </c>
      <c r="BM857" s="2">
        <v>4.9400000000000004</v>
      </c>
      <c r="BN857" s="2">
        <v>40.21</v>
      </c>
      <c r="BO857" s="2">
        <v>40.21</v>
      </c>
      <c r="BQ857" s="2" t="s">
        <v>926</v>
      </c>
      <c r="BR857" s="2" t="s">
        <v>103</v>
      </c>
      <c r="BS857" s="3">
        <v>43075</v>
      </c>
      <c r="BT857" s="4">
        <v>0.44027777777777777</v>
      </c>
      <c r="BU857" s="2" t="s">
        <v>927</v>
      </c>
      <c r="BV857" s="2" t="s">
        <v>85</v>
      </c>
      <c r="BY857" s="2">
        <v>3900</v>
      </c>
      <c r="CA857" s="2" t="s">
        <v>355</v>
      </c>
      <c r="CC857" s="2" t="s">
        <v>75</v>
      </c>
      <c r="CD857" s="2">
        <v>1600</v>
      </c>
      <c r="CE857" s="2" t="s">
        <v>87</v>
      </c>
      <c r="CF857" s="3">
        <v>43077</v>
      </c>
      <c r="CI857" s="2">
        <v>1</v>
      </c>
      <c r="CJ857" s="2">
        <v>1</v>
      </c>
      <c r="CK857" s="2">
        <v>22</v>
      </c>
      <c r="CL857" s="2" t="s">
        <v>89</v>
      </c>
    </row>
    <row r="858" spans="1:90">
      <c r="A858" s="2" t="s">
        <v>71</v>
      </c>
      <c r="B858" s="2" t="s">
        <v>72</v>
      </c>
      <c r="C858" s="2" t="s">
        <v>73</v>
      </c>
      <c r="E858" s="2" t="str">
        <f>"FES1162593971"</f>
        <v>FES1162593971</v>
      </c>
      <c r="F858" s="3">
        <v>43074</v>
      </c>
      <c r="G858" s="2">
        <v>201806</v>
      </c>
      <c r="H858" s="2" t="s">
        <v>74</v>
      </c>
      <c r="I858" s="2" t="s">
        <v>75</v>
      </c>
      <c r="J858" s="2" t="s">
        <v>97</v>
      </c>
      <c r="K858" s="2" t="s">
        <v>77</v>
      </c>
      <c r="L858" s="2" t="s">
        <v>152</v>
      </c>
      <c r="M858" s="2" t="s">
        <v>153</v>
      </c>
      <c r="N858" s="2" t="s">
        <v>1290</v>
      </c>
      <c r="O858" s="2" t="s">
        <v>101</v>
      </c>
      <c r="P858" s="2" t="str">
        <f>"217060988                     "</f>
        <v xml:space="preserve">217060988 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5.47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9.1999999999999993</v>
      </c>
      <c r="BJ858" s="2">
        <v>9.1</v>
      </c>
      <c r="BK858" s="2">
        <v>10</v>
      </c>
      <c r="BL858" s="2">
        <v>43.73</v>
      </c>
      <c r="BM858" s="2">
        <v>6.12</v>
      </c>
      <c r="BN858" s="2">
        <v>49.85</v>
      </c>
      <c r="BO858" s="2">
        <v>49.85</v>
      </c>
      <c r="BR858" s="2" t="s">
        <v>103</v>
      </c>
      <c r="BS858" s="3">
        <v>43075</v>
      </c>
      <c r="BT858" s="4">
        <v>0.4375</v>
      </c>
      <c r="BU858" s="2" t="s">
        <v>1376</v>
      </c>
      <c r="BV858" s="2" t="s">
        <v>85</v>
      </c>
      <c r="BY858" s="2">
        <v>45745.7</v>
      </c>
      <c r="CA858" s="2" t="s">
        <v>1292</v>
      </c>
      <c r="CC858" s="2" t="s">
        <v>153</v>
      </c>
      <c r="CD858" s="2">
        <v>1428</v>
      </c>
      <c r="CE858" s="2" t="s">
        <v>95</v>
      </c>
      <c r="CF858" s="3">
        <v>43077</v>
      </c>
      <c r="CI858" s="2">
        <v>1</v>
      </c>
      <c r="CJ858" s="2">
        <v>1</v>
      </c>
      <c r="CK858" s="2">
        <v>22</v>
      </c>
      <c r="CL858" s="2" t="s">
        <v>89</v>
      </c>
    </row>
    <row r="859" spans="1:90">
      <c r="A859" s="2" t="s">
        <v>71</v>
      </c>
      <c r="B859" s="2" t="s">
        <v>72</v>
      </c>
      <c r="C859" s="2" t="s">
        <v>73</v>
      </c>
      <c r="E859" s="2" t="str">
        <f>"FES1162594060"</f>
        <v>FES1162594060</v>
      </c>
      <c r="F859" s="3">
        <v>43074</v>
      </c>
      <c r="G859" s="2">
        <v>201806</v>
      </c>
      <c r="H859" s="2" t="s">
        <v>74</v>
      </c>
      <c r="I859" s="2" t="s">
        <v>75</v>
      </c>
      <c r="J859" s="2" t="s">
        <v>97</v>
      </c>
      <c r="K859" s="2" t="s">
        <v>77</v>
      </c>
      <c r="L859" s="2" t="s">
        <v>98</v>
      </c>
      <c r="M859" s="2" t="s">
        <v>99</v>
      </c>
      <c r="N859" s="2" t="s">
        <v>1182</v>
      </c>
      <c r="O859" s="2" t="s">
        <v>101</v>
      </c>
      <c r="P859" s="2" t="str">
        <f>"2170606041                    "</f>
        <v xml:space="preserve">2170606041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53.64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16.8</v>
      </c>
      <c r="BJ859" s="2">
        <v>18.7</v>
      </c>
      <c r="BK859" s="2">
        <v>19</v>
      </c>
      <c r="BL859" s="2">
        <v>428.72</v>
      </c>
      <c r="BM859" s="2">
        <v>60.02</v>
      </c>
      <c r="BN859" s="2">
        <v>488.74</v>
      </c>
      <c r="BO859" s="2">
        <v>488.74</v>
      </c>
      <c r="BQ859" s="2" t="s">
        <v>82</v>
      </c>
      <c r="BR859" s="2" t="s">
        <v>103</v>
      </c>
      <c r="BS859" s="3">
        <v>43075</v>
      </c>
      <c r="BT859" s="4">
        <v>0.38055555555555554</v>
      </c>
      <c r="BU859" s="2" t="s">
        <v>1183</v>
      </c>
      <c r="BV859" s="2" t="s">
        <v>85</v>
      </c>
      <c r="BY859" s="2">
        <v>93696.5</v>
      </c>
      <c r="CA859" s="2" t="s">
        <v>1184</v>
      </c>
      <c r="CC859" s="2" t="s">
        <v>99</v>
      </c>
      <c r="CD859" s="2">
        <v>3201</v>
      </c>
      <c r="CE859" s="2" t="s">
        <v>95</v>
      </c>
      <c r="CF859" s="3">
        <v>43077</v>
      </c>
      <c r="CI859" s="2">
        <v>1</v>
      </c>
      <c r="CJ859" s="2">
        <v>1</v>
      </c>
      <c r="CK859" s="2">
        <v>21</v>
      </c>
      <c r="CL859" s="2" t="s">
        <v>89</v>
      </c>
    </row>
    <row r="860" spans="1:90">
      <c r="A860" s="2" t="s">
        <v>71</v>
      </c>
      <c r="B860" s="2" t="s">
        <v>72</v>
      </c>
      <c r="C860" s="2" t="s">
        <v>73</v>
      </c>
      <c r="E860" s="2" t="str">
        <f>"FES1162593853"</f>
        <v>FES1162593853</v>
      </c>
      <c r="F860" s="3">
        <v>43074</v>
      </c>
      <c r="G860" s="2">
        <v>201806</v>
      </c>
      <c r="H860" s="2" t="s">
        <v>74</v>
      </c>
      <c r="I860" s="2" t="s">
        <v>75</v>
      </c>
      <c r="J860" s="2" t="s">
        <v>97</v>
      </c>
      <c r="K860" s="2" t="s">
        <v>77</v>
      </c>
      <c r="L860" s="2" t="s">
        <v>98</v>
      </c>
      <c r="M860" s="2" t="s">
        <v>99</v>
      </c>
      <c r="N860" s="2" t="s">
        <v>607</v>
      </c>
      <c r="O860" s="2" t="s">
        <v>101</v>
      </c>
      <c r="P860" s="2" t="str">
        <f>"2170604520                    "</f>
        <v xml:space="preserve">2170604520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19.760000000000002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2</v>
      </c>
      <c r="BJ860" s="2">
        <v>6.7</v>
      </c>
      <c r="BK860" s="2">
        <v>7</v>
      </c>
      <c r="BL860" s="2">
        <v>157.96</v>
      </c>
      <c r="BM860" s="2">
        <v>22.11</v>
      </c>
      <c r="BN860" s="2">
        <v>180.07</v>
      </c>
      <c r="BO860" s="2">
        <v>180.07</v>
      </c>
      <c r="BQ860" s="2" t="s">
        <v>82</v>
      </c>
      <c r="BR860" s="2" t="s">
        <v>103</v>
      </c>
      <c r="BS860" s="3">
        <v>43075</v>
      </c>
      <c r="BT860" s="4">
        <v>0.41597222222222219</v>
      </c>
      <c r="BU860" s="2" t="s">
        <v>1377</v>
      </c>
      <c r="BV860" s="2" t="s">
        <v>85</v>
      </c>
      <c r="BY860" s="2">
        <v>33614</v>
      </c>
      <c r="CA860" s="2" t="s">
        <v>497</v>
      </c>
      <c r="CC860" s="2" t="s">
        <v>99</v>
      </c>
      <c r="CD860" s="2">
        <v>3201</v>
      </c>
      <c r="CE860" s="2" t="s">
        <v>95</v>
      </c>
      <c r="CF860" s="3">
        <v>43076</v>
      </c>
      <c r="CI860" s="2">
        <v>1</v>
      </c>
      <c r="CJ860" s="2">
        <v>1</v>
      </c>
      <c r="CK860" s="2">
        <v>21</v>
      </c>
      <c r="CL860" s="2" t="s">
        <v>89</v>
      </c>
    </row>
    <row r="861" spans="1:90">
      <c r="A861" s="2" t="s">
        <v>71</v>
      </c>
      <c r="B861" s="2" t="s">
        <v>72</v>
      </c>
      <c r="C861" s="2" t="s">
        <v>73</v>
      </c>
      <c r="E861" s="2" t="str">
        <f>"FES1162593816"</f>
        <v>FES1162593816</v>
      </c>
      <c r="F861" s="3">
        <v>43074</v>
      </c>
      <c r="G861" s="2">
        <v>201806</v>
      </c>
      <c r="H861" s="2" t="s">
        <v>74</v>
      </c>
      <c r="I861" s="2" t="s">
        <v>75</v>
      </c>
      <c r="J861" s="2" t="s">
        <v>97</v>
      </c>
      <c r="K861" s="2" t="s">
        <v>77</v>
      </c>
      <c r="L861" s="2" t="s">
        <v>168</v>
      </c>
      <c r="M861" s="2" t="s">
        <v>169</v>
      </c>
      <c r="N861" s="2" t="s">
        <v>1099</v>
      </c>
      <c r="O861" s="2" t="s">
        <v>101</v>
      </c>
      <c r="P861" s="2" t="str">
        <f>"2170605838                    "</f>
        <v xml:space="preserve">2170605838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5.65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1</v>
      </c>
      <c r="BJ861" s="2">
        <v>0.2</v>
      </c>
      <c r="BK861" s="2">
        <v>1</v>
      </c>
      <c r="BL861" s="2">
        <v>45.15</v>
      </c>
      <c r="BM861" s="2">
        <v>6.32</v>
      </c>
      <c r="BN861" s="2">
        <v>51.47</v>
      </c>
      <c r="BO861" s="2">
        <v>51.47</v>
      </c>
      <c r="BQ861" s="2" t="s">
        <v>82</v>
      </c>
      <c r="BR861" s="2" t="s">
        <v>103</v>
      </c>
      <c r="BS861" s="3">
        <v>43075</v>
      </c>
      <c r="BT861" s="4">
        <v>0.40972222222222227</v>
      </c>
      <c r="BU861" s="2" t="s">
        <v>1100</v>
      </c>
      <c r="BV861" s="2" t="s">
        <v>85</v>
      </c>
      <c r="BY861" s="2">
        <v>1200</v>
      </c>
      <c r="CA861" s="2" t="s">
        <v>172</v>
      </c>
      <c r="CC861" s="2" t="s">
        <v>169</v>
      </c>
      <c r="CD861" s="2">
        <v>3610</v>
      </c>
      <c r="CE861" s="2" t="s">
        <v>120</v>
      </c>
      <c r="CF861" s="3">
        <v>43076</v>
      </c>
      <c r="CI861" s="2">
        <v>1</v>
      </c>
      <c r="CJ861" s="2">
        <v>1</v>
      </c>
      <c r="CK861" s="2">
        <v>21</v>
      </c>
      <c r="CL861" s="2" t="s">
        <v>89</v>
      </c>
    </row>
    <row r="862" spans="1:90">
      <c r="A862" s="2" t="s">
        <v>71</v>
      </c>
      <c r="B862" s="2" t="s">
        <v>72</v>
      </c>
      <c r="C862" s="2" t="s">
        <v>73</v>
      </c>
      <c r="E862" s="2" t="str">
        <f>"FES1162594076"</f>
        <v>FES1162594076</v>
      </c>
      <c r="F862" s="3">
        <v>43074</v>
      </c>
      <c r="G862" s="2">
        <v>201806</v>
      </c>
      <c r="H862" s="2" t="s">
        <v>74</v>
      </c>
      <c r="I862" s="2" t="s">
        <v>75</v>
      </c>
      <c r="J862" s="2" t="s">
        <v>97</v>
      </c>
      <c r="K862" s="2" t="s">
        <v>77</v>
      </c>
      <c r="L862" s="2" t="s">
        <v>521</v>
      </c>
      <c r="M862" s="2" t="s">
        <v>522</v>
      </c>
      <c r="N862" s="2" t="s">
        <v>523</v>
      </c>
      <c r="O862" s="2" t="s">
        <v>101</v>
      </c>
      <c r="P862" s="2" t="str">
        <f>"2170606091                    "</f>
        <v xml:space="preserve">2170606091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7.06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2.4</v>
      </c>
      <c r="BJ862" s="2">
        <v>1.6</v>
      </c>
      <c r="BK862" s="2">
        <v>2.5</v>
      </c>
      <c r="BL862" s="2">
        <v>56.43</v>
      </c>
      <c r="BM862" s="2">
        <v>7.9</v>
      </c>
      <c r="BN862" s="2">
        <v>64.33</v>
      </c>
      <c r="BO862" s="2">
        <v>64.33</v>
      </c>
      <c r="BQ862" s="2" t="s">
        <v>102</v>
      </c>
      <c r="BR862" s="2" t="s">
        <v>103</v>
      </c>
      <c r="BS862" s="3">
        <v>43075</v>
      </c>
      <c r="BT862" s="4">
        <v>0.41666666666666669</v>
      </c>
      <c r="BU862" s="2" t="s">
        <v>1378</v>
      </c>
      <c r="BV862" s="2" t="s">
        <v>85</v>
      </c>
      <c r="BY862" s="2">
        <v>7976.48</v>
      </c>
      <c r="CA862" s="2" t="s">
        <v>1379</v>
      </c>
      <c r="CC862" s="2" t="s">
        <v>522</v>
      </c>
      <c r="CD862" s="2">
        <v>6536</v>
      </c>
      <c r="CE862" s="2" t="s">
        <v>95</v>
      </c>
      <c r="CF862" s="3">
        <v>43077</v>
      </c>
      <c r="CI862" s="2">
        <v>1</v>
      </c>
      <c r="CJ862" s="2">
        <v>1</v>
      </c>
      <c r="CK862" s="2">
        <v>21</v>
      </c>
      <c r="CL862" s="2" t="s">
        <v>89</v>
      </c>
    </row>
    <row r="863" spans="1:90">
      <c r="A863" s="2" t="s">
        <v>71</v>
      </c>
      <c r="B863" s="2" t="s">
        <v>72</v>
      </c>
      <c r="C863" s="2" t="s">
        <v>73</v>
      </c>
      <c r="E863" s="2" t="str">
        <f>"FES1162593856"</f>
        <v>FES1162593856</v>
      </c>
      <c r="F863" s="3">
        <v>43074</v>
      </c>
      <c r="G863" s="2">
        <v>201806</v>
      </c>
      <c r="H863" s="2" t="s">
        <v>74</v>
      </c>
      <c r="I863" s="2" t="s">
        <v>75</v>
      </c>
      <c r="J863" s="2" t="s">
        <v>97</v>
      </c>
      <c r="K863" s="2" t="s">
        <v>77</v>
      </c>
      <c r="L863" s="2" t="s">
        <v>759</v>
      </c>
      <c r="M863" s="2" t="s">
        <v>760</v>
      </c>
      <c r="N863" s="2" t="s">
        <v>761</v>
      </c>
      <c r="O863" s="2" t="s">
        <v>101</v>
      </c>
      <c r="P863" s="2" t="str">
        <f>"2170604830                    "</f>
        <v xml:space="preserve">2170604830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5.65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1</v>
      </c>
      <c r="BJ863" s="2">
        <v>0.2</v>
      </c>
      <c r="BK863" s="2">
        <v>1</v>
      </c>
      <c r="BL863" s="2">
        <v>45.15</v>
      </c>
      <c r="BM863" s="2">
        <v>6.32</v>
      </c>
      <c r="BN863" s="2">
        <v>51.47</v>
      </c>
      <c r="BO863" s="2">
        <v>51.47</v>
      </c>
      <c r="BQ863" s="2" t="s">
        <v>82</v>
      </c>
      <c r="BR863" s="2" t="s">
        <v>103</v>
      </c>
      <c r="BS863" s="3">
        <v>43075</v>
      </c>
      <c r="BT863" s="4">
        <v>0.35347222222222219</v>
      </c>
      <c r="BU863" s="2" t="s">
        <v>1284</v>
      </c>
      <c r="BV863" s="2" t="s">
        <v>85</v>
      </c>
      <c r="BY863" s="2">
        <v>1200</v>
      </c>
      <c r="CA863" s="2" t="s">
        <v>578</v>
      </c>
      <c r="CC863" s="2" t="s">
        <v>760</v>
      </c>
      <c r="CD863" s="2">
        <v>4026</v>
      </c>
      <c r="CE863" s="2" t="s">
        <v>120</v>
      </c>
      <c r="CF863" s="3">
        <v>43076</v>
      </c>
      <c r="CI863" s="2">
        <v>1</v>
      </c>
      <c r="CJ863" s="2">
        <v>1</v>
      </c>
      <c r="CK863" s="2">
        <v>21</v>
      </c>
      <c r="CL863" s="2" t="s">
        <v>89</v>
      </c>
    </row>
    <row r="864" spans="1:90">
      <c r="A864" s="2" t="s">
        <v>71</v>
      </c>
      <c r="B864" s="2" t="s">
        <v>72</v>
      </c>
      <c r="C864" s="2" t="s">
        <v>73</v>
      </c>
      <c r="E864" s="2" t="str">
        <f>"FES1162593605"</f>
        <v>FES1162593605</v>
      </c>
      <c r="F864" s="3">
        <v>43074</v>
      </c>
      <c r="G864" s="2">
        <v>201806</v>
      </c>
      <c r="H864" s="2" t="s">
        <v>74</v>
      </c>
      <c r="I864" s="2" t="s">
        <v>75</v>
      </c>
      <c r="J864" s="2" t="s">
        <v>97</v>
      </c>
      <c r="K864" s="2" t="s">
        <v>77</v>
      </c>
      <c r="L864" s="2" t="s">
        <v>131</v>
      </c>
      <c r="M864" s="2" t="s">
        <v>132</v>
      </c>
      <c r="N864" s="2" t="s">
        <v>228</v>
      </c>
      <c r="O864" s="2" t="s">
        <v>101</v>
      </c>
      <c r="P864" s="2" t="str">
        <f>"2170605471                    "</f>
        <v xml:space="preserve">2170605471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5.65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1</v>
      </c>
      <c r="BJ864" s="2">
        <v>0.2</v>
      </c>
      <c r="BK864" s="2">
        <v>1</v>
      </c>
      <c r="BL864" s="2">
        <v>45.15</v>
      </c>
      <c r="BM864" s="2">
        <v>6.32</v>
      </c>
      <c r="BN864" s="2">
        <v>51.47</v>
      </c>
      <c r="BO864" s="2">
        <v>51.47</v>
      </c>
      <c r="BQ864" s="2" t="s">
        <v>229</v>
      </c>
      <c r="BR864" s="2" t="s">
        <v>103</v>
      </c>
      <c r="BS864" s="3">
        <v>43075</v>
      </c>
      <c r="BT864" s="4">
        <v>0.43055555555555558</v>
      </c>
      <c r="BU864" s="2" t="s">
        <v>230</v>
      </c>
      <c r="BV864" s="2" t="s">
        <v>85</v>
      </c>
      <c r="BY864" s="2">
        <v>1200</v>
      </c>
      <c r="CA864" s="2" t="s">
        <v>231</v>
      </c>
      <c r="CC864" s="2" t="s">
        <v>132</v>
      </c>
      <c r="CD864" s="2">
        <v>4300</v>
      </c>
      <c r="CE864" s="2" t="s">
        <v>120</v>
      </c>
      <c r="CF864" s="3">
        <v>43075</v>
      </c>
      <c r="CI864" s="2">
        <v>1</v>
      </c>
      <c r="CJ864" s="2">
        <v>1</v>
      </c>
      <c r="CK864" s="2">
        <v>21</v>
      </c>
      <c r="CL864" s="2" t="s">
        <v>89</v>
      </c>
    </row>
    <row r="865" spans="1:90">
      <c r="A865" s="2" t="s">
        <v>71</v>
      </c>
      <c r="B865" s="2" t="s">
        <v>72</v>
      </c>
      <c r="C865" s="2" t="s">
        <v>73</v>
      </c>
      <c r="E865" s="2" t="str">
        <f>"RFES1162593186"</f>
        <v>RFES1162593186</v>
      </c>
      <c r="F865" s="3">
        <v>43074</v>
      </c>
      <c r="G865" s="2">
        <v>201806</v>
      </c>
      <c r="H865" s="2" t="s">
        <v>125</v>
      </c>
      <c r="I865" s="2" t="s">
        <v>126</v>
      </c>
      <c r="J865" s="2" t="s">
        <v>1048</v>
      </c>
      <c r="K865" s="2" t="s">
        <v>77</v>
      </c>
      <c r="L865" s="2" t="s">
        <v>74</v>
      </c>
      <c r="M865" s="2" t="s">
        <v>75</v>
      </c>
      <c r="N865" s="2" t="s">
        <v>97</v>
      </c>
      <c r="O865" s="2" t="s">
        <v>101</v>
      </c>
      <c r="P865" s="2" t="str">
        <f>"2170603061                    "</f>
        <v xml:space="preserve">2170603061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5.65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1</v>
      </c>
      <c r="BJ865" s="2">
        <v>0.2</v>
      </c>
      <c r="BK865" s="2">
        <v>1</v>
      </c>
      <c r="BL865" s="2">
        <v>45.15</v>
      </c>
      <c r="BM865" s="2">
        <v>6.32</v>
      </c>
      <c r="BN865" s="2">
        <v>51.47</v>
      </c>
      <c r="BO865" s="2">
        <v>51.47</v>
      </c>
      <c r="BQ865" s="2" t="s">
        <v>103</v>
      </c>
      <c r="BR865" s="2">
        <v>1162593186</v>
      </c>
      <c r="BS865" s="3">
        <v>43075</v>
      </c>
      <c r="BT865" s="4">
        <v>0.38194444444444442</v>
      </c>
      <c r="BU865" s="2" t="s">
        <v>1076</v>
      </c>
      <c r="BV865" s="2" t="s">
        <v>85</v>
      </c>
      <c r="BY865" s="2">
        <v>1200</v>
      </c>
      <c r="CA865" s="2" t="s">
        <v>366</v>
      </c>
      <c r="CC865" s="2" t="s">
        <v>75</v>
      </c>
      <c r="CD865" s="2">
        <v>1600</v>
      </c>
      <c r="CE865" s="2" t="s">
        <v>120</v>
      </c>
      <c r="CF865" s="3">
        <v>43077</v>
      </c>
      <c r="CI865" s="2">
        <v>1</v>
      </c>
      <c r="CJ865" s="2">
        <v>1</v>
      </c>
      <c r="CK865" s="2">
        <v>21</v>
      </c>
      <c r="CL865" s="2" t="s">
        <v>89</v>
      </c>
    </row>
    <row r="866" spans="1:90">
      <c r="A866" s="2" t="s">
        <v>71</v>
      </c>
      <c r="B866" s="2" t="s">
        <v>72</v>
      </c>
      <c r="C866" s="2" t="s">
        <v>73</v>
      </c>
      <c r="E866" s="2" t="str">
        <f>"019911070502"</f>
        <v>019911070502</v>
      </c>
      <c r="F866" s="3">
        <v>43074</v>
      </c>
      <c r="G866" s="2">
        <v>201806</v>
      </c>
      <c r="H866" s="2" t="s">
        <v>212</v>
      </c>
      <c r="I866" s="2" t="s">
        <v>212</v>
      </c>
      <c r="J866" s="2" t="s">
        <v>1380</v>
      </c>
      <c r="K866" s="2" t="s">
        <v>77</v>
      </c>
      <c r="L866" s="2" t="s">
        <v>136</v>
      </c>
      <c r="M866" s="2" t="s">
        <v>137</v>
      </c>
      <c r="N866" s="2" t="s">
        <v>1381</v>
      </c>
      <c r="O866" s="2" t="s">
        <v>101</v>
      </c>
      <c r="P866" s="2" t="str">
        <f>"                              "</f>
        <v xml:space="preserve">          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23.3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4.5</v>
      </c>
      <c r="BJ866" s="2">
        <v>1.8</v>
      </c>
      <c r="BK866" s="2">
        <v>4.5</v>
      </c>
      <c r="BL866" s="2">
        <v>186.23</v>
      </c>
      <c r="BM866" s="2">
        <v>26.07</v>
      </c>
      <c r="BN866" s="2">
        <v>212.3</v>
      </c>
      <c r="BO866" s="2">
        <v>212.3</v>
      </c>
      <c r="BR866" s="2" t="s">
        <v>1382</v>
      </c>
      <c r="BS866" s="3">
        <v>43075</v>
      </c>
      <c r="BT866" s="4">
        <v>0.41666666666666669</v>
      </c>
      <c r="BU866" s="2" t="s">
        <v>1383</v>
      </c>
      <c r="BV866" s="2" t="s">
        <v>85</v>
      </c>
      <c r="BY866" s="2">
        <v>9060.48</v>
      </c>
      <c r="BZ866" s="2" t="s">
        <v>27</v>
      </c>
      <c r="CA866" s="2" t="s">
        <v>140</v>
      </c>
      <c r="CC866" s="2" t="s">
        <v>137</v>
      </c>
      <c r="CD866" s="2">
        <v>6000</v>
      </c>
      <c r="CE866" s="2" t="s">
        <v>87</v>
      </c>
      <c r="CF866" s="3">
        <v>43076</v>
      </c>
      <c r="CI866" s="2">
        <v>1</v>
      </c>
      <c r="CJ866" s="2">
        <v>1</v>
      </c>
      <c r="CK866" s="2">
        <v>23</v>
      </c>
      <c r="CL866" s="2" t="s">
        <v>89</v>
      </c>
    </row>
    <row r="867" spans="1:90">
      <c r="A867" s="2" t="s">
        <v>71</v>
      </c>
      <c r="B867" s="2" t="s">
        <v>72</v>
      </c>
      <c r="C867" s="2" t="s">
        <v>73</v>
      </c>
      <c r="E867" s="2" t="str">
        <f>"039902588348"</f>
        <v>039902588348</v>
      </c>
      <c r="F867" s="3">
        <v>43074</v>
      </c>
      <c r="G867" s="2">
        <v>201806</v>
      </c>
      <c r="H867" s="2" t="s">
        <v>262</v>
      </c>
      <c r="I867" s="2" t="s">
        <v>263</v>
      </c>
      <c r="J867" s="2" t="s">
        <v>642</v>
      </c>
      <c r="K867" s="2" t="s">
        <v>77</v>
      </c>
      <c r="L867" s="2" t="s">
        <v>74</v>
      </c>
      <c r="M867" s="2" t="s">
        <v>75</v>
      </c>
      <c r="N867" s="2" t="s">
        <v>76</v>
      </c>
      <c r="O867" s="2" t="s">
        <v>101</v>
      </c>
      <c r="P867" s="2" t="str">
        <f>"                              "</f>
        <v xml:space="preserve">          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11.29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3.7</v>
      </c>
      <c r="BJ867" s="2">
        <v>2.4</v>
      </c>
      <c r="BK867" s="2">
        <v>4</v>
      </c>
      <c r="BL867" s="2">
        <v>90.27</v>
      </c>
      <c r="BM867" s="2">
        <v>12.64</v>
      </c>
      <c r="BN867" s="2">
        <v>102.91</v>
      </c>
      <c r="BO867" s="2">
        <v>102.91</v>
      </c>
      <c r="BS867" s="3">
        <v>43075</v>
      </c>
      <c r="BT867" s="4">
        <v>0.375</v>
      </c>
      <c r="BU867" s="2" t="s">
        <v>1384</v>
      </c>
      <c r="BV867" s="2" t="s">
        <v>85</v>
      </c>
      <c r="BY867" s="2">
        <v>12000</v>
      </c>
      <c r="BZ867" s="2" t="s">
        <v>27</v>
      </c>
      <c r="CA867" s="2" t="s">
        <v>366</v>
      </c>
      <c r="CC867" s="2" t="s">
        <v>75</v>
      </c>
      <c r="CD867" s="2">
        <v>1600</v>
      </c>
      <c r="CE867" s="2" t="s">
        <v>95</v>
      </c>
      <c r="CF867" s="3">
        <v>43077</v>
      </c>
      <c r="CI867" s="2">
        <v>1</v>
      </c>
      <c r="CJ867" s="2">
        <v>1</v>
      </c>
      <c r="CK867" s="2">
        <v>21</v>
      </c>
      <c r="CL867" s="2" t="s">
        <v>89</v>
      </c>
    </row>
    <row r="868" spans="1:90">
      <c r="A868" s="2" t="s">
        <v>71</v>
      </c>
      <c r="B868" s="2" t="s">
        <v>72</v>
      </c>
      <c r="C868" s="2" t="s">
        <v>73</v>
      </c>
      <c r="E868" s="2" t="str">
        <f>"FES1162595029"</f>
        <v>FES1162595029</v>
      </c>
      <c r="F868" s="3">
        <v>43080</v>
      </c>
      <c r="G868" s="2">
        <v>201806</v>
      </c>
      <c r="H868" s="2" t="s">
        <v>74</v>
      </c>
      <c r="I868" s="2" t="s">
        <v>75</v>
      </c>
      <c r="J868" s="2" t="s">
        <v>97</v>
      </c>
      <c r="K868" s="2" t="s">
        <v>77</v>
      </c>
      <c r="L868" s="2" t="s">
        <v>173</v>
      </c>
      <c r="M868" s="2" t="s">
        <v>174</v>
      </c>
      <c r="N868" s="2" t="s">
        <v>323</v>
      </c>
      <c r="O868" s="2" t="s">
        <v>101</v>
      </c>
      <c r="P868" s="2" t="str">
        <f>"2170601457                    "</f>
        <v xml:space="preserve">2170601457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22.51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7</v>
      </c>
      <c r="BJ868" s="2">
        <v>0.4</v>
      </c>
      <c r="BK868" s="2">
        <v>7</v>
      </c>
      <c r="BL868" s="2">
        <v>160.71</v>
      </c>
      <c r="BM868" s="2">
        <v>22.5</v>
      </c>
      <c r="BN868" s="2">
        <v>183.21</v>
      </c>
      <c r="BO868" s="2">
        <v>183.21</v>
      </c>
      <c r="BQ868" s="2" t="s">
        <v>82</v>
      </c>
      <c r="BR868" s="2" t="s">
        <v>103</v>
      </c>
      <c r="BS868" s="3">
        <v>43081</v>
      </c>
      <c r="BT868" s="4">
        <v>0.41666666666666669</v>
      </c>
      <c r="BU868" s="2" t="s">
        <v>324</v>
      </c>
      <c r="BV868" s="2" t="s">
        <v>85</v>
      </c>
      <c r="BY868" s="2">
        <v>1900</v>
      </c>
      <c r="CA868" s="2" t="s">
        <v>177</v>
      </c>
      <c r="CC868" s="2" t="s">
        <v>174</v>
      </c>
      <c r="CD868" s="2">
        <v>7405</v>
      </c>
      <c r="CE868" s="2" t="s">
        <v>87</v>
      </c>
      <c r="CF868" s="3">
        <v>43082</v>
      </c>
      <c r="CI868" s="2">
        <v>1</v>
      </c>
      <c r="CJ868" s="2">
        <v>1</v>
      </c>
      <c r="CK868" s="2">
        <v>21</v>
      </c>
      <c r="CL868" s="2" t="s">
        <v>89</v>
      </c>
    </row>
    <row r="869" spans="1:90">
      <c r="A869" s="2" t="s">
        <v>71</v>
      </c>
      <c r="B869" s="2" t="s">
        <v>72</v>
      </c>
      <c r="C869" s="2" t="s">
        <v>73</v>
      </c>
      <c r="E869" s="2" t="str">
        <f>"FES1162594654"</f>
        <v>FES1162594654</v>
      </c>
      <c r="F869" s="3">
        <v>43080</v>
      </c>
      <c r="G869" s="2">
        <v>201806</v>
      </c>
      <c r="H869" s="2" t="s">
        <v>74</v>
      </c>
      <c r="I869" s="2" t="s">
        <v>75</v>
      </c>
      <c r="J869" s="2" t="s">
        <v>97</v>
      </c>
      <c r="K869" s="2" t="s">
        <v>77</v>
      </c>
      <c r="L869" s="2" t="s">
        <v>136</v>
      </c>
      <c r="M869" s="2" t="s">
        <v>137</v>
      </c>
      <c r="N869" s="2" t="s">
        <v>1385</v>
      </c>
      <c r="O869" s="2" t="s">
        <v>101</v>
      </c>
      <c r="P869" s="2" t="str">
        <f>"2170606498                    "</f>
        <v xml:space="preserve">2170606498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17.690000000000001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3.7</v>
      </c>
      <c r="BJ869" s="2">
        <v>5.4</v>
      </c>
      <c r="BK869" s="2">
        <v>5.5</v>
      </c>
      <c r="BL869" s="2">
        <v>126.28</v>
      </c>
      <c r="BM869" s="2">
        <v>17.68</v>
      </c>
      <c r="BN869" s="2">
        <v>143.96</v>
      </c>
      <c r="BO869" s="2">
        <v>143.96</v>
      </c>
      <c r="BQ869" s="2" t="s">
        <v>1386</v>
      </c>
      <c r="BR869" s="2" t="s">
        <v>103</v>
      </c>
      <c r="BS869" s="3">
        <v>43081</v>
      </c>
      <c r="BT869" s="4">
        <v>0.41666666666666669</v>
      </c>
      <c r="BU869" s="2" t="s">
        <v>114</v>
      </c>
      <c r="BV869" s="2" t="s">
        <v>85</v>
      </c>
      <c r="BY869" s="2">
        <v>27074.48</v>
      </c>
      <c r="CC869" s="2" t="s">
        <v>137</v>
      </c>
      <c r="CD869" s="2">
        <v>6001</v>
      </c>
      <c r="CE869" s="2" t="s">
        <v>87</v>
      </c>
      <c r="CF869" s="3">
        <v>43083</v>
      </c>
      <c r="CI869" s="2">
        <v>1</v>
      </c>
      <c r="CJ869" s="2">
        <v>1</v>
      </c>
      <c r="CK869" s="2">
        <v>21</v>
      </c>
      <c r="CL869" s="2" t="s">
        <v>89</v>
      </c>
    </row>
    <row r="870" spans="1:90">
      <c r="A870" s="2" t="s">
        <v>71</v>
      </c>
      <c r="B870" s="2" t="s">
        <v>72</v>
      </c>
      <c r="C870" s="2" t="s">
        <v>73</v>
      </c>
      <c r="E870" s="2" t="str">
        <f>"FES1162595106"</f>
        <v>FES1162595106</v>
      </c>
      <c r="F870" s="3">
        <v>43080</v>
      </c>
      <c r="G870" s="2">
        <v>201806</v>
      </c>
      <c r="H870" s="2" t="s">
        <v>74</v>
      </c>
      <c r="I870" s="2" t="s">
        <v>75</v>
      </c>
      <c r="J870" s="2" t="s">
        <v>97</v>
      </c>
      <c r="K870" s="2" t="s">
        <v>77</v>
      </c>
      <c r="L870" s="2" t="s">
        <v>173</v>
      </c>
      <c r="M870" s="2" t="s">
        <v>174</v>
      </c>
      <c r="N870" s="2" t="s">
        <v>1387</v>
      </c>
      <c r="O870" s="2" t="s">
        <v>101</v>
      </c>
      <c r="P870" s="2" t="str">
        <f>"2170606319                    "</f>
        <v xml:space="preserve">2170606319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19.3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5.6</v>
      </c>
      <c r="BJ870" s="2">
        <v>1.6</v>
      </c>
      <c r="BK870" s="2">
        <v>6</v>
      </c>
      <c r="BL870" s="2">
        <v>137.76</v>
      </c>
      <c r="BM870" s="2">
        <v>19.29</v>
      </c>
      <c r="BN870" s="2">
        <v>157.05000000000001</v>
      </c>
      <c r="BO870" s="2">
        <v>157.05000000000001</v>
      </c>
      <c r="BQ870" s="2" t="s">
        <v>82</v>
      </c>
      <c r="BR870" s="2" t="s">
        <v>103</v>
      </c>
      <c r="BS870" s="3">
        <v>43081</v>
      </c>
      <c r="BT870" s="4">
        <v>0.41111111111111115</v>
      </c>
      <c r="BU870" s="2" t="s">
        <v>1388</v>
      </c>
      <c r="BV870" s="2" t="s">
        <v>85</v>
      </c>
      <c r="BY870" s="2">
        <v>7769.7</v>
      </c>
      <c r="CA870" s="2" t="s">
        <v>1389</v>
      </c>
      <c r="CC870" s="2" t="s">
        <v>174</v>
      </c>
      <c r="CD870" s="2">
        <v>7460</v>
      </c>
      <c r="CE870" s="2" t="s">
        <v>87</v>
      </c>
      <c r="CF870" s="3">
        <v>43082</v>
      </c>
      <c r="CI870" s="2">
        <v>1</v>
      </c>
      <c r="CJ870" s="2">
        <v>1</v>
      </c>
      <c r="CK870" s="2">
        <v>21</v>
      </c>
      <c r="CL870" s="2" t="s">
        <v>89</v>
      </c>
    </row>
    <row r="871" spans="1:90">
      <c r="A871" s="2" t="s">
        <v>71</v>
      </c>
      <c r="B871" s="2" t="s">
        <v>72</v>
      </c>
      <c r="C871" s="2" t="s">
        <v>73</v>
      </c>
      <c r="E871" s="2" t="str">
        <f>"FES1162592440"</f>
        <v>FES1162592440</v>
      </c>
      <c r="F871" s="3">
        <v>43068</v>
      </c>
      <c r="G871" s="2">
        <v>201806</v>
      </c>
      <c r="H871" s="2" t="s">
        <v>74</v>
      </c>
      <c r="I871" s="2" t="s">
        <v>75</v>
      </c>
      <c r="J871" s="2" t="s">
        <v>97</v>
      </c>
      <c r="K871" s="2" t="s">
        <v>77</v>
      </c>
      <c r="L871" s="2" t="s">
        <v>490</v>
      </c>
      <c r="M871" s="2" t="s">
        <v>491</v>
      </c>
      <c r="N871" s="2" t="s">
        <v>492</v>
      </c>
      <c r="O871" s="2" t="s">
        <v>81</v>
      </c>
      <c r="P871" s="2" t="str">
        <f>"2170598860                    "</f>
        <v xml:space="preserve">2170598860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19.66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35</v>
      </c>
      <c r="BJ871" s="2">
        <v>49.6</v>
      </c>
      <c r="BK871" s="2">
        <v>50</v>
      </c>
      <c r="BL871" s="2">
        <v>162.11000000000001</v>
      </c>
      <c r="BM871" s="2">
        <v>22.7</v>
      </c>
      <c r="BN871" s="2">
        <v>184.81</v>
      </c>
      <c r="BO871" s="2">
        <v>184.81</v>
      </c>
      <c r="BR871" s="2" t="s">
        <v>103</v>
      </c>
      <c r="BS871" s="3">
        <v>43074</v>
      </c>
      <c r="BT871" s="4">
        <v>0.54166666666666663</v>
      </c>
      <c r="BU871" s="2" t="s">
        <v>1309</v>
      </c>
      <c r="BV871" s="2" t="s">
        <v>89</v>
      </c>
      <c r="BW871" s="2" t="s">
        <v>149</v>
      </c>
      <c r="BX871" s="2" t="s">
        <v>1390</v>
      </c>
      <c r="BY871" s="2">
        <v>247860</v>
      </c>
      <c r="CA871" s="2" t="s">
        <v>1391</v>
      </c>
      <c r="CC871" s="2" t="s">
        <v>491</v>
      </c>
      <c r="CD871" s="2">
        <v>3699</v>
      </c>
      <c r="CE871" s="2" t="s">
        <v>282</v>
      </c>
      <c r="CF871" s="3">
        <v>43076</v>
      </c>
      <c r="CI871" s="2">
        <v>1</v>
      </c>
      <c r="CJ871" s="2">
        <v>4</v>
      </c>
      <c r="CK871" s="2" t="s">
        <v>352</v>
      </c>
      <c r="CL871" s="2" t="s">
        <v>89</v>
      </c>
    </row>
    <row r="872" spans="1:90">
      <c r="A872" s="2" t="s">
        <v>71</v>
      </c>
      <c r="B872" s="2" t="s">
        <v>72</v>
      </c>
      <c r="C872" s="2" t="s">
        <v>73</v>
      </c>
      <c r="E872" s="2" t="str">
        <f>"FES1162594852"</f>
        <v>FES1162594852</v>
      </c>
      <c r="F872" s="3">
        <v>43080</v>
      </c>
      <c r="G872" s="2">
        <v>201806</v>
      </c>
      <c r="H872" s="2" t="s">
        <v>74</v>
      </c>
      <c r="I872" s="2" t="s">
        <v>75</v>
      </c>
      <c r="J872" s="2" t="s">
        <v>97</v>
      </c>
      <c r="K872" s="2" t="s">
        <v>77</v>
      </c>
      <c r="L872" s="2" t="s">
        <v>106</v>
      </c>
      <c r="M872" s="2" t="s">
        <v>107</v>
      </c>
      <c r="N872" s="2" t="s">
        <v>1392</v>
      </c>
      <c r="O872" s="2" t="s">
        <v>101</v>
      </c>
      <c r="P872" s="2" t="str">
        <f>"2170606741                    "</f>
        <v xml:space="preserve">2170606741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5.03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8</v>
      </c>
      <c r="BJ872" s="2">
        <v>5</v>
      </c>
      <c r="BK872" s="2">
        <v>8</v>
      </c>
      <c r="BL872" s="2">
        <v>35.89</v>
      </c>
      <c r="BM872" s="2">
        <v>5.0199999999999996</v>
      </c>
      <c r="BN872" s="2">
        <v>40.909999999999997</v>
      </c>
      <c r="BO872" s="2">
        <v>40.909999999999997</v>
      </c>
      <c r="BQ872" s="2" t="s">
        <v>82</v>
      </c>
      <c r="BR872" s="2" t="s">
        <v>103</v>
      </c>
      <c r="BS872" s="3">
        <v>43081</v>
      </c>
      <c r="BT872" s="4">
        <v>0.41666666666666669</v>
      </c>
      <c r="BU872" s="2" t="s">
        <v>1393</v>
      </c>
      <c r="BV872" s="2" t="s">
        <v>85</v>
      </c>
      <c r="BY872" s="2">
        <v>25047</v>
      </c>
      <c r="CA872" s="2" t="s">
        <v>429</v>
      </c>
      <c r="CC872" s="2" t="s">
        <v>107</v>
      </c>
      <c r="CD872" s="2">
        <v>2013</v>
      </c>
      <c r="CE872" s="2" t="s">
        <v>95</v>
      </c>
      <c r="CF872" s="3">
        <v>43082</v>
      </c>
      <c r="CI872" s="2">
        <v>1</v>
      </c>
      <c r="CJ872" s="2">
        <v>1</v>
      </c>
      <c r="CK872" s="2">
        <v>22</v>
      </c>
      <c r="CL872" s="2" t="s">
        <v>89</v>
      </c>
    </row>
    <row r="873" spans="1:90">
      <c r="A873" s="2" t="s">
        <v>71</v>
      </c>
      <c r="B873" s="2" t="s">
        <v>72</v>
      </c>
      <c r="C873" s="2" t="s">
        <v>73</v>
      </c>
      <c r="E873" s="2" t="str">
        <f>"FES1162594905"</f>
        <v>FES1162594905</v>
      </c>
      <c r="F873" s="3">
        <v>43080</v>
      </c>
      <c r="G873" s="2">
        <v>201806</v>
      </c>
      <c r="H873" s="2" t="s">
        <v>74</v>
      </c>
      <c r="I873" s="2" t="s">
        <v>75</v>
      </c>
      <c r="J873" s="2" t="s">
        <v>97</v>
      </c>
      <c r="K873" s="2" t="s">
        <v>77</v>
      </c>
      <c r="L873" s="2" t="s">
        <v>277</v>
      </c>
      <c r="M873" s="2" t="s">
        <v>278</v>
      </c>
      <c r="N873" s="2" t="s">
        <v>1394</v>
      </c>
      <c r="O873" s="2" t="s">
        <v>101</v>
      </c>
      <c r="P873" s="2" t="str">
        <f>"2170606806                    "</f>
        <v xml:space="preserve">2170606806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5.03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</v>
      </c>
      <c r="BJ873" s="2">
        <v>0.2</v>
      </c>
      <c r="BK873" s="2">
        <v>1</v>
      </c>
      <c r="BL873" s="2">
        <v>35.89</v>
      </c>
      <c r="BM873" s="2">
        <v>5.0199999999999996</v>
      </c>
      <c r="BN873" s="2">
        <v>40.909999999999997</v>
      </c>
      <c r="BO873" s="2">
        <v>40.909999999999997</v>
      </c>
      <c r="BR873" s="2" t="s">
        <v>103</v>
      </c>
      <c r="BS873" s="3">
        <v>43081</v>
      </c>
      <c r="BT873" s="4">
        <v>0.4375</v>
      </c>
      <c r="BU873" s="2" t="s">
        <v>428</v>
      </c>
      <c r="BV873" s="2" t="s">
        <v>85</v>
      </c>
      <c r="BY873" s="2">
        <v>1200</v>
      </c>
      <c r="CA873" s="2" t="s">
        <v>320</v>
      </c>
      <c r="CC873" s="2" t="s">
        <v>278</v>
      </c>
      <c r="CD873" s="2">
        <v>2163</v>
      </c>
      <c r="CE873" s="2" t="s">
        <v>120</v>
      </c>
      <c r="CF873" s="3">
        <v>43083</v>
      </c>
      <c r="CI873" s="2">
        <v>1</v>
      </c>
      <c r="CJ873" s="2">
        <v>1</v>
      </c>
      <c r="CK873" s="2">
        <v>22</v>
      </c>
      <c r="CL873" s="2" t="s">
        <v>89</v>
      </c>
    </row>
    <row r="874" spans="1:90">
      <c r="A874" s="2" t="s">
        <v>71</v>
      </c>
      <c r="B874" s="2" t="s">
        <v>72</v>
      </c>
      <c r="C874" s="2" t="s">
        <v>73</v>
      </c>
      <c r="E874" s="2" t="str">
        <f>"FES1162594879"</f>
        <v>FES1162594879</v>
      </c>
      <c r="F874" s="3">
        <v>43080</v>
      </c>
      <c r="G874" s="2">
        <v>201806</v>
      </c>
      <c r="H874" s="2" t="s">
        <v>74</v>
      </c>
      <c r="I874" s="2" t="s">
        <v>75</v>
      </c>
      <c r="J874" s="2" t="s">
        <v>97</v>
      </c>
      <c r="K874" s="2" t="s">
        <v>77</v>
      </c>
      <c r="L874" s="2" t="s">
        <v>74</v>
      </c>
      <c r="M874" s="2" t="s">
        <v>75</v>
      </c>
      <c r="N874" s="2" t="s">
        <v>184</v>
      </c>
      <c r="O874" s="2" t="s">
        <v>101</v>
      </c>
      <c r="P874" s="2" t="str">
        <f>"2170606776                    "</f>
        <v xml:space="preserve">2170606776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5.03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</v>
      </c>
      <c r="BJ874" s="2">
        <v>0.2</v>
      </c>
      <c r="BK874" s="2">
        <v>1</v>
      </c>
      <c r="BL874" s="2">
        <v>35.89</v>
      </c>
      <c r="BM874" s="2">
        <v>5.0199999999999996</v>
      </c>
      <c r="BN874" s="2">
        <v>40.909999999999997</v>
      </c>
      <c r="BO874" s="2">
        <v>40.909999999999997</v>
      </c>
      <c r="BQ874" s="2" t="s">
        <v>82</v>
      </c>
      <c r="BR874" s="2" t="s">
        <v>103</v>
      </c>
      <c r="BS874" s="3">
        <v>43081</v>
      </c>
      <c r="BT874" s="4">
        <v>0.34722222222222227</v>
      </c>
      <c r="BU874" s="2" t="s">
        <v>1097</v>
      </c>
      <c r="BV874" s="2" t="s">
        <v>85</v>
      </c>
      <c r="BY874" s="2">
        <v>1200</v>
      </c>
      <c r="CA874" s="2" t="s">
        <v>355</v>
      </c>
      <c r="CC874" s="2" t="s">
        <v>75</v>
      </c>
      <c r="CD874" s="2">
        <v>1600</v>
      </c>
      <c r="CE874" s="2" t="s">
        <v>120</v>
      </c>
      <c r="CF874" s="3">
        <v>43083</v>
      </c>
      <c r="CI874" s="2">
        <v>1</v>
      </c>
      <c r="CJ874" s="2">
        <v>1</v>
      </c>
      <c r="CK874" s="2">
        <v>22</v>
      </c>
      <c r="CL874" s="2" t="s">
        <v>89</v>
      </c>
    </row>
    <row r="875" spans="1:90">
      <c r="A875" s="2" t="s">
        <v>71</v>
      </c>
      <c r="B875" s="2" t="s">
        <v>72</v>
      </c>
      <c r="C875" s="2" t="s">
        <v>73</v>
      </c>
      <c r="E875" s="2" t="str">
        <f>"069908139046"</f>
        <v>069908139046</v>
      </c>
      <c r="F875" s="3">
        <v>43075</v>
      </c>
      <c r="G875" s="2">
        <v>201806</v>
      </c>
      <c r="H875" s="2" t="s">
        <v>158</v>
      </c>
      <c r="I875" s="2" t="s">
        <v>159</v>
      </c>
      <c r="J875" s="2" t="s">
        <v>543</v>
      </c>
      <c r="K875" s="2" t="s">
        <v>77</v>
      </c>
      <c r="L875" s="2" t="s">
        <v>74</v>
      </c>
      <c r="M875" s="2" t="s">
        <v>75</v>
      </c>
      <c r="N875" s="2" t="s">
        <v>76</v>
      </c>
      <c r="O875" s="2" t="s">
        <v>101</v>
      </c>
      <c r="P875" s="2" t="str">
        <f>"N                             "</f>
        <v xml:space="preserve">N         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12.87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3</v>
      </c>
      <c r="BJ875" s="2">
        <v>3.6</v>
      </c>
      <c r="BK875" s="2">
        <v>4</v>
      </c>
      <c r="BL875" s="2">
        <v>91.85</v>
      </c>
      <c r="BM875" s="2">
        <v>12.86</v>
      </c>
      <c r="BN875" s="2">
        <v>104.71</v>
      </c>
      <c r="BO875" s="2">
        <v>104.71</v>
      </c>
      <c r="BQ875" s="2" t="s">
        <v>83</v>
      </c>
      <c r="BR875" s="2" t="s">
        <v>1395</v>
      </c>
      <c r="BS875" s="3">
        <v>43076</v>
      </c>
      <c r="BT875" s="4">
        <v>0.46597222222222223</v>
      </c>
      <c r="BU875" s="2" t="s">
        <v>1396</v>
      </c>
      <c r="BV875" s="2" t="s">
        <v>89</v>
      </c>
      <c r="BW875" s="2" t="s">
        <v>156</v>
      </c>
      <c r="BX875" s="2" t="s">
        <v>157</v>
      </c>
      <c r="BY875" s="2">
        <v>18000</v>
      </c>
      <c r="BZ875" s="2" t="s">
        <v>27</v>
      </c>
      <c r="CA875" s="2" t="s">
        <v>1397</v>
      </c>
      <c r="CC875" s="2" t="s">
        <v>75</v>
      </c>
      <c r="CD875" s="2">
        <v>1601</v>
      </c>
      <c r="CE875" s="2" t="s">
        <v>87</v>
      </c>
      <c r="CF875" s="3">
        <v>43080</v>
      </c>
      <c r="CI875" s="2">
        <v>1</v>
      </c>
      <c r="CJ875" s="2">
        <v>1</v>
      </c>
      <c r="CK875" s="2">
        <v>21</v>
      </c>
      <c r="CL875" s="2" t="s">
        <v>89</v>
      </c>
    </row>
    <row r="876" spans="1:90">
      <c r="A876" s="2" t="s">
        <v>71</v>
      </c>
      <c r="B876" s="2" t="s">
        <v>72</v>
      </c>
      <c r="C876" s="2" t="s">
        <v>73</v>
      </c>
      <c r="E876" s="2" t="str">
        <f>"FES1162594243"</f>
        <v>FES1162594243</v>
      </c>
      <c r="F876" s="3">
        <v>43075</v>
      </c>
      <c r="G876" s="2">
        <v>201806</v>
      </c>
      <c r="H876" s="2" t="s">
        <v>74</v>
      </c>
      <c r="I876" s="2" t="s">
        <v>75</v>
      </c>
      <c r="J876" s="2" t="s">
        <v>97</v>
      </c>
      <c r="K876" s="2" t="s">
        <v>77</v>
      </c>
      <c r="L876" s="2" t="s">
        <v>173</v>
      </c>
      <c r="M876" s="2" t="s">
        <v>174</v>
      </c>
      <c r="N876" s="2" t="s">
        <v>487</v>
      </c>
      <c r="O876" s="2" t="s">
        <v>101</v>
      </c>
      <c r="P876" s="2" t="str">
        <f>"2170605309                    "</f>
        <v xml:space="preserve">2170605309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6.43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</v>
      </c>
      <c r="BJ876" s="2">
        <v>0.2</v>
      </c>
      <c r="BK876" s="2">
        <v>1</v>
      </c>
      <c r="BL876" s="2">
        <v>45.93</v>
      </c>
      <c r="BM876" s="2">
        <v>6.43</v>
      </c>
      <c r="BN876" s="2">
        <v>52.36</v>
      </c>
      <c r="BO876" s="2">
        <v>52.36</v>
      </c>
      <c r="BQ876" s="2" t="s">
        <v>82</v>
      </c>
      <c r="BR876" s="2" t="s">
        <v>103</v>
      </c>
      <c r="BS876" s="3">
        <v>43077</v>
      </c>
      <c r="BT876" s="4">
        <v>0.45902777777777781</v>
      </c>
      <c r="BU876" s="2" t="s">
        <v>1398</v>
      </c>
      <c r="BV876" s="2" t="s">
        <v>89</v>
      </c>
      <c r="BW876" s="2" t="s">
        <v>149</v>
      </c>
      <c r="BX876" s="2" t="s">
        <v>246</v>
      </c>
      <c r="BY876" s="2">
        <v>1200</v>
      </c>
      <c r="CA876" s="2" t="s">
        <v>412</v>
      </c>
      <c r="CC876" s="2" t="s">
        <v>174</v>
      </c>
      <c r="CD876" s="2">
        <v>7580</v>
      </c>
      <c r="CE876" s="2" t="s">
        <v>120</v>
      </c>
      <c r="CF876" s="3">
        <v>43080</v>
      </c>
      <c r="CI876" s="2">
        <v>1</v>
      </c>
      <c r="CJ876" s="2">
        <v>2</v>
      </c>
      <c r="CK876" s="2">
        <v>21</v>
      </c>
      <c r="CL876" s="2" t="s">
        <v>89</v>
      </c>
    </row>
    <row r="877" spans="1:90">
      <c r="A877" s="2" t="s">
        <v>71</v>
      </c>
      <c r="B877" s="2" t="s">
        <v>72</v>
      </c>
      <c r="C877" s="2" t="s">
        <v>73</v>
      </c>
      <c r="E877" s="2" t="str">
        <f>"FES1162594296"</f>
        <v>FES1162594296</v>
      </c>
      <c r="F877" s="3">
        <v>43075</v>
      </c>
      <c r="G877" s="2">
        <v>201806</v>
      </c>
      <c r="H877" s="2" t="s">
        <v>74</v>
      </c>
      <c r="I877" s="2" t="s">
        <v>75</v>
      </c>
      <c r="J877" s="2" t="s">
        <v>97</v>
      </c>
      <c r="K877" s="2" t="s">
        <v>77</v>
      </c>
      <c r="L877" s="2" t="s">
        <v>131</v>
      </c>
      <c r="M877" s="2" t="s">
        <v>132</v>
      </c>
      <c r="N877" s="2" t="s">
        <v>228</v>
      </c>
      <c r="O877" s="2" t="s">
        <v>101</v>
      </c>
      <c r="P877" s="2" t="str">
        <f>"2170606139                    "</f>
        <v xml:space="preserve">2170606139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14.47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4.4000000000000004</v>
      </c>
      <c r="BJ877" s="2">
        <v>1.5</v>
      </c>
      <c r="BK877" s="2">
        <v>4.5</v>
      </c>
      <c r="BL877" s="2">
        <v>103.32</v>
      </c>
      <c r="BM877" s="2">
        <v>14.46</v>
      </c>
      <c r="BN877" s="2">
        <v>117.78</v>
      </c>
      <c r="BO877" s="2">
        <v>117.78</v>
      </c>
      <c r="BQ877" s="2" t="s">
        <v>229</v>
      </c>
      <c r="BR877" s="2" t="s">
        <v>103</v>
      </c>
      <c r="BS877" s="3">
        <v>43076</v>
      </c>
      <c r="BT877" s="4">
        <v>0.4236111111111111</v>
      </c>
      <c r="BU877" s="2" t="s">
        <v>230</v>
      </c>
      <c r="BV877" s="2" t="s">
        <v>85</v>
      </c>
      <c r="BY877" s="2">
        <v>7313</v>
      </c>
      <c r="CA877" s="2" t="s">
        <v>231</v>
      </c>
      <c r="CC877" s="2" t="s">
        <v>132</v>
      </c>
      <c r="CD877" s="2">
        <v>4300</v>
      </c>
      <c r="CE877" s="2" t="s">
        <v>95</v>
      </c>
      <c r="CF877" s="3">
        <v>43080</v>
      </c>
      <c r="CI877" s="2">
        <v>1</v>
      </c>
      <c r="CJ877" s="2">
        <v>1</v>
      </c>
      <c r="CK877" s="2">
        <v>21</v>
      </c>
      <c r="CL877" s="2" t="s">
        <v>89</v>
      </c>
    </row>
    <row r="878" spans="1:90">
      <c r="A878" s="2" t="s">
        <v>71</v>
      </c>
      <c r="B878" s="2" t="s">
        <v>72</v>
      </c>
      <c r="C878" s="2" t="s">
        <v>73</v>
      </c>
      <c r="E878" s="2" t="str">
        <f>"FES1162594258"</f>
        <v>FES1162594258</v>
      </c>
      <c r="F878" s="3">
        <v>43075</v>
      </c>
      <c r="G878" s="2">
        <v>201806</v>
      </c>
      <c r="H878" s="2" t="s">
        <v>74</v>
      </c>
      <c r="I878" s="2" t="s">
        <v>75</v>
      </c>
      <c r="J878" s="2" t="s">
        <v>97</v>
      </c>
      <c r="K878" s="2" t="s">
        <v>77</v>
      </c>
      <c r="L878" s="2" t="s">
        <v>173</v>
      </c>
      <c r="M878" s="2" t="s">
        <v>174</v>
      </c>
      <c r="N878" s="2" t="s">
        <v>498</v>
      </c>
      <c r="O878" s="2" t="s">
        <v>101</v>
      </c>
      <c r="P878" s="2" t="str">
        <f>"2170605634                    "</f>
        <v xml:space="preserve">2170605634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6.43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45.93</v>
      </c>
      <c r="BM878" s="2">
        <v>6.43</v>
      </c>
      <c r="BN878" s="2">
        <v>52.36</v>
      </c>
      <c r="BO878" s="2">
        <v>52.36</v>
      </c>
      <c r="BQ878" s="2" t="s">
        <v>128</v>
      </c>
      <c r="BR878" s="2" t="s">
        <v>103</v>
      </c>
      <c r="BS878" s="3">
        <v>43076</v>
      </c>
      <c r="BT878" s="4">
        <v>0.54166666666666663</v>
      </c>
      <c r="BU878" s="2" t="s">
        <v>500</v>
      </c>
      <c r="BV878" s="2" t="s">
        <v>89</v>
      </c>
      <c r="BW878" s="2" t="s">
        <v>149</v>
      </c>
      <c r="BX878" s="2" t="s">
        <v>368</v>
      </c>
      <c r="BY878" s="2">
        <v>1200</v>
      </c>
      <c r="CA878" s="2" t="s">
        <v>360</v>
      </c>
      <c r="CC878" s="2" t="s">
        <v>174</v>
      </c>
      <c r="CD878" s="2">
        <v>7405</v>
      </c>
      <c r="CE878" s="2" t="s">
        <v>120</v>
      </c>
      <c r="CF878" s="3">
        <v>43077</v>
      </c>
      <c r="CI878" s="2">
        <v>1</v>
      </c>
      <c r="CJ878" s="2">
        <v>1</v>
      </c>
      <c r="CK878" s="2">
        <v>21</v>
      </c>
      <c r="CL878" s="2" t="s">
        <v>89</v>
      </c>
    </row>
    <row r="879" spans="1:90">
      <c r="A879" s="2" t="s">
        <v>71</v>
      </c>
      <c r="B879" s="2" t="s">
        <v>72</v>
      </c>
      <c r="C879" s="2" t="s">
        <v>73</v>
      </c>
      <c r="E879" s="2" t="str">
        <f>"FES1162594299"</f>
        <v>FES1162594299</v>
      </c>
      <c r="F879" s="3">
        <v>43075</v>
      </c>
      <c r="G879" s="2">
        <v>201806</v>
      </c>
      <c r="H879" s="2" t="s">
        <v>74</v>
      </c>
      <c r="I879" s="2" t="s">
        <v>75</v>
      </c>
      <c r="J879" s="2" t="s">
        <v>97</v>
      </c>
      <c r="K879" s="2" t="s">
        <v>77</v>
      </c>
      <c r="L879" s="2" t="s">
        <v>490</v>
      </c>
      <c r="M879" s="2" t="s">
        <v>491</v>
      </c>
      <c r="N879" s="2" t="s">
        <v>1399</v>
      </c>
      <c r="O879" s="2" t="s">
        <v>101</v>
      </c>
      <c r="P879" s="2" t="str">
        <f>"2170606146                    "</f>
        <v xml:space="preserve">2170606146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22.51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7</v>
      </c>
      <c r="BJ879" s="2">
        <v>3.4</v>
      </c>
      <c r="BK879" s="2">
        <v>7</v>
      </c>
      <c r="BL879" s="2">
        <v>160.71</v>
      </c>
      <c r="BM879" s="2">
        <v>22.5</v>
      </c>
      <c r="BN879" s="2">
        <v>183.21</v>
      </c>
      <c r="BO879" s="2">
        <v>183.21</v>
      </c>
      <c r="BQ879" s="2" t="s">
        <v>102</v>
      </c>
      <c r="BR879" s="2" t="s">
        <v>103</v>
      </c>
      <c r="BS879" s="3">
        <v>43076</v>
      </c>
      <c r="BT879" s="4">
        <v>0.59861111111111109</v>
      </c>
      <c r="BU879" s="2" t="s">
        <v>1400</v>
      </c>
      <c r="BV879" s="2" t="s">
        <v>85</v>
      </c>
      <c r="BY879" s="2">
        <v>17024</v>
      </c>
      <c r="CA879" s="2" t="s">
        <v>494</v>
      </c>
      <c r="CC879" s="2" t="s">
        <v>491</v>
      </c>
      <c r="CD879" s="2">
        <v>3730</v>
      </c>
      <c r="CE879" s="2" t="s">
        <v>95</v>
      </c>
      <c r="CF879" s="3">
        <v>43077</v>
      </c>
      <c r="CI879" s="2">
        <v>1</v>
      </c>
      <c r="CJ879" s="2">
        <v>1</v>
      </c>
      <c r="CK879" s="2">
        <v>21</v>
      </c>
      <c r="CL879" s="2" t="s">
        <v>89</v>
      </c>
    </row>
    <row r="880" spans="1:90">
      <c r="A880" s="2" t="s">
        <v>71</v>
      </c>
      <c r="B880" s="2" t="s">
        <v>72</v>
      </c>
      <c r="C880" s="2" t="s">
        <v>73</v>
      </c>
      <c r="E880" s="2" t="str">
        <f>"FES1162594153"</f>
        <v>FES1162594153</v>
      </c>
      <c r="F880" s="3">
        <v>43075</v>
      </c>
      <c r="G880" s="2">
        <v>201806</v>
      </c>
      <c r="H880" s="2" t="s">
        <v>74</v>
      </c>
      <c r="I880" s="2" t="s">
        <v>75</v>
      </c>
      <c r="J880" s="2" t="s">
        <v>97</v>
      </c>
      <c r="K880" s="2" t="s">
        <v>77</v>
      </c>
      <c r="L880" s="2" t="s">
        <v>173</v>
      </c>
      <c r="M880" s="2" t="s">
        <v>174</v>
      </c>
      <c r="N880" s="2" t="s">
        <v>376</v>
      </c>
      <c r="O880" s="2" t="s">
        <v>101</v>
      </c>
      <c r="P880" s="2" t="str">
        <f>"2170603390                    "</f>
        <v xml:space="preserve">2170603390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6.43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45.93</v>
      </c>
      <c r="BM880" s="2">
        <v>6.43</v>
      </c>
      <c r="BN880" s="2">
        <v>52.36</v>
      </c>
      <c r="BO880" s="2">
        <v>52.36</v>
      </c>
      <c r="BQ880" s="2" t="s">
        <v>102</v>
      </c>
      <c r="BR880" s="2" t="s">
        <v>103</v>
      </c>
      <c r="BS880" s="3">
        <v>43076</v>
      </c>
      <c r="BT880" s="4">
        <v>0.47847222222222219</v>
      </c>
      <c r="BU880" s="2" t="s">
        <v>536</v>
      </c>
      <c r="BV880" s="2" t="s">
        <v>89</v>
      </c>
      <c r="BW880" s="2" t="s">
        <v>149</v>
      </c>
      <c r="BX880" s="2" t="s">
        <v>246</v>
      </c>
      <c r="BY880" s="2">
        <v>1200</v>
      </c>
      <c r="CA880" s="2" t="s">
        <v>378</v>
      </c>
      <c r="CC880" s="2" t="s">
        <v>174</v>
      </c>
      <c r="CD880" s="2">
        <v>7490</v>
      </c>
      <c r="CE880" s="2" t="s">
        <v>120</v>
      </c>
      <c r="CF880" s="3">
        <v>43077</v>
      </c>
      <c r="CI880" s="2">
        <v>1</v>
      </c>
      <c r="CJ880" s="2">
        <v>1</v>
      </c>
      <c r="CK880" s="2">
        <v>21</v>
      </c>
      <c r="CL880" s="2" t="s">
        <v>89</v>
      </c>
    </row>
    <row r="881" spans="1:90">
      <c r="A881" s="2" t="s">
        <v>71</v>
      </c>
      <c r="B881" s="2" t="s">
        <v>72</v>
      </c>
      <c r="C881" s="2" t="s">
        <v>73</v>
      </c>
      <c r="E881" s="2" t="str">
        <f>"FES1162594159"</f>
        <v>FES1162594159</v>
      </c>
      <c r="F881" s="3">
        <v>43075</v>
      </c>
      <c r="G881" s="2">
        <v>201806</v>
      </c>
      <c r="H881" s="2" t="s">
        <v>74</v>
      </c>
      <c r="I881" s="2" t="s">
        <v>75</v>
      </c>
      <c r="J881" s="2" t="s">
        <v>97</v>
      </c>
      <c r="K881" s="2" t="s">
        <v>77</v>
      </c>
      <c r="L881" s="2" t="s">
        <v>115</v>
      </c>
      <c r="M881" s="2" t="s">
        <v>116</v>
      </c>
      <c r="N881" s="2" t="s">
        <v>724</v>
      </c>
      <c r="O881" s="2" t="s">
        <v>101</v>
      </c>
      <c r="P881" s="2" t="str">
        <f>"2170603438                    "</f>
        <v xml:space="preserve">2170603438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5.03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35.89</v>
      </c>
      <c r="BM881" s="2">
        <v>5.0199999999999996</v>
      </c>
      <c r="BN881" s="2">
        <v>40.909999999999997</v>
      </c>
      <c r="BO881" s="2">
        <v>40.909999999999997</v>
      </c>
      <c r="BQ881" s="2" t="s">
        <v>229</v>
      </c>
      <c r="BR881" s="2" t="s">
        <v>103</v>
      </c>
      <c r="BS881" s="3">
        <v>43076</v>
      </c>
      <c r="BT881" s="4">
        <v>0.42499999999999999</v>
      </c>
      <c r="BU881" s="2" t="s">
        <v>601</v>
      </c>
      <c r="BV881" s="2" t="s">
        <v>85</v>
      </c>
      <c r="BY881" s="2">
        <v>1200</v>
      </c>
      <c r="CA881" s="2" t="s">
        <v>119</v>
      </c>
      <c r="CC881" s="2" t="s">
        <v>116</v>
      </c>
      <c r="CD881" s="2">
        <v>1459</v>
      </c>
      <c r="CE881" s="2" t="s">
        <v>120</v>
      </c>
      <c r="CF881" s="3">
        <v>43080</v>
      </c>
      <c r="CI881" s="2">
        <v>1</v>
      </c>
      <c r="CJ881" s="2">
        <v>1</v>
      </c>
      <c r="CK881" s="2">
        <v>22</v>
      </c>
      <c r="CL881" s="2" t="s">
        <v>89</v>
      </c>
    </row>
    <row r="882" spans="1:90">
      <c r="A882" s="2" t="s">
        <v>71</v>
      </c>
      <c r="B882" s="2" t="s">
        <v>72</v>
      </c>
      <c r="C882" s="2" t="s">
        <v>73</v>
      </c>
      <c r="E882" s="2" t="str">
        <f>"FES1162594351"</f>
        <v>FES1162594351</v>
      </c>
      <c r="F882" s="3">
        <v>43075</v>
      </c>
      <c r="G882" s="2">
        <v>201806</v>
      </c>
      <c r="H882" s="2" t="s">
        <v>74</v>
      </c>
      <c r="I882" s="2" t="s">
        <v>75</v>
      </c>
      <c r="J882" s="2" t="s">
        <v>97</v>
      </c>
      <c r="K882" s="2" t="s">
        <v>77</v>
      </c>
      <c r="L882" s="2" t="s">
        <v>152</v>
      </c>
      <c r="M882" s="2" t="s">
        <v>153</v>
      </c>
      <c r="N882" s="2" t="s">
        <v>1371</v>
      </c>
      <c r="O882" s="2" t="s">
        <v>101</v>
      </c>
      <c r="P882" s="2" t="str">
        <f>"21706188                      "</f>
        <v xml:space="preserve">21706188  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5.03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1.2</v>
      </c>
      <c r="BJ882" s="2">
        <v>1.3</v>
      </c>
      <c r="BK882" s="2">
        <v>2</v>
      </c>
      <c r="BL882" s="2">
        <v>35.89</v>
      </c>
      <c r="BM882" s="2">
        <v>5.0199999999999996</v>
      </c>
      <c r="BN882" s="2">
        <v>40.909999999999997</v>
      </c>
      <c r="BO882" s="2">
        <v>40.909999999999997</v>
      </c>
      <c r="BQ882" s="2" t="s">
        <v>1372</v>
      </c>
      <c r="BR882" s="2" t="s">
        <v>103</v>
      </c>
      <c r="BS882" s="3">
        <v>43076</v>
      </c>
      <c r="BT882" s="4">
        <v>0.31388888888888888</v>
      </c>
      <c r="BU882" s="2" t="s">
        <v>1401</v>
      </c>
      <c r="BV882" s="2" t="s">
        <v>85</v>
      </c>
      <c r="BY882" s="2">
        <v>6713.46</v>
      </c>
      <c r="CA882" s="2" t="s">
        <v>386</v>
      </c>
      <c r="CC882" s="2" t="s">
        <v>153</v>
      </c>
      <c r="CD882" s="2">
        <v>1406</v>
      </c>
      <c r="CE882" s="2" t="s">
        <v>87</v>
      </c>
      <c r="CF882" s="3">
        <v>43080</v>
      </c>
      <c r="CI882" s="2">
        <v>1</v>
      </c>
      <c r="CJ882" s="2">
        <v>1</v>
      </c>
      <c r="CK882" s="2">
        <v>22</v>
      </c>
      <c r="CL882" s="2" t="s">
        <v>89</v>
      </c>
    </row>
    <row r="883" spans="1:90">
      <c r="A883" s="2" t="s">
        <v>71</v>
      </c>
      <c r="B883" s="2" t="s">
        <v>72</v>
      </c>
      <c r="C883" s="2" t="s">
        <v>73</v>
      </c>
      <c r="E883" s="2" t="str">
        <f>"FES1162594290"</f>
        <v>FES1162594290</v>
      </c>
      <c r="F883" s="3">
        <v>43075</v>
      </c>
      <c r="G883" s="2">
        <v>201806</v>
      </c>
      <c r="H883" s="2" t="s">
        <v>74</v>
      </c>
      <c r="I883" s="2" t="s">
        <v>75</v>
      </c>
      <c r="J883" s="2" t="s">
        <v>97</v>
      </c>
      <c r="K883" s="2" t="s">
        <v>77</v>
      </c>
      <c r="L883" s="2" t="s">
        <v>168</v>
      </c>
      <c r="M883" s="2" t="s">
        <v>169</v>
      </c>
      <c r="N883" s="2" t="s">
        <v>1402</v>
      </c>
      <c r="O883" s="2" t="s">
        <v>101</v>
      </c>
      <c r="P883" s="2" t="str">
        <f>"2170606094                    "</f>
        <v xml:space="preserve">2170606094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9.65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2.8</v>
      </c>
      <c r="BJ883" s="2">
        <v>0.9</v>
      </c>
      <c r="BK883" s="2">
        <v>3</v>
      </c>
      <c r="BL883" s="2">
        <v>68.89</v>
      </c>
      <c r="BM883" s="2">
        <v>9.64</v>
      </c>
      <c r="BN883" s="2">
        <v>78.53</v>
      </c>
      <c r="BO883" s="2">
        <v>78.53</v>
      </c>
      <c r="BQ883" s="2" t="s">
        <v>229</v>
      </c>
      <c r="BR883" s="2" t="s">
        <v>103</v>
      </c>
      <c r="BS883" s="3">
        <v>43076</v>
      </c>
      <c r="BT883" s="4">
        <v>0.39097222222222222</v>
      </c>
      <c r="BU883" s="2" t="s">
        <v>1403</v>
      </c>
      <c r="BV883" s="2" t="s">
        <v>85</v>
      </c>
      <c r="BY883" s="2">
        <v>4470.3599999999997</v>
      </c>
      <c r="CA883" s="2" t="s">
        <v>595</v>
      </c>
      <c r="CC883" s="2" t="s">
        <v>169</v>
      </c>
      <c r="CD883" s="2">
        <v>4037</v>
      </c>
      <c r="CE883" s="2" t="s">
        <v>95</v>
      </c>
      <c r="CF883" s="3">
        <v>43077</v>
      </c>
      <c r="CI883" s="2">
        <v>1</v>
      </c>
      <c r="CJ883" s="2">
        <v>1</v>
      </c>
      <c r="CK883" s="2">
        <v>21</v>
      </c>
      <c r="CL883" s="2" t="s">
        <v>89</v>
      </c>
    </row>
    <row r="884" spans="1:90">
      <c r="A884" s="2" t="s">
        <v>71</v>
      </c>
      <c r="B884" s="2" t="s">
        <v>72</v>
      </c>
      <c r="C884" s="2" t="s">
        <v>73</v>
      </c>
      <c r="E884" s="2" t="str">
        <f>"FES1162594256"</f>
        <v>FES1162594256</v>
      </c>
      <c r="F884" s="3">
        <v>43075</v>
      </c>
      <c r="G884" s="2">
        <v>201806</v>
      </c>
      <c r="H884" s="2" t="s">
        <v>74</v>
      </c>
      <c r="I884" s="2" t="s">
        <v>75</v>
      </c>
      <c r="J884" s="2" t="s">
        <v>97</v>
      </c>
      <c r="K884" s="2" t="s">
        <v>77</v>
      </c>
      <c r="L884" s="2" t="s">
        <v>74</v>
      </c>
      <c r="M884" s="2" t="s">
        <v>75</v>
      </c>
      <c r="N884" s="2" t="s">
        <v>1404</v>
      </c>
      <c r="O884" s="2" t="s">
        <v>101</v>
      </c>
      <c r="P884" s="2" t="str">
        <f>"2170605614                    "</f>
        <v xml:space="preserve">2170605614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5.03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0.2</v>
      </c>
      <c r="BK884" s="2">
        <v>1</v>
      </c>
      <c r="BL884" s="2">
        <v>35.89</v>
      </c>
      <c r="BM884" s="2">
        <v>5.0199999999999996</v>
      </c>
      <c r="BN884" s="2">
        <v>40.909999999999997</v>
      </c>
      <c r="BO884" s="2">
        <v>40.909999999999997</v>
      </c>
      <c r="BQ884" s="2" t="s">
        <v>1405</v>
      </c>
      <c r="BR884" s="2" t="s">
        <v>103</v>
      </c>
      <c r="BS884" s="3">
        <v>43076</v>
      </c>
      <c r="BT884" s="4">
        <v>0.41666666666666669</v>
      </c>
      <c r="BU884" s="2" t="s">
        <v>1406</v>
      </c>
      <c r="BV884" s="2" t="s">
        <v>85</v>
      </c>
      <c r="BY884" s="2">
        <v>1200</v>
      </c>
      <c r="CA884" s="2" t="s">
        <v>366</v>
      </c>
      <c r="CC884" s="2" t="s">
        <v>75</v>
      </c>
      <c r="CD884" s="2">
        <v>1601</v>
      </c>
      <c r="CE884" s="2" t="s">
        <v>120</v>
      </c>
      <c r="CF884" s="3">
        <v>43080</v>
      </c>
      <c r="CI884" s="2">
        <v>1</v>
      </c>
      <c r="CJ884" s="2">
        <v>1</v>
      </c>
      <c r="CK884" s="2">
        <v>22</v>
      </c>
      <c r="CL884" s="2" t="s">
        <v>89</v>
      </c>
    </row>
    <row r="885" spans="1:90">
      <c r="A885" s="2" t="s">
        <v>71</v>
      </c>
      <c r="B885" s="2" t="s">
        <v>72</v>
      </c>
      <c r="C885" s="2" t="s">
        <v>73</v>
      </c>
      <c r="E885" s="2" t="str">
        <f>"FES1162594493"</f>
        <v>FES1162594493</v>
      </c>
      <c r="F885" s="3">
        <v>43075</v>
      </c>
      <c r="G885" s="2">
        <v>201806</v>
      </c>
      <c r="H885" s="2" t="s">
        <v>74</v>
      </c>
      <c r="I885" s="2" t="s">
        <v>75</v>
      </c>
      <c r="J885" s="2" t="s">
        <v>97</v>
      </c>
      <c r="K885" s="2" t="s">
        <v>77</v>
      </c>
      <c r="L885" s="2" t="s">
        <v>115</v>
      </c>
      <c r="M885" s="2" t="s">
        <v>116</v>
      </c>
      <c r="N885" s="2" t="s">
        <v>1407</v>
      </c>
      <c r="O885" s="2" t="s">
        <v>101</v>
      </c>
      <c r="P885" s="2" t="str">
        <f>"2170606350                    "</f>
        <v xml:space="preserve">2170606350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5.03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0.8</v>
      </c>
      <c r="BJ885" s="2">
        <v>1.4</v>
      </c>
      <c r="BK885" s="2">
        <v>2</v>
      </c>
      <c r="BL885" s="2">
        <v>35.89</v>
      </c>
      <c r="BM885" s="2">
        <v>5.0199999999999996</v>
      </c>
      <c r="BN885" s="2">
        <v>40.909999999999997</v>
      </c>
      <c r="BO885" s="2">
        <v>40.909999999999997</v>
      </c>
      <c r="BQ885" s="2" t="s">
        <v>1408</v>
      </c>
      <c r="BR885" s="2" t="s">
        <v>103</v>
      </c>
      <c r="BS885" s="3">
        <v>43076</v>
      </c>
      <c r="BT885" s="4">
        <v>0.4777777777777778</v>
      </c>
      <c r="BU885" s="2" t="s">
        <v>1409</v>
      </c>
      <c r="BV885" s="2" t="s">
        <v>89</v>
      </c>
      <c r="BW885" s="2" t="s">
        <v>437</v>
      </c>
      <c r="BX885" s="2" t="s">
        <v>438</v>
      </c>
      <c r="BY885" s="2">
        <v>7232.4</v>
      </c>
      <c r="CA885" s="2" t="s">
        <v>119</v>
      </c>
      <c r="CC885" s="2" t="s">
        <v>116</v>
      </c>
      <c r="CD885" s="2">
        <v>1459</v>
      </c>
      <c r="CE885" s="2" t="s">
        <v>120</v>
      </c>
      <c r="CF885" s="3">
        <v>43080</v>
      </c>
      <c r="CI885" s="2">
        <v>1</v>
      </c>
      <c r="CJ885" s="2">
        <v>1</v>
      </c>
      <c r="CK885" s="2">
        <v>22</v>
      </c>
      <c r="CL885" s="2" t="s">
        <v>89</v>
      </c>
    </row>
    <row r="886" spans="1:90">
      <c r="A886" s="2" t="s">
        <v>71</v>
      </c>
      <c r="B886" s="2" t="s">
        <v>72</v>
      </c>
      <c r="C886" s="2" t="s">
        <v>73</v>
      </c>
      <c r="E886" s="2" t="str">
        <f>"FES1162594394"</f>
        <v>FES1162594394</v>
      </c>
      <c r="F886" s="3">
        <v>43075</v>
      </c>
      <c r="G886" s="2">
        <v>201806</v>
      </c>
      <c r="H886" s="2" t="s">
        <v>74</v>
      </c>
      <c r="I886" s="2" t="s">
        <v>75</v>
      </c>
      <c r="J886" s="2" t="s">
        <v>97</v>
      </c>
      <c r="K886" s="2" t="s">
        <v>77</v>
      </c>
      <c r="L886" s="2" t="s">
        <v>74</v>
      </c>
      <c r="M886" s="2" t="s">
        <v>75</v>
      </c>
      <c r="N886" s="2" t="s">
        <v>204</v>
      </c>
      <c r="O886" s="2" t="s">
        <v>101</v>
      </c>
      <c r="P886" s="2" t="str">
        <f>"2170602887                    "</f>
        <v xml:space="preserve">2170602887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5.03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1</v>
      </c>
      <c r="BJ886" s="2">
        <v>0.2</v>
      </c>
      <c r="BK886" s="2">
        <v>1</v>
      </c>
      <c r="BL886" s="2">
        <v>35.89</v>
      </c>
      <c r="BM886" s="2">
        <v>5.0199999999999996</v>
      </c>
      <c r="BN886" s="2">
        <v>40.909999999999997</v>
      </c>
      <c r="BO886" s="2">
        <v>40.909999999999997</v>
      </c>
      <c r="BQ886" s="2" t="s">
        <v>102</v>
      </c>
      <c r="BR886" s="2" t="s">
        <v>103</v>
      </c>
      <c r="BS886" s="3">
        <v>43076</v>
      </c>
      <c r="BT886" s="4">
        <v>0.41666666666666669</v>
      </c>
      <c r="BU886" s="2" t="s">
        <v>1410</v>
      </c>
      <c r="BV886" s="2" t="s">
        <v>85</v>
      </c>
      <c r="BY886" s="2">
        <v>1200</v>
      </c>
      <c r="CA886" s="2" t="s">
        <v>1411</v>
      </c>
      <c r="CC886" s="2" t="s">
        <v>75</v>
      </c>
      <c r="CD886" s="2">
        <v>1645</v>
      </c>
      <c r="CE886" s="2" t="s">
        <v>120</v>
      </c>
      <c r="CF886" s="3">
        <v>43080</v>
      </c>
      <c r="CI886" s="2">
        <v>1</v>
      </c>
      <c r="CJ886" s="2">
        <v>1</v>
      </c>
      <c r="CK886" s="2">
        <v>22</v>
      </c>
      <c r="CL886" s="2" t="s">
        <v>89</v>
      </c>
    </row>
    <row r="887" spans="1:90">
      <c r="A887" s="2" t="s">
        <v>71</v>
      </c>
      <c r="B887" s="2" t="s">
        <v>72</v>
      </c>
      <c r="C887" s="2" t="s">
        <v>73</v>
      </c>
      <c r="E887" s="2" t="str">
        <f>"FES1162594572"</f>
        <v>FES1162594572</v>
      </c>
      <c r="F887" s="3">
        <v>43075</v>
      </c>
      <c r="G887" s="2">
        <v>201806</v>
      </c>
      <c r="H887" s="2" t="s">
        <v>74</v>
      </c>
      <c r="I887" s="2" t="s">
        <v>75</v>
      </c>
      <c r="J887" s="2" t="s">
        <v>97</v>
      </c>
      <c r="K887" s="2" t="s">
        <v>77</v>
      </c>
      <c r="L887" s="2" t="s">
        <v>173</v>
      </c>
      <c r="M887" s="2" t="s">
        <v>174</v>
      </c>
      <c r="N887" s="2" t="s">
        <v>175</v>
      </c>
      <c r="O887" s="2" t="s">
        <v>101</v>
      </c>
      <c r="P887" s="2" t="str">
        <f>"2170606442                    "</f>
        <v xml:space="preserve">2170606442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6.43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1</v>
      </c>
      <c r="BJ887" s="2">
        <v>0.2</v>
      </c>
      <c r="BK887" s="2">
        <v>1</v>
      </c>
      <c r="BL887" s="2">
        <v>45.93</v>
      </c>
      <c r="BM887" s="2">
        <v>6.43</v>
      </c>
      <c r="BN887" s="2">
        <v>52.36</v>
      </c>
      <c r="BO887" s="2">
        <v>52.36</v>
      </c>
      <c r="BQ887" s="2" t="s">
        <v>102</v>
      </c>
      <c r="BR887" s="2" t="s">
        <v>103</v>
      </c>
      <c r="BS887" s="3">
        <v>43077</v>
      </c>
      <c r="BT887" s="4">
        <v>0.44861111111111113</v>
      </c>
      <c r="BU887" s="2" t="s">
        <v>176</v>
      </c>
      <c r="BV887" s="2" t="s">
        <v>89</v>
      </c>
      <c r="BW887" s="2" t="s">
        <v>149</v>
      </c>
      <c r="BX887" s="2" t="s">
        <v>368</v>
      </c>
      <c r="BY887" s="2">
        <v>1200</v>
      </c>
      <c r="CA887" s="2" t="s">
        <v>177</v>
      </c>
      <c r="CC887" s="2" t="s">
        <v>174</v>
      </c>
      <c r="CD887" s="2">
        <v>7405</v>
      </c>
      <c r="CE887" s="2" t="s">
        <v>120</v>
      </c>
      <c r="CF887" s="3">
        <v>43080</v>
      </c>
      <c r="CI887" s="2">
        <v>1</v>
      </c>
      <c r="CJ887" s="2">
        <v>2</v>
      </c>
      <c r="CK887" s="2">
        <v>21</v>
      </c>
      <c r="CL887" s="2" t="s">
        <v>89</v>
      </c>
    </row>
    <row r="888" spans="1:90">
      <c r="A888" s="2" t="s">
        <v>71</v>
      </c>
      <c r="B888" s="2" t="s">
        <v>72</v>
      </c>
      <c r="C888" s="2" t="s">
        <v>73</v>
      </c>
      <c r="E888" s="2" t="str">
        <f>"FES1162594300"</f>
        <v>FES1162594300</v>
      </c>
      <c r="F888" s="3">
        <v>43075</v>
      </c>
      <c r="G888" s="2">
        <v>201806</v>
      </c>
      <c r="H888" s="2" t="s">
        <v>74</v>
      </c>
      <c r="I888" s="2" t="s">
        <v>75</v>
      </c>
      <c r="J888" s="2" t="s">
        <v>97</v>
      </c>
      <c r="K888" s="2" t="s">
        <v>77</v>
      </c>
      <c r="L888" s="2" t="s">
        <v>212</v>
      </c>
      <c r="M888" s="2" t="s">
        <v>212</v>
      </c>
      <c r="N888" s="2" t="s">
        <v>1263</v>
      </c>
      <c r="O888" s="2" t="s">
        <v>101</v>
      </c>
      <c r="P888" s="2" t="str">
        <f>"2170606147                    "</f>
        <v xml:space="preserve">2170606147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6.43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</v>
      </c>
      <c r="BJ888" s="2">
        <v>0.2</v>
      </c>
      <c r="BK888" s="2">
        <v>1</v>
      </c>
      <c r="BL888" s="2">
        <v>45.93</v>
      </c>
      <c r="BM888" s="2">
        <v>6.43</v>
      </c>
      <c r="BN888" s="2">
        <v>52.36</v>
      </c>
      <c r="BO888" s="2">
        <v>52.36</v>
      </c>
      <c r="BQ888" s="2" t="s">
        <v>82</v>
      </c>
      <c r="BR888" s="2" t="s">
        <v>103</v>
      </c>
      <c r="BS888" s="3">
        <v>43076</v>
      </c>
      <c r="BT888" s="4">
        <v>0.64583333333333337</v>
      </c>
      <c r="BU888" s="2" t="s">
        <v>1412</v>
      </c>
      <c r="BV888" s="2" t="s">
        <v>89</v>
      </c>
      <c r="BW888" s="2" t="s">
        <v>149</v>
      </c>
      <c r="BX888" s="2" t="s">
        <v>1413</v>
      </c>
      <c r="BY888" s="2">
        <v>1200</v>
      </c>
      <c r="CA888" s="2" t="s">
        <v>532</v>
      </c>
      <c r="CC888" s="2" t="s">
        <v>212</v>
      </c>
      <c r="CD888" s="2">
        <v>7646</v>
      </c>
      <c r="CE888" s="2" t="s">
        <v>120</v>
      </c>
      <c r="CF888" s="3">
        <v>43076</v>
      </c>
      <c r="CI888" s="2">
        <v>1</v>
      </c>
      <c r="CJ888" s="2">
        <v>1</v>
      </c>
      <c r="CK888" s="2">
        <v>21</v>
      </c>
      <c r="CL888" s="2" t="s">
        <v>89</v>
      </c>
    </row>
    <row r="889" spans="1:90">
      <c r="A889" s="2" t="s">
        <v>71</v>
      </c>
      <c r="B889" s="2" t="s">
        <v>72</v>
      </c>
      <c r="C889" s="2" t="s">
        <v>73</v>
      </c>
      <c r="E889" s="2" t="str">
        <f>"FES1162594108"</f>
        <v>FES1162594108</v>
      </c>
      <c r="F889" s="3">
        <v>43075</v>
      </c>
      <c r="G889" s="2">
        <v>201806</v>
      </c>
      <c r="H889" s="2" t="s">
        <v>74</v>
      </c>
      <c r="I889" s="2" t="s">
        <v>75</v>
      </c>
      <c r="J889" s="2" t="s">
        <v>97</v>
      </c>
      <c r="K889" s="2" t="s">
        <v>77</v>
      </c>
      <c r="L889" s="2" t="s">
        <v>98</v>
      </c>
      <c r="M889" s="2" t="s">
        <v>99</v>
      </c>
      <c r="N889" s="2" t="s">
        <v>1182</v>
      </c>
      <c r="O889" s="2" t="s">
        <v>101</v>
      </c>
      <c r="P889" s="2" t="str">
        <f>"2170606130                    "</f>
        <v xml:space="preserve">2170606130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6.43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45.93</v>
      </c>
      <c r="BM889" s="2">
        <v>6.43</v>
      </c>
      <c r="BN889" s="2">
        <v>52.36</v>
      </c>
      <c r="BO889" s="2">
        <v>52.36</v>
      </c>
      <c r="BQ889" s="2" t="s">
        <v>82</v>
      </c>
      <c r="BR889" s="2" t="s">
        <v>103</v>
      </c>
      <c r="BS889" s="3">
        <v>43076</v>
      </c>
      <c r="BT889" s="4">
        <v>0.38680555555555557</v>
      </c>
      <c r="BU889" s="2" t="s">
        <v>1183</v>
      </c>
      <c r="BV889" s="2" t="s">
        <v>85</v>
      </c>
      <c r="BY889" s="2">
        <v>1200</v>
      </c>
      <c r="CA889" s="2" t="s">
        <v>1184</v>
      </c>
      <c r="CC889" s="2" t="s">
        <v>99</v>
      </c>
      <c r="CD889" s="2">
        <v>3201</v>
      </c>
      <c r="CE889" s="2" t="s">
        <v>120</v>
      </c>
      <c r="CF889" s="3">
        <v>43077</v>
      </c>
      <c r="CI889" s="2">
        <v>1</v>
      </c>
      <c r="CJ889" s="2">
        <v>1</v>
      </c>
      <c r="CK889" s="2">
        <v>21</v>
      </c>
      <c r="CL889" s="2" t="s">
        <v>89</v>
      </c>
    </row>
    <row r="890" spans="1:90">
      <c r="A890" s="2" t="s">
        <v>71</v>
      </c>
      <c r="B890" s="2" t="s">
        <v>72</v>
      </c>
      <c r="C890" s="2" t="s">
        <v>73</v>
      </c>
      <c r="E890" s="2" t="str">
        <f>"FES1162594278"</f>
        <v>FES1162594278</v>
      </c>
      <c r="F890" s="3">
        <v>43075</v>
      </c>
      <c r="G890" s="2">
        <v>201806</v>
      </c>
      <c r="H890" s="2" t="s">
        <v>74</v>
      </c>
      <c r="I890" s="2" t="s">
        <v>75</v>
      </c>
      <c r="J890" s="2" t="s">
        <v>97</v>
      </c>
      <c r="K890" s="2" t="s">
        <v>77</v>
      </c>
      <c r="L890" s="2" t="s">
        <v>835</v>
      </c>
      <c r="M890" s="2" t="s">
        <v>836</v>
      </c>
      <c r="N890" s="2" t="s">
        <v>837</v>
      </c>
      <c r="O890" s="2" t="s">
        <v>101</v>
      </c>
      <c r="P890" s="2" t="str">
        <f>"2170605810                    "</f>
        <v xml:space="preserve">2170605810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12.47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89</v>
      </c>
      <c r="BM890" s="2">
        <v>12.46</v>
      </c>
      <c r="BN890" s="2">
        <v>101.46</v>
      </c>
      <c r="BO890" s="2">
        <v>101.46</v>
      </c>
      <c r="BQ890" s="2" t="s">
        <v>102</v>
      </c>
      <c r="BR890" s="2" t="s">
        <v>103</v>
      </c>
      <c r="BS890" s="3">
        <v>43076</v>
      </c>
      <c r="BT890" s="4">
        <v>0.53819444444444442</v>
      </c>
      <c r="BU890" s="2" t="s">
        <v>1414</v>
      </c>
      <c r="BV890" s="2" t="s">
        <v>85</v>
      </c>
      <c r="BY890" s="2">
        <v>1200</v>
      </c>
      <c r="CA890" s="2" t="s">
        <v>840</v>
      </c>
      <c r="CC890" s="2" t="s">
        <v>836</v>
      </c>
      <c r="CD890" s="2">
        <v>7349</v>
      </c>
      <c r="CE890" s="2" t="s">
        <v>120</v>
      </c>
      <c r="CF890" s="3">
        <v>43077</v>
      </c>
      <c r="CI890" s="2">
        <v>1</v>
      </c>
      <c r="CJ890" s="2">
        <v>1</v>
      </c>
      <c r="CK890" s="2">
        <v>23</v>
      </c>
      <c r="CL890" s="2" t="s">
        <v>89</v>
      </c>
    </row>
    <row r="891" spans="1:90">
      <c r="A891" s="2" t="s">
        <v>71</v>
      </c>
      <c r="B891" s="2" t="s">
        <v>72</v>
      </c>
      <c r="C891" s="2" t="s">
        <v>73</v>
      </c>
      <c r="E891" s="2" t="str">
        <f>"FES1162594483"</f>
        <v>FES1162594483</v>
      </c>
      <c r="F891" s="3">
        <v>43075</v>
      </c>
      <c r="G891" s="2">
        <v>201806</v>
      </c>
      <c r="H891" s="2" t="s">
        <v>74</v>
      </c>
      <c r="I891" s="2" t="s">
        <v>75</v>
      </c>
      <c r="J891" s="2" t="s">
        <v>97</v>
      </c>
      <c r="K891" s="2" t="s">
        <v>77</v>
      </c>
      <c r="L891" s="2" t="s">
        <v>212</v>
      </c>
      <c r="M891" s="2" t="s">
        <v>212</v>
      </c>
      <c r="N891" s="2" t="s">
        <v>1263</v>
      </c>
      <c r="O891" s="2" t="s">
        <v>101</v>
      </c>
      <c r="P891" s="2" t="str">
        <f>"2170606338                    "</f>
        <v xml:space="preserve">2170606338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6.43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1.7</v>
      </c>
      <c r="BK891" s="2">
        <v>2</v>
      </c>
      <c r="BL891" s="2">
        <v>45.93</v>
      </c>
      <c r="BM891" s="2">
        <v>6.43</v>
      </c>
      <c r="BN891" s="2">
        <v>52.36</v>
      </c>
      <c r="BO891" s="2">
        <v>52.36</v>
      </c>
      <c r="BQ891" s="2" t="s">
        <v>82</v>
      </c>
      <c r="BR891" s="2" t="s">
        <v>103</v>
      </c>
      <c r="BS891" s="3">
        <v>43077</v>
      </c>
      <c r="BT891" s="4">
        <v>0.59930555555555554</v>
      </c>
      <c r="BU891" s="2" t="s">
        <v>1415</v>
      </c>
      <c r="BV891" s="2" t="s">
        <v>89</v>
      </c>
      <c r="BW891" s="2" t="s">
        <v>471</v>
      </c>
      <c r="BX891" s="2" t="s">
        <v>246</v>
      </c>
      <c r="BY891" s="2">
        <v>8610.0499999999993</v>
      </c>
      <c r="CA891" s="2" t="s">
        <v>532</v>
      </c>
      <c r="CC891" s="2" t="s">
        <v>212</v>
      </c>
      <c r="CD891" s="2">
        <v>7646</v>
      </c>
      <c r="CE891" s="2" t="s">
        <v>120</v>
      </c>
      <c r="CF891" s="3">
        <v>43077</v>
      </c>
      <c r="CI891" s="2">
        <v>1</v>
      </c>
      <c r="CJ891" s="2">
        <v>2</v>
      </c>
      <c r="CK891" s="2">
        <v>21</v>
      </c>
      <c r="CL891" s="2" t="s">
        <v>89</v>
      </c>
    </row>
    <row r="892" spans="1:90">
      <c r="A892" s="2" t="s">
        <v>71</v>
      </c>
      <c r="B892" s="2" t="s">
        <v>72</v>
      </c>
      <c r="C892" s="2" t="s">
        <v>73</v>
      </c>
      <c r="E892" s="2" t="str">
        <f>"FES1162594407"</f>
        <v>FES1162594407</v>
      </c>
      <c r="F892" s="3">
        <v>43075</v>
      </c>
      <c r="G892" s="2">
        <v>201806</v>
      </c>
      <c r="H892" s="2" t="s">
        <v>74</v>
      </c>
      <c r="I892" s="2" t="s">
        <v>75</v>
      </c>
      <c r="J892" s="2" t="s">
        <v>97</v>
      </c>
      <c r="K892" s="2" t="s">
        <v>77</v>
      </c>
      <c r="L892" s="2" t="s">
        <v>115</v>
      </c>
      <c r="M892" s="2" t="s">
        <v>116</v>
      </c>
      <c r="N892" s="2" t="s">
        <v>1416</v>
      </c>
      <c r="O892" s="2" t="s">
        <v>101</v>
      </c>
      <c r="P892" s="2" t="str">
        <f>"2170603612                    "</f>
        <v xml:space="preserve">2170603612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5.03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35.89</v>
      </c>
      <c r="BM892" s="2">
        <v>5.0199999999999996</v>
      </c>
      <c r="BN892" s="2">
        <v>40.909999999999997</v>
      </c>
      <c r="BO892" s="2">
        <v>40.909999999999997</v>
      </c>
      <c r="BR892" s="2" t="s">
        <v>103</v>
      </c>
      <c r="BS892" s="3">
        <v>43076</v>
      </c>
      <c r="BT892" s="4">
        <v>0.41666666666666669</v>
      </c>
      <c r="BU892" s="2" t="s">
        <v>1417</v>
      </c>
      <c r="BV892" s="2" t="s">
        <v>85</v>
      </c>
      <c r="BY892" s="2">
        <v>1200</v>
      </c>
      <c r="CA892" s="2" t="s">
        <v>119</v>
      </c>
      <c r="CC892" s="2" t="s">
        <v>116</v>
      </c>
      <c r="CD892" s="2">
        <v>1459</v>
      </c>
      <c r="CE892" s="2" t="s">
        <v>120</v>
      </c>
      <c r="CF892" s="3">
        <v>43080</v>
      </c>
      <c r="CI892" s="2">
        <v>1</v>
      </c>
      <c r="CJ892" s="2">
        <v>1</v>
      </c>
      <c r="CK892" s="2">
        <v>22</v>
      </c>
      <c r="CL892" s="2" t="s">
        <v>89</v>
      </c>
    </row>
    <row r="893" spans="1:90">
      <c r="A893" s="2" t="s">
        <v>71</v>
      </c>
      <c r="B893" s="2" t="s">
        <v>72</v>
      </c>
      <c r="C893" s="2" t="s">
        <v>73</v>
      </c>
      <c r="E893" s="2" t="str">
        <f>"FES1162594554"</f>
        <v>FES1162594554</v>
      </c>
      <c r="F893" s="3">
        <v>43075</v>
      </c>
      <c r="G893" s="2">
        <v>201806</v>
      </c>
      <c r="H893" s="2" t="s">
        <v>74</v>
      </c>
      <c r="I893" s="2" t="s">
        <v>75</v>
      </c>
      <c r="J893" s="2" t="s">
        <v>97</v>
      </c>
      <c r="K893" s="2" t="s">
        <v>77</v>
      </c>
      <c r="L893" s="2" t="s">
        <v>168</v>
      </c>
      <c r="M893" s="2" t="s">
        <v>169</v>
      </c>
      <c r="N893" s="2" t="s">
        <v>170</v>
      </c>
      <c r="O893" s="2" t="s">
        <v>101</v>
      </c>
      <c r="P893" s="2" t="str">
        <f>"2170606024                    "</f>
        <v xml:space="preserve">2170606024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12.87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4</v>
      </c>
      <c r="BJ893" s="2">
        <v>1.6</v>
      </c>
      <c r="BK893" s="2">
        <v>4</v>
      </c>
      <c r="BL893" s="2">
        <v>91.85</v>
      </c>
      <c r="BM893" s="2">
        <v>12.86</v>
      </c>
      <c r="BN893" s="2">
        <v>104.71</v>
      </c>
      <c r="BO893" s="2">
        <v>104.71</v>
      </c>
      <c r="BQ893" s="2" t="s">
        <v>128</v>
      </c>
      <c r="BR893" s="2" t="s">
        <v>103</v>
      </c>
      <c r="BS893" s="3">
        <v>43076</v>
      </c>
      <c r="BT893" s="4">
        <v>0.375</v>
      </c>
      <c r="BU893" s="2" t="s">
        <v>171</v>
      </c>
      <c r="BV893" s="2" t="s">
        <v>85</v>
      </c>
      <c r="BY893" s="2">
        <v>7776</v>
      </c>
      <c r="CA893" s="2" t="s">
        <v>172</v>
      </c>
      <c r="CC893" s="2" t="s">
        <v>169</v>
      </c>
      <c r="CD893" s="2">
        <v>3610</v>
      </c>
      <c r="CE893" s="2" t="s">
        <v>87</v>
      </c>
      <c r="CF893" s="3">
        <v>43080</v>
      </c>
      <c r="CI893" s="2">
        <v>1</v>
      </c>
      <c r="CJ893" s="2">
        <v>1</v>
      </c>
      <c r="CK893" s="2">
        <v>21</v>
      </c>
      <c r="CL893" s="2" t="s">
        <v>89</v>
      </c>
    </row>
    <row r="894" spans="1:90">
      <c r="A894" s="2" t="s">
        <v>71</v>
      </c>
      <c r="B894" s="2" t="s">
        <v>72</v>
      </c>
      <c r="C894" s="2" t="s">
        <v>73</v>
      </c>
      <c r="E894" s="2" t="str">
        <f>"FES1162594181"</f>
        <v>FES1162594181</v>
      </c>
      <c r="F894" s="3">
        <v>43075</v>
      </c>
      <c r="G894" s="2">
        <v>201806</v>
      </c>
      <c r="H894" s="2" t="s">
        <v>74</v>
      </c>
      <c r="I894" s="2" t="s">
        <v>75</v>
      </c>
      <c r="J894" s="2" t="s">
        <v>97</v>
      </c>
      <c r="K894" s="2" t="s">
        <v>77</v>
      </c>
      <c r="L894" s="2" t="s">
        <v>162</v>
      </c>
      <c r="M894" s="2" t="s">
        <v>163</v>
      </c>
      <c r="N894" s="2" t="s">
        <v>1418</v>
      </c>
      <c r="O894" s="2" t="s">
        <v>101</v>
      </c>
      <c r="P894" s="2" t="str">
        <f>"2170603620                    "</f>
        <v xml:space="preserve">2170603620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5.03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1</v>
      </c>
      <c r="BJ894" s="2">
        <v>0.2</v>
      </c>
      <c r="BK894" s="2">
        <v>1</v>
      </c>
      <c r="BL894" s="2">
        <v>35.89</v>
      </c>
      <c r="BM894" s="2">
        <v>5.0199999999999996</v>
      </c>
      <c r="BN894" s="2">
        <v>40.909999999999997</v>
      </c>
      <c r="BO894" s="2">
        <v>40.909999999999997</v>
      </c>
      <c r="BQ894" s="2" t="s">
        <v>82</v>
      </c>
      <c r="BR894" s="2" t="s">
        <v>103</v>
      </c>
      <c r="BS894" s="3">
        <v>43076</v>
      </c>
      <c r="BT894" s="4">
        <v>0.4236111111111111</v>
      </c>
      <c r="BU894" s="2" t="s">
        <v>640</v>
      </c>
      <c r="BV894" s="2" t="s">
        <v>85</v>
      </c>
      <c r="BY894" s="2">
        <v>1200</v>
      </c>
      <c r="CC894" s="2" t="s">
        <v>163</v>
      </c>
      <c r="CD894" s="2">
        <v>1451</v>
      </c>
      <c r="CE894" s="2" t="s">
        <v>120</v>
      </c>
      <c r="CF894" s="3">
        <v>43080</v>
      </c>
      <c r="CI894" s="2">
        <v>1</v>
      </c>
      <c r="CJ894" s="2">
        <v>1</v>
      </c>
      <c r="CK894" s="2">
        <v>22</v>
      </c>
      <c r="CL894" s="2" t="s">
        <v>89</v>
      </c>
    </row>
    <row r="895" spans="1:90">
      <c r="A895" s="2" t="s">
        <v>71</v>
      </c>
      <c r="B895" s="2" t="s">
        <v>72</v>
      </c>
      <c r="C895" s="2" t="s">
        <v>73</v>
      </c>
      <c r="E895" s="2" t="str">
        <f>"FES1162594463"</f>
        <v>FES1162594463</v>
      </c>
      <c r="F895" s="3">
        <v>43075</v>
      </c>
      <c r="G895" s="2">
        <v>201806</v>
      </c>
      <c r="H895" s="2" t="s">
        <v>74</v>
      </c>
      <c r="I895" s="2" t="s">
        <v>75</v>
      </c>
      <c r="J895" s="2" t="s">
        <v>97</v>
      </c>
      <c r="K895" s="2" t="s">
        <v>77</v>
      </c>
      <c r="L895" s="2" t="s">
        <v>136</v>
      </c>
      <c r="M895" s="2" t="s">
        <v>137</v>
      </c>
      <c r="N895" s="2" t="s">
        <v>540</v>
      </c>
      <c r="O895" s="2" t="s">
        <v>101</v>
      </c>
      <c r="P895" s="2" t="str">
        <f>"2170606037                    "</f>
        <v xml:space="preserve">2170606037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51.45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2</v>
      </c>
      <c r="BI895" s="2">
        <v>8.4</v>
      </c>
      <c r="BJ895" s="2">
        <v>15.8</v>
      </c>
      <c r="BK895" s="2">
        <v>16</v>
      </c>
      <c r="BL895" s="2">
        <v>367.31</v>
      </c>
      <c r="BM895" s="2">
        <v>51.42</v>
      </c>
      <c r="BN895" s="2">
        <v>418.73</v>
      </c>
      <c r="BO895" s="2">
        <v>418.73</v>
      </c>
      <c r="BQ895" s="2" t="s">
        <v>541</v>
      </c>
      <c r="BR895" s="2" t="s">
        <v>103</v>
      </c>
      <c r="BS895" s="3">
        <v>43077</v>
      </c>
      <c r="BT895" s="4">
        <v>0.42777777777777781</v>
      </c>
      <c r="BU895" s="2" t="s">
        <v>554</v>
      </c>
      <c r="BV895" s="2" t="s">
        <v>89</v>
      </c>
      <c r="BW895" s="2" t="s">
        <v>156</v>
      </c>
      <c r="BX895" s="2" t="s">
        <v>1334</v>
      </c>
      <c r="BY895" s="2">
        <v>78955.31</v>
      </c>
      <c r="CA895" s="2" t="s">
        <v>767</v>
      </c>
      <c r="CC895" s="2" t="s">
        <v>137</v>
      </c>
      <c r="CD895" s="2">
        <v>6045</v>
      </c>
      <c r="CE895" s="2" t="s">
        <v>87</v>
      </c>
      <c r="CF895" s="3">
        <v>43080</v>
      </c>
      <c r="CI895" s="2">
        <v>1</v>
      </c>
      <c r="CJ895" s="2">
        <v>2</v>
      </c>
      <c r="CK895" s="2">
        <v>21</v>
      </c>
      <c r="CL895" s="2" t="s">
        <v>89</v>
      </c>
    </row>
    <row r="896" spans="1:90">
      <c r="A896" s="2" t="s">
        <v>71</v>
      </c>
      <c r="B896" s="2" t="s">
        <v>72</v>
      </c>
      <c r="C896" s="2" t="s">
        <v>73</v>
      </c>
      <c r="E896" s="2" t="str">
        <f>"FES1162594273"</f>
        <v>FES1162594273</v>
      </c>
      <c r="F896" s="3">
        <v>43075</v>
      </c>
      <c r="G896" s="2">
        <v>201806</v>
      </c>
      <c r="H896" s="2" t="s">
        <v>74</v>
      </c>
      <c r="I896" s="2" t="s">
        <v>75</v>
      </c>
      <c r="J896" s="2" t="s">
        <v>97</v>
      </c>
      <c r="K896" s="2" t="s">
        <v>77</v>
      </c>
      <c r="L896" s="2" t="s">
        <v>162</v>
      </c>
      <c r="M896" s="2" t="s">
        <v>163</v>
      </c>
      <c r="N896" s="2" t="s">
        <v>1419</v>
      </c>
      <c r="O896" s="2" t="s">
        <v>101</v>
      </c>
      <c r="P896" s="2" t="str">
        <f>"2170605767                    "</f>
        <v xml:space="preserve">2170605767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5.03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</v>
      </c>
      <c r="BJ896" s="2">
        <v>0.2</v>
      </c>
      <c r="BK896" s="2">
        <v>1</v>
      </c>
      <c r="BL896" s="2">
        <v>35.89</v>
      </c>
      <c r="BM896" s="2">
        <v>5.0199999999999996</v>
      </c>
      <c r="BN896" s="2">
        <v>40.909999999999997</v>
      </c>
      <c r="BO896" s="2">
        <v>40.909999999999997</v>
      </c>
      <c r="BQ896" s="2" t="s">
        <v>82</v>
      </c>
      <c r="BR896" s="2" t="s">
        <v>103</v>
      </c>
      <c r="BS896" s="3">
        <v>43076</v>
      </c>
      <c r="BT896" s="4">
        <v>0.41666666666666669</v>
      </c>
      <c r="BU896" s="2" t="s">
        <v>205</v>
      </c>
      <c r="BV896" s="2" t="s">
        <v>85</v>
      </c>
      <c r="BY896" s="2">
        <v>1200</v>
      </c>
      <c r="CC896" s="2" t="s">
        <v>163</v>
      </c>
      <c r="CD896" s="2">
        <v>1451</v>
      </c>
      <c r="CE896" s="2" t="s">
        <v>120</v>
      </c>
      <c r="CF896" s="3">
        <v>43080</v>
      </c>
      <c r="CI896" s="2">
        <v>1</v>
      </c>
      <c r="CJ896" s="2">
        <v>1</v>
      </c>
      <c r="CK896" s="2">
        <v>22</v>
      </c>
      <c r="CL896" s="2" t="s">
        <v>89</v>
      </c>
    </row>
    <row r="897" spans="1:90">
      <c r="A897" s="2" t="s">
        <v>71</v>
      </c>
      <c r="B897" s="2" t="s">
        <v>72</v>
      </c>
      <c r="C897" s="2" t="s">
        <v>73</v>
      </c>
      <c r="E897" s="2" t="str">
        <f>"FES1162594433"</f>
        <v>FES1162594433</v>
      </c>
      <c r="F897" s="3">
        <v>43075</v>
      </c>
      <c r="G897" s="2">
        <v>201806</v>
      </c>
      <c r="H897" s="2" t="s">
        <v>74</v>
      </c>
      <c r="I897" s="2" t="s">
        <v>75</v>
      </c>
      <c r="J897" s="2" t="s">
        <v>97</v>
      </c>
      <c r="K897" s="2" t="s">
        <v>77</v>
      </c>
      <c r="L897" s="2" t="s">
        <v>106</v>
      </c>
      <c r="M897" s="2" t="s">
        <v>107</v>
      </c>
      <c r="N897" s="2" t="s">
        <v>108</v>
      </c>
      <c r="O897" s="2" t="s">
        <v>101</v>
      </c>
      <c r="P897" s="2" t="str">
        <f>"217066279                     "</f>
        <v xml:space="preserve">217066279 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6.23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5.5</v>
      </c>
      <c r="BJ897" s="2">
        <v>9.1</v>
      </c>
      <c r="BK897" s="2">
        <v>10</v>
      </c>
      <c r="BL897" s="2">
        <v>44.49</v>
      </c>
      <c r="BM897" s="2">
        <v>6.23</v>
      </c>
      <c r="BN897" s="2">
        <v>50.72</v>
      </c>
      <c r="BO897" s="2">
        <v>50.72</v>
      </c>
      <c r="BQ897" s="2" t="s">
        <v>82</v>
      </c>
      <c r="BR897" s="2" t="s">
        <v>103</v>
      </c>
      <c r="BS897" s="3">
        <v>43076</v>
      </c>
      <c r="BT897" s="4">
        <v>0.45833333333333331</v>
      </c>
      <c r="BU897" s="2" t="s">
        <v>563</v>
      </c>
      <c r="BV897" s="2" t="s">
        <v>89</v>
      </c>
      <c r="BW897" s="2" t="s">
        <v>156</v>
      </c>
      <c r="BX897" s="2" t="s">
        <v>438</v>
      </c>
      <c r="BY897" s="2">
        <v>45491.67</v>
      </c>
      <c r="CA897" s="2" t="s">
        <v>110</v>
      </c>
      <c r="CC897" s="2" t="s">
        <v>107</v>
      </c>
      <c r="CD897" s="2">
        <v>2094</v>
      </c>
      <c r="CE897" s="2" t="s">
        <v>95</v>
      </c>
      <c r="CF897" s="3">
        <v>43080</v>
      </c>
      <c r="CI897" s="2">
        <v>1</v>
      </c>
      <c r="CJ897" s="2">
        <v>1</v>
      </c>
      <c r="CK897" s="2">
        <v>22</v>
      </c>
      <c r="CL897" s="2" t="s">
        <v>89</v>
      </c>
    </row>
    <row r="898" spans="1:90">
      <c r="A898" s="2" t="s">
        <v>71</v>
      </c>
      <c r="B898" s="2" t="s">
        <v>72</v>
      </c>
      <c r="C898" s="2" t="s">
        <v>73</v>
      </c>
      <c r="E898" s="2" t="str">
        <f>"FES1162594344"</f>
        <v>FES1162594344</v>
      </c>
      <c r="F898" s="3">
        <v>43075</v>
      </c>
      <c r="G898" s="2">
        <v>201806</v>
      </c>
      <c r="H898" s="2" t="s">
        <v>74</v>
      </c>
      <c r="I898" s="2" t="s">
        <v>75</v>
      </c>
      <c r="J898" s="2" t="s">
        <v>97</v>
      </c>
      <c r="K898" s="2" t="s">
        <v>77</v>
      </c>
      <c r="L898" s="2" t="s">
        <v>106</v>
      </c>
      <c r="M898" s="2" t="s">
        <v>107</v>
      </c>
      <c r="N898" s="2" t="s">
        <v>1420</v>
      </c>
      <c r="O898" s="2" t="s">
        <v>101</v>
      </c>
      <c r="P898" s="2" t="str">
        <f>"2170606176                    "</f>
        <v xml:space="preserve">2170606176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5.03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0.5</v>
      </c>
      <c r="BJ898" s="2">
        <v>0.2</v>
      </c>
      <c r="BK898" s="2">
        <v>1</v>
      </c>
      <c r="BL898" s="2">
        <v>35.89</v>
      </c>
      <c r="BM898" s="2">
        <v>5.0199999999999996</v>
      </c>
      <c r="BN898" s="2">
        <v>40.909999999999997</v>
      </c>
      <c r="BO898" s="2">
        <v>40.909999999999997</v>
      </c>
      <c r="BQ898" s="2" t="s">
        <v>82</v>
      </c>
      <c r="BR898" s="2" t="s">
        <v>103</v>
      </c>
      <c r="BS898" s="3">
        <v>43077</v>
      </c>
      <c r="BT898" s="4">
        <v>0.35000000000000003</v>
      </c>
      <c r="BU898" s="2" t="s">
        <v>1421</v>
      </c>
      <c r="BV898" s="2" t="s">
        <v>89</v>
      </c>
      <c r="BW898" s="2" t="s">
        <v>149</v>
      </c>
      <c r="BX898" s="2" t="s">
        <v>456</v>
      </c>
      <c r="BY898" s="2">
        <v>1200</v>
      </c>
      <c r="CC898" s="2" t="s">
        <v>107</v>
      </c>
      <c r="CD898" s="2">
        <v>2093</v>
      </c>
      <c r="CE898" s="2" t="s">
        <v>120</v>
      </c>
      <c r="CF898" s="3">
        <v>43081</v>
      </c>
      <c r="CI898" s="2">
        <v>1</v>
      </c>
      <c r="CJ898" s="2">
        <v>2</v>
      </c>
      <c r="CK898" s="2">
        <v>22</v>
      </c>
      <c r="CL898" s="2" t="s">
        <v>89</v>
      </c>
    </row>
    <row r="899" spans="1:90">
      <c r="A899" s="2" t="s">
        <v>71</v>
      </c>
      <c r="B899" s="2" t="s">
        <v>72</v>
      </c>
      <c r="C899" s="2" t="s">
        <v>73</v>
      </c>
      <c r="E899" s="2" t="str">
        <f>"FES1162594409"</f>
        <v>FES1162594409</v>
      </c>
      <c r="F899" s="3">
        <v>43075</v>
      </c>
      <c r="G899" s="2">
        <v>201806</v>
      </c>
      <c r="H899" s="2" t="s">
        <v>74</v>
      </c>
      <c r="I899" s="2" t="s">
        <v>75</v>
      </c>
      <c r="J899" s="2" t="s">
        <v>97</v>
      </c>
      <c r="K899" s="2" t="s">
        <v>77</v>
      </c>
      <c r="L899" s="2" t="s">
        <v>106</v>
      </c>
      <c r="M899" s="2" t="s">
        <v>107</v>
      </c>
      <c r="N899" s="2" t="s">
        <v>630</v>
      </c>
      <c r="O899" s="2" t="s">
        <v>101</v>
      </c>
      <c r="P899" s="2" t="str">
        <f>"2170604515                    "</f>
        <v xml:space="preserve">2170604515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5.03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1</v>
      </c>
      <c r="BJ899" s="2">
        <v>0.2</v>
      </c>
      <c r="BK899" s="2">
        <v>1</v>
      </c>
      <c r="BL899" s="2">
        <v>35.89</v>
      </c>
      <c r="BM899" s="2">
        <v>5.0199999999999996</v>
      </c>
      <c r="BN899" s="2">
        <v>40.909999999999997</v>
      </c>
      <c r="BO899" s="2">
        <v>40.909999999999997</v>
      </c>
      <c r="BQ899" s="2" t="s">
        <v>631</v>
      </c>
      <c r="BR899" s="2" t="s">
        <v>103</v>
      </c>
      <c r="BS899" s="3">
        <v>43076</v>
      </c>
      <c r="BT899" s="4">
        <v>0.57152777777777775</v>
      </c>
      <c r="BU899" s="2" t="s">
        <v>1422</v>
      </c>
      <c r="BV899" s="2" t="s">
        <v>89</v>
      </c>
      <c r="BW899" s="2" t="s">
        <v>437</v>
      </c>
      <c r="BX899" s="2" t="s">
        <v>438</v>
      </c>
      <c r="BY899" s="2">
        <v>1200</v>
      </c>
      <c r="CA899" s="2" t="s">
        <v>453</v>
      </c>
      <c r="CC899" s="2" t="s">
        <v>107</v>
      </c>
      <c r="CD899" s="2">
        <v>2093</v>
      </c>
      <c r="CE899" s="2" t="s">
        <v>120</v>
      </c>
      <c r="CF899" s="3">
        <v>43080</v>
      </c>
      <c r="CI899" s="2">
        <v>1</v>
      </c>
      <c r="CJ899" s="2">
        <v>1</v>
      </c>
      <c r="CK899" s="2">
        <v>22</v>
      </c>
      <c r="CL899" s="2" t="s">
        <v>89</v>
      </c>
    </row>
    <row r="900" spans="1:90">
      <c r="A900" s="2" t="s">
        <v>71</v>
      </c>
      <c r="B900" s="2" t="s">
        <v>72</v>
      </c>
      <c r="C900" s="2" t="s">
        <v>73</v>
      </c>
      <c r="E900" s="2" t="str">
        <f>"FES1162594293"</f>
        <v>FES1162594293</v>
      </c>
      <c r="F900" s="3">
        <v>43075</v>
      </c>
      <c r="G900" s="2">
        <v>201806</v>
      </c>
      <c r="H900" s="2" t="s">
        <v>74</v>
      </c>
      <c r="I900" s="2" t="s">
        <v>75</v>
      </c>
      <c r="J900" s="2" t="s">
        <v>97</v>
      </c>
      <c r="K900" s="2" t="s">
        <v>77</v>
      </c>
      <c r="L900" s="2" t="s">
        <v>106</v>
      </c>
      <c r="M900" s="2" t="s">
        <v>107</v>
      </c>
      <c r="N900" s="2" t="s">
        <v>1423</v>
      </c>
      <c r="O900" s="2" t="s">
        <v>101</v>
      </c>
      <c r="P900" s="2" t="str">
        <f>"2170606134                    "</f>
        <v xml:space="preserve">2170606134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5.03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1</v>
      </c>
      <c r="BJ900" s="2">
        <v>0.2</v>
      </c>
      <c r="BK900" s="2">
        <v>1</v>
      </c>
      <c r="BL900" s="2">
        <v>35.89</v>
      </c>
      <c r="BM900" s="2">
        <v>5.0199999999999996</v>
      </c>
      <c r="BN900" s="2">
        <v>40.909999999999997</v>
      </c>
      <c r="BO900" s="2">
        <v>40.909999999999997</v>
      </c>
      <c r="BQ900" s="2" t="s">
        <v>82</v>
      </c>
      <c r="BR900" s="2" t="s">
        <v>103</v>
      </c>
      <c r="BS900" s="3">
        <v>43076</v>
      </c>
      <c r="BT900" s="4">
        <v>0.53888888888888886</v>
      </c>
      <c r="BU900" s="2" t="s">
        <v>1424</v>
      </c>
      <c r="BV900" s="2" t="s">
        <v>89</v>
      </c>
      <c r="BW900" s="2" t="s">
        <v>437</v>
      </c>
      <c r="BX900" s="2" t="s">
        <v>1140</v>
      </c>
      <c r="BY900" s="2">
        <v>1200</v>
      </c>
      <c r="CC900" s="2" t="s">
        <v>107</v>
      </c>
      <c r="CD900" s="2">
        <v>2094</v>
      </c>
      <c r="CE900" s="2" t="s">
        <v>120</v>
      </c>
      <c r="CF900" s="3">
        <v>43077</v>
      </c>
      <c r="CI900" s="2">
        <v>1</v>
      </c>
      <c r="CJ900" s="2">
        <v>1</v>
      </c>
      <c r="CK900" s="2">
        <v>22</v>
      </c>
      <c r="CL900" s="2" t="s">
        <v>89</v>
      </c>
    </row>
    <row r="901" spans="1:90">
      <c r="A901" s="2" t="s">
        <v>71</v>
      </c>
      <c r="B901" s="2" t="s">
        <v>72</v>
      </c>
      <c r="C901" s="2" t="s">
        <v>73</v>
      </c>
      <c r="E901" s="2" t="str">
        <f>"FES1162594178"</f>
        <v>FES1162594178</v>
      </c>
      <c r="F901" s="3">
        <v>43075</v>
      </c>
      <c r="G901" s="2">
        <v>201806</v>
      </c>
      <c r="H901" s="2" t="s">
        <v>74</v>
      </c>
      <c r="I901" s="2" t="s">
        <v>75</v>
      </c>
      <c r="J901" s="2" t="s">
        <v>97</v>
      </c>
      <c r="K901" s="2" t="s">
        <v>77</v>
      </c>
      <c r="L901" s="2" t="s">
        <v>212</v>
      </c>
      <c r="M901" s="2" t="s">
        <v>212</v>
      </c>
      <c r="N901" s="2" t="s">
        <v>370</v>
      </c>
      <c r="O901" s="2" t="s">
        <v>101</v>
      </c>
      <c r="P901" s="2" t="str">
        <f>"2170603606                    "</f>
        <v xml:space="preserve">2170603606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6.43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</v>
      </c>
      <c r="BJ901" s="2">
        <v>0.2</v>
      </c>
      <c r="BK901" s="2">
        <v>1</v>
      </c>
      <c r="BL901" s="2">
        <v>45.93</v>
      </c>
      <c r="BM901" s="2">
        <v>6.43</v>
      </c>
      <c r="BN901" s="2">
        <v>52.36</v>
      </c>
      <c r="BO901" s="2">
        <v>52.36</v>
      </c>
      <c r="BQ901" s="2" t="s">
        <v>102</v>
      </c>
      <c r="BR901" s="2" t="s">
        <v>103</v>
      </c>
      <c r="BS901" s="3">
        <v>43076</v>
      </c>
      <c r="BT901" s="4">
        <v>0.61111111111111105</v>
      </c>
      <c r="BU901" s="2" t="s">
        <v>538</v>
      </c>
      <c r="BV901" s="2" t="s">
        <v>89</v>
      </c>
      <c r="BW901" s="2" t="s">
        <v>149</v>
      </c>
      <c r="BX901" s="2" t="s">
        <v>1413</v>
      </c>
      <c r="BY901" s="2">
        <v>1200</v>
      </c>
      <c r="CA901" s="2" t="s">
        <v>532</v>
      </c>
      <c r="CC901" s="2" t="s">
        <v>212</v>
      </c>
      <c r="CD901" s="2">
        <v>7646</v>
      </c>
      <c r="CE901" s="2" t="s">
        <v>120</v>
      </c>
      <c r="CF901" s="3">
        <v>43076</v>
      </c>
      <c r="CI901" s="2">
        <v>1</v>
      </c>
      <c r="CJ901" s="2">
        <v>1</v>
      </c>
      <c r="CK901" s="2">
        <v>21</v>
      </c>
      <c r="CL901" s="2" t="s">
        <v>89</v>
      </c>
    </row>
    <row r="902" spans="1:90">
      <c r="A902" s="2" t="s">
        <v>71</v>
      </c>
      <c r="B902" s="2" t="s">
        <v>72</v>
      </c>
      <c r="C902" s="2" t="s">
        <v>73</v>
      </c>
      <c r="E902" s="2" t="str">
        <f>"FES1162594244"</f>
        <v>FES1162594244</v>
      </c>
      <c r="F902" s="3">
        <v>43075</v>
      </c>
      <c r="G902" s="2">
        <v>201806</v>
      </c>
      <c r="H902" s="2" t="s">
        <v>74</v>
      </c>
      <c r="I902" s="2" t="s">
        <v>75</v>
      </c>
      <c r="J902" s="2" t="s">
        <v>97</v>
      </c>
      <c r="K902" s="2" t="s">
        <v>77</v>
      </c>
      <c r="L902" s="2" t="s">
        <v>98</v>
      </c>
      <c r="M902" s="2" t="s">
        <v>99</v>
      </c>
      <c r="N902" s="2" t="s">
        <v>670</v>
      </c>
      <c r="O902" s="2" t="s">
        <v>101</v>
      </c>
      <c r="P902" s="2" t="str">
        <f>"2170605393                    "</f>
        <v xml:space="preserve">2170605393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6.43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</v>
      </c>
      <c r="BJ902" s="2">
        <v>0.2</v>
      </c>
      <c r="BK902" s="2">
        <v>1</v>
      </c>
      <c r="BL902" s="2">
        <v>45.93</v>
      </c>
      <c r="BM902" s="2">
        <v>6.43</v>
      </c>
      <c r="BN902" s="2">
        <v>52.36</v>
      </c>
      <c r="BO902" s="2">
        <v>52.36</v>
      </c>
      <c r="BQ902" s="2" t="s">
        <v>102</v>
      </c>
      <c r="BR902" s="2" t="s">
        <v>103</v>
      </c>
      <c r="BS902" s="3">
        <v>43076</v>
      </c>
      <c r="BT902" s="4">
        <v>0.66805555555555562</v>
      </c>
      <c r="BU902" s="2" t="s">
        <v>1425</v>
      </c>
      <c r="BV902" s="2" t="s">
        <v>89</v>
      </c>
      <c r="BY902" s="2">
        <v>1200</v>
      </c>
      <c r="CA902" s="2" t="s">
        <v>1426</v>
      </c>
      <c r="CC902" s="2" t="s">
        <v>99</v>
      </c>
      <c r="CD902" s="2">
        <v>3200</v>
      </c>
      <c r="CE902" s="2" t="s">
        <v>120</v>
      </c>
      <c r="CF902" s="3">
        <v>43080</v>
      </c>
      <c r="CI902" s="2">
        <v>1</v>
      </c>
      <c r="CJ902" s="2">
        <v>1</v>
      </c>
      <c r="CK902" s="2">
        <v>21</v>
      </c>
      <c r="CL902" s="2" t="s">
        <v>89</v>
      </c>
    </row>
    <row r="903" spans="1:90">
      <c r="A903" s="2" t="s">
        <v>71</v>
      </c>
      <c r="B903" s="2" t="s">
        <v>72</v>
      </c>
      <c r="C903" s="2" t="s">
        <v>73</v>
      </c>
      <c r="E903" s="2" t="str">
        <f>"FES1162594122"</f>
        <v>FES1162594122</v>
      </c>
      <c r="F903" s="3">
        <v>43075</v>
      </c>
      <c r="G903" s="2">
        <v>201806</v>
      </c>
      <c r="H903" s="2" t="s">
        <v>74</v>
      </c>
      <c r="I903" s="2" t="s">
        <v>75</v>
      </c>
      <c r="J903" s="2" t="s">
        <v>97</v>
      </c>
      <c r="K903" s="2" t="s">
        <v>77</v>
      </c>
      <c r="L903" s="2" t="s">
        <v>115</v>
      </c>
      <c r="M903" s="2" t="s">
        <v>116</v>
      </c>
      <c r="N903" s="2" t="s">
        <v>1427</v>
      </c>
      <c r="O903" s="2" t="s">
        <v>101</v>
      </c>
      <c r="P903" s="2" t="str">
        <f>"2170601403                    "</f>
        <v xml:space="preserve">2170601403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5.03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1</v>
      </c>
      <c r="BJ903" s="2">
        <v>0.2</v>
      </c>
      <c r="BK903" s="2">
        <v>1</v>
      </c>
      <c r="BL903" s="2">
        <v>35.89</v>
      </c>
      <c r="BM903" s="2">
        <v>5.0199999999999996</v>
      </c>
      <c r="BN903" s="2">
        <v>40.909999999999997</v>
      </c>
      <c r="BO903" s="2">
        <v>40.909999999999997</v>
      </c>
      <c r="BQ903" s="2" t="s">
        <v>102</v>
      </c>
      <c r="BR903" s="2" t="s">
        <v>103</v>
      </c>
      <c r="BS903" s="3">
        <v>43076</v>
      </c>
      <c r="BT903" s="4">
        <v>0.40069444444444446</v>
      </c>
      <c r="BU903" s="2" t="s">
        <v>1428</v>
      </c>
      <c r="BV903" s="2" t="s">
        <v>85</v>
      </c>
      <c r="BY903" s="2">
        <v>1200</v>
      </c>
      <c r="CA903" s="2" t="s">
        <v>386</v>
      </c>
      <c r="CC903" s="2" t="s">
        <v>116</v>
      </c>
      <c r="CD903" s="2">
        <v>1459</v>
      </c>
      <c r="CE903" s="2" t="s">
        <v>120</v>
      </c>
      <c r="CF903" s="3">
        <v>43080</v>
      </c>
      <c r="CI903" s="2">
        <v>1</v>
      </c>
      <c r="CJ903" s="2">
        <v>1</v>
      </c>
      <c r="CK903" s="2">
        <v>22</v>
      </c>
      <c r="CL903" s="2" t="s">
        <v>89</v>
      </c>
    </row>
    <row r="904" spans="1:90">
      <c r="A904" s="2" t="s">
        <v>71</v>
      </c>
      <c r="B904" s="2" t="s">
        <v>72</v>
      </c>
      <c r="C904" s="2" t="s">
        <v>73</v>
      </c>
      <c r="E904" s="2" t="str">
        <f>"FES1162594501"</f>
        <v>FES1162594501</v>
      </c>
      <c r="F904" s="3">
        <v>43075</v>
      </c>
      <c r="G904" s="2">
        <v>201806</v>
      </c>
      <c r="H904" s="2" t="s">
        <v>74</v>
      </c>
      <c r="I904" s="2" t="s">
        <v>75</v>
      </c>
      <c r="J904" s="2" t="s">
        <v>97</v>
      </c>
      <c r="K904" s="2" t="s">
        <v>77</v>
      </c>
      <c r="L904" s="2" t="s">
        <v>212</v>
      </c>
      <c r="M904" s="2" t="s">
        <v>212</v>
      </c>
      <c r="N904" s="2" t="s">
        <v>213</v>
      </c>
      <c r="O904" s="2" t="s">
        <v>101</v>
      </c>
      <c r="P904" s="2" t="str">
        <f>"2170606239                    "</f>
        <v xml:space="preserve">2170606239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6.43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1.3</v>
      </c>
      <c r="BJ904" s="2">
        <v>1.5</v>
      </c>
      <c r="BK904" s="2">
        <v>1.5</v>
      </c>
      <c r="BL904" s="2">
        <v>45.93</v>
      </c>
      <c r="BM904" s="2">
        <v>6.43</v>
      </c>
      <c r="BN904" s="2">
        <v>52.36</v>
      </c>
      <c r="BO904" s="2">
        <v>52.36</v>
      </c>
      <c r="BQ904" s="2" t="s">
        <v>102</v>
      </c>
      <c r="BR904" s="2" t="s">
        <v>103</v>
      </c>
      <c r="BS904" s="3">
        <v>43076</v>
      </c>
      <c r="BT904" s="4">
        <v>0.64166666666666672</v>
      </c>
      <c r="BU904" s="2" t="s">
        <v>1429</v>
      </c>
      <c r="BV904" s="2" t="s">
        <v>89</v>
      </c>
      <c r="BW904" s="2" t="s">
        <v>149</v>
      </c>
      <c r="BX904" s="2" t="s">
        <v>1413</v>
      </c>
      <c r="BY904" s="2">
        <v>7427.5</v>
      </c>
      <c r="CA904" s="2" t="s">
        <v>532</v>
      </c>
      <c r="CC904" s="2" t="s">
        <v>212</v>
      </c>
      <c r="CD904" s="2">
        <v>7646</v>
      </c>
      <c r="CE904" s="2" t="s">
        <v>120</v>
      </c>
      <c r="CF904" s="3">
        <v>43076</v>
      </c>
      <c r="CI904" s="2">
        <v>1</v>
      </c>
      <c r="CJ904" s="2">
        <v>1</v>
      </c>
      <c r="CK904" s="2">
        <v>21</v>
      </c>
      <c r="CL904" s="2" t="s">
        <v>89</v>
      </c>
    </row>
    <row r="905" spans="1:90">
      <c r="A905" s="2" t="s">
        <v>71</v>
      </c>
      <c r="B905" s="2" t="s">
        <v>72</v>
      </c>
      <c r="C905" s="2" t="s">
        <v>73</v>
      </c>
      <c r="E905" s="2" t="str">
        <f>"FES1162594321"</f>
        <v>FES1162594321</v>
      </c>
      <c r="F905" s="3">
        <v>43075</v>
      </c>
      <c r="G905" s="2">
        <v>201806</v>
      </c>
      <c r="H905" s="2" t="s">
        <v>74</v>
      </c>
      <c r="I905" s="2" t="s">
        <v>75</v>
      </c>
      <c r="J905" s="2" t="s">
        <v>97</v>
      </c>
      <c r="K905" s="2" t="s">
        <v>77</v>
      </c>
      <c r="L905" s="2" t="s">
        <v>74</v>
      </c>
      <c r="M905" s="2" t="s">
        <v>75</v>
      </c>
      <c r="N905" s="2" t="s">
        <v>925</v>
      </c>
      <c r="O905" s="2" t="s">
        <v>101</v>
      </c>
      <c r="P905" s="2" t="str">
        <f>"2170600697                    "</f>
        <v xml:space="preserve">2170600697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5.03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1</v>
      </c>
      <c r="BJ905" s="2">
        <v>0.2</v>
      </c>
      <c r="BK905" s="2">
        <v>1</v>
      </c>
      <c r="BL905" s="2">
        <v>35.89</v>
      </c>
      <c r="BM905" s="2">
        <v>5.0199999999999996</v>
      </c>
      <c r="BN905" s="2">
        <v>40.909999999999997</v>
      </c>
      <c r="BO905" s="2">
        <v>40.909999999999997</v>
      </c>
      <c r="BQ905" s="2" t="s">
        <v>926</v>
      </c>
      <c r="BR905" s="2" t="s">
        <v>103</v>
      </c>
      <c r="BS905" s="3">
        <v>43076</v>
      </c>
      <c r="BT905" s="4">
        <v>0.44166666666666665</v>
      </c>
      <c r="BU905" s="2" t="s">
        <v>1430</v>
      </c>
      <c r="BV905" s="2" t="s">
        <v>85</v>
      </c>
      <c r="BY905" s="2">
        <v>1200</v>
      </c>
      <c r="CA905" s="2" t="s">
        <v>1431</v>
      </c>
      <c r="CC905" s="2" t="s">
        <v>75</v>
      </c>
      <c r="CD905" s="2">
        <v>1600</v>
      </c>
      <c r="CE905" s="2" t="s">
        <v>120</v>
      </c>
      <c r="CF905" s="3">
        <v>43080</v>
      </c>
      <c r="CI905" s="2">
        <v>1</v>
      </c>
      <c r="CJ905" s="2">
        <v>1</v>
      </c>
      <c r="CK905" s="2">
        <v>22</v>
      </c>
      <c r="CL905" s="2" t="s">
        <v>89</v>
      </c>
    </row>
    <row r="906" spans="1:90">
      <c r="A906" s="2" t="s">
        <v>71</v>
      </c>
      <c r="B906" s="2" t="s">
        <v>72</v>
      </c>
      <c r="C906" s="2" t="s">
        <v>73</v>
      </c>
      <c r="E906" s="2" t="str">
        <f>"FES1162594217"</f>
        <v>FES1162594217</v>
      </c>
      <c r="F906" s="3">
        <v>43075</v>
      </c>
      <c r="G906" s="2">
        <v>201806</v>
      </c>
      <c r="H906" s="2" t="s">
        <v>74</v>
      </c>
      <c r="I906" s="2" t="s">
        <v>75</v>
      </c>
      <c r="J906" s="2" t="s">
        <v>97</v>
      </c>
      <c r="K906" s="2" t="s">
        <v>77</v>
      </c>
      <c r="L906" s="2" t="s">
        <v>131</v>
      </c>
      <c r="M906" s="2" t="s">
        <v>132</v>
      </c>
      <c r="N906" s="2" t="s">
        <v>1432</v>
      </c>
      <c r="O906" s="2" t="s">
        <v>101</v>
      </c>
      <c r="P906" s="2" t="str">
        <f>"2170604293                    "</f>
        <v xml:space="preserve">2170604293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6.43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45.93</v>
      </c>
      <c r="BM906" s="2">
        <v>6.43</v>
      </c>
      <c r="BN906" s="2">
        <v>52.36</v>
      </c>
      <c r="BO906" s="2">
        <v>52.36</v>
      </c>
      <c r="BQ906" s="2" t="s">
        <v>82</v>
      </c>
      <c r="BR906" s="2" t="s">
        <v>103</v>
      </c>
      <c r="BS906" s="3">
        <v>43077</v>
      </c>
      <c r="BT906" s="4">
        <v>0.40138888888888885</v>
      </c>
      <c r="BU906" s="2" t="s">
        <v>1433</v>
      </c>
      <c r="BV906" s="2" t="s">
        <v>89</v>
      </c>
      <c r="BW906" s="2" t="s">
        <v>149</v>
      </c>
      <c r="BX906" s="2" t="s">
        <v>219</v>
      </c>
      <c r="BY906" s="2">
        <v>1200</v>
      </c>
      <c r="CA906" s="2" t="s">
        <v>135</v>
      </c>
      <c r="CC906" s="2" t="s">
        <v>132</v>
      </c>
      <c r="CD906" s="2">
        <v>4300</v>
      </c>
      <c r="CE906" s="2" t="s">
        <v>120</v>
      </c>
      <c r="CI906" s="2">
        <v>1</v>
      </c>
      <c r="CJ906" s="2">
        <v>2</v>
      </c>
      <c r="CK906" s="2">
        <v>21</v>
      </c>
      <c r="CL906" s="2" t="s">
        <v>89</v>
      </c>
    </row>
    <row r="907" spans="1:90">
      <c r="A907" s="2" t="s">
        <v>71</v>
      </c>
      <c r="B907" s="2" t="s">
        <v>72</v>
      </c>
      <c r="C907" s="2" t="s">
        <v>73</v>
      </c>
      <c r="E907" s="2" t="str">
        <f>"FES1162594189"</f>
        <v>FES1162594189</v>
      </c>
      <c r="F907" s="3">
        <v>43075</v>
      </c>
      <c r="G907" s="2">
        <v>201806</v>
      </c>
      <c r="H907" s="2" t="s">
        <v>74</v>
      </c>
      <c r="I907" s="2" t="s">
        <v>75</v>
      </c>
      <c r="J907" s="2" t="s">
        <v>97</v>
      </c>
      <c r="K907" s="2" t="s">
        <v>77</v>
      </c>
      <c r="L907" s="2" t="s">
        <v>152</v>
      </c>
      <c r="M907" s="2" t="s">
        <v>153</v>
      </c>
      <c r="N907" s="2" t="s">
        <v>1434</v>
      </c>
      <c r="O907" s="2" t="s">
        <v>101</v>
      </c>
      <c r="P907" s="2" t="str">
        <f>"217063717                     "</f>
        <v xml:space="preserve">217063717 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5.03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2</v>
      </c>
      <c r="BJ907" s="2">
        <v>0.2</v>
      </c>
      <c r="BK907" s="2">
        <v>2</v>
      </c>
      <c r="BL907" s="2">
        <v>35.89</v>
      </c>
      <c r="BM907" s="2">
        <v>5.0199999999999996</v>
      </c>
      <c r="BN907" s="2">
        <v>40.909999999999997</v>
      </c>
      <c r="BO907" s="2">
        <v>40.909999999999997</v>
      </c>
      <c r="BQ907" s="2" t="s">
        <v>102</v>
      </c>
      <c r="BR907" s="2" t="s">
        <v>103</v>
      </c>
      <c r="BS907" s="3">
        <v>43076</v>
      </c>
      <c r="BT907" s="4">
        <v>0.44722222222222219</v>
      </c>
      <c r="BU907" s="2" t="s">
        <v>1435</v>
      </c>
      <c r="BV907" s="2" t="s">
        <v>85</v>
      </c>
      <c r="BY907" s="2">
        <v>1200</v>
      </c>
      <c r="CA907" s="2" t="s">
        <v>439</v>
      </c>
      <c r="CC907" s="2" t="s">
        <v>153</v>
      </c>
      <c r="CD907" s="2">
        <v>1422</v>
      </c>
      <c r="CE907" s="2" t="s">
        <v>120</v>
      </c>
      <c r="CF907" s="3">
        <v>43089</v>
      </c>
      <c r="CI907" s="2">
        <v>1</v>
      </c>
      <c r="CJ907" s="2">
        <v>1</v>
      </c>
      <c r="CK907" s="2">
        <v>22</v>
      </c>
      <c r="CL907" s="2" t="s">
        <v>89</v>
      </c>
    </row>
    <row r="908" spans="1:90">
      <c r="A908" s="2" t="s">
        <v>71</v>
      </c>
      <c r="B908" s="2" t="s">
        <v>72</v>
      </c>
      <c r="C908" s="2" t="s">
        <v>73</v>
      </c>
      <c r="E908" s="2" t="str">
        <f>"FES1162594225"</f>
        <v>FES1162594225</v>
      </c>
      <c r="F908" s="3">
        <v>43075</v>
      </c>
      <c r="G908" s="2">
        <v>201806</v>
      </c>
      <c r="H908" s="2" t="s">
        <v>74</v>
      </c>
      <c r="I908" s="2" t="s">
        <v>75</v>
      </c>
      <c r="J908" s="2" t="s">
        <v>97</v>
      </c>
      <c r="K908" s="2" t="s">
        <v>77</v>
      </c>
      <c r="L908" s="2" t="s">
        <v>168</v>
      </c>
      <c r="M908" s="2" t="s">
        <v>169</v>
      </c>
      <c r="N908" s="2" t="s">
        <v>1402</v>
      </c>
      <c r="O908" s="2" t="s">
        <v>101</v>
      </c>
      <c r="P908" s="2" t="str">
        <f>"2170604653                    "</f>
        <v xml:space="preserve">2170604653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6.43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45.93</v>
      </c>
      <c r="BM908" s="2">
        <v>6.43</v>
      </c>
      <c r="BN908" s="2">
        <v>52.36</v>
      </c>
      <c r="BO908" s="2">
        <v>52.36</v>
      </c>
      <c r="BQ908" s="2" t="s">
        <v>229</v>
      </c>
      <c r="BR908" s="2" t="s">
        <v>103</v>
      </c>
      <c r="BS908" s="3">
        <v>43077</v>
      </c>
      <c r="BT908" s="4">
        <v>0.5</v>
      </c>
      <c r="BU908" s="2" t="s">
        <v>1436</v>
      </c>
      <c r="BV908" s="2" t="s">
        <v>89</v>
      </c>
      <c r="BW908" s="2" t="s">
        <v>471</v>
      </c>
      <c r="BX908" s="2" t="s">
        <v>219</v>
      </c>
      <c r="BY908" s="2">
        <v>1200</v>
      </c>
      <c r="CC908" s="2" t="s">
        <v>169</v>
      </c>
      <c r="CD908" s="2">
        <v>4037</v>
      </c>
      <c r="CE908" s="2" t="s">
        <v>120</v>
      </c>
      <c r="CF908" s="3">
        <v>43080</v>
      </c>
      <c r="CI908" s="2">
        <v>1</v>
      </c>
      <c r="CJ908" s="2">
        <v>2</v>
      </c>
      <c r="CK908" s="2">
        <v>21</v>
      </c>
      <c r="CL908" s="2" t="s">
        <v>89</v>
      </c>
    </row>
    <row r="909" spans="1:90">
      <c r="A909" s="2" t="s">
        <v>71</v>
      </c>
      <c r="B909" s="2" t="s">
        <v>72</v>
      </c>
      <c r="C909" s="2" t="s">
        <v>73</v>
      </c>
      <c r="E909" s="2" t="str">
        <f>"FES1162594358"</f>
        <v>FES1162594358</v>
      </c>
      <c r="F909" s="3">
        <v>43075</v>
      </c>
      <c r="G909" s="2">
        <v>201806</v>
      </c>
      <c r="H909" s="2" t="s">
        <v>74</v>
      </c>
      <c r="I909" s="2" t="s">
        <v>75</v>
      </c>
      <c r="J909" s="2" t="s">
        <v>97</v>
      </c>
      <c r="K909" s="2" t="s">
        <v>77</v>
      </c>
      <c r="L909" s="2" t="s">
        <v>152</v>
      </c>
      <c r="M909" s="2" t="s">
        <v>153</v>
      </c>
      <c r="N909" s="2" t="s">
        <v>1437</v>
      </c>
      <c r="O909" s="2" t="s">
        <v>101</v>
      </c>
      <c r="P909" s="2" t="str">
        <f>"2170606201                    "</f>
        <v xml:space="preserve">2170606201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5.03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1.8</v>
      </c>
      <c r="BJ909" s="2">
        <v>3.3</v>
      </c>
      <c r="BK909" s="2">
        <v>4</v>
      </c>
      <c r="BL909" s="2">
        <v>35.89</v>
      </c>
      <c r="BM909" s="2">
        <v>5.0199999999999996</v>
      </c>
      <c r="BN909" s="2">
        <v>40.909999999999997</v>
      </c>
      <c r="BO909" s="2">
        <v>40.909999999999997</v>
      </c>
      <c r="BQ909" s="2" t="s">
        <v>102</v>
      </c>
      <c r="BR909" s="2" t="s">
        <v>103</v>
      </c>
      <c r="BS909" s="3">
        <v>43077</v>
      </c>
      <c r="BT909" s="4">
        <v>0.41666666666666669</v>
      </c>
      <c r="BU909" s="2" t="s">
        <v>205</v>
      </c>
      <c r="BV909" s="2" t="s">
        <v>89</v>
      </c>
      <c r="BW909" s="2" t="s">
        <v>149</v>
      </c>
      <c r="BX909" s="2" t="s">
        <v>157</v>
      </c>
      <c r="BY909" s="2">
        <v>16708.61</v>
      </c>
      <c r="CC909" s="2" t="s">
        <v>153</v>
      </c>
      <c r="CD909" s="2">
        <v>1400</v>
      </c>
      <c r="CE909" s="2" t="s">
        <v>95</v>
      </c>
      <c r="CF909" s="3">
        <v>43080</v>
      </c>
      <c r="CI909" s="2">
        <v>1</v>
      </c>
      <c r="CJ909" s="2">
        <v>2</v>
      </c>
      <c r="CK909" s="2">
        <v>22</v>
      </c>
      <c r="CL909" s="2" t="s">
        <v>89</v>
      </c>
    </row>
    <row r="910" spans="1:90">
      <c r="A910" s="2" t="s">
        <v>71</v>
      </c>
      <c r="B910" s="2" t="s">
        <v>72</v>
      </c>
      <c r="C910" s="2" t="s">
        <v>73</v>
      </c>
      <c r="E910" s="2" t="str">
        <f>"FES1162594184"</f>
        <v>FES1162594184</v>
      </c>
      <c r="F910" s="3">
        <v>43075</v>
      </c>
      <c r="G910" s="2">
        <v>201806</v>
      </c>
      <c r="H910" s="2" t="s">
        <v>74</v>
      </c>
      <c r="I910" s="2" t="s">
        <v>75</v>
      </c>
      <c r="J910" s="2" t="s">
        <v>97</v>
      </c>
      <c r="K910" s="2" t="s">
        <v>77</v>
      </c>
      <c r="L910" s="2" t="s">
        <v>168</v>
      </c>
      <c r="M910" s="2" t="s">
        <v>169</v>
      </c>
      <c r="N910" s="2" t="s">
        <v>1188</v>
      </c>
      <c r="O910" s="2" t="s">
        <v>101</v>
      </c>
      <c r="P910" s="2" t="str">
        <f>"2170603690                    "</f>
        <v xml:space="preserve">2170603690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6.43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45.93</v>
      </c>
      <c r="BM910" s="2">
        <v>6.43</v>
      </c>
      <c r="BN910" s="2">
        <v>52.36</v>
      </c>
      <c r="BO910" s="2">
        <v>52.36</v>
      </c>
      <c r="BQ910" s="2" t="s">
        <v>1189</v>
      </c>
      <c r="BR910" s="2" t="s">
        <v>103</v>
      </c>
      <c r="BS910" s="3">
        <v>43076</v>
      </c>
      <c r="BT910" s="4">
        <v>0.58263888888888882</v>
      </c>
      <c r="BU910" s="2" t="s">
        <v>1438</v>
      </c>
      <c r="BV910" s="2" t="s">
        <v>85</v>
      </c>
      <c r="BY910" s="2">
        <v>1200</v>
      </c>
      <c r="CA910" s="2" t="s">
        <v>1235</v>
      </c>
      <c r="CC910" s="2" t="s">
        <v>169</v>
      </c>
      <c r="CD910" s="2">
        <v>3610</v>
      </c>
      <c r="CE910" s="2" t="s">
        <v>120</v>
      </c>
      <c r="CF910" s="3">
        <v>43080</v>
      </c>
      <c r="CI910" s="2">
        <v>1</v>
      </c>
      <c r="CJ910" s="2">
        <v>1</v>
      </c>
      <c r="CK910" s="2">
        <v>21</v>
      </c>
      <c r="CL910" s="2" t="s">
        <v>89</v>
      </c>
    </row>
    <row r="911" spans="1:90">
      <c r="A911" s="2" t="s">
        <v>71</v>
      </c>
      <c r="B911" s="2" t="s">
        <v>72</v>
      </c>
      <c r="C911" s="2" t="s">
        <v>73</v>
      </c>
      <c r="E911" s="2" t="str">
        <f>"FES1162594250"</f>
        <v>FES1162594250</v>
      </c>
      <c r="F911" s="3">
        <v>43075</v>
      </c>
      <c r="G911" s="2">
        <v>201806</v>
      </c>
      <c r="H911" s="2" t="s">
        <v>74</v>
      </c>
      <c r="I911" s="2" t="s">
        <v>75</v>
      </c>
      <c r="J911" s="2" t="s">
        <v>97</v>
      </c>
      <c r="K911" s="2" t="s">
        <v>77</v>
      </c>
      <c r="L911" s="2" t="s">
        <v>1071</v>
      </c>
      <c r="M911" s="2" t="s">
        <v>1072</v>
      </c>
      <c r="N911" s="2" t="s">
        <v>1073</v>
      </c>
      <c r="O911" s="2" t="s">
        <v>101</v>
      </c>
      <c r="P911" s="2" t="str">
        <f>"2170605464                    "</f>
        <v xml:space="preserve">2170605464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12.47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0.2</v>
      </c>
      <c r="BK911" s="2">
        <v>1</v>
      </c>
      <c r="BL911" s="2">
        <v>89</v>
      </c>
      <c r="BM911" s="2">
        <v>12.46</v>
      </c>
      <c r="BN911" s="2">
        <v>101.46</v>
      </c>
      <c r="BO911" s="2">
        <v>101.46</v>
      </c>
      <c r="BQ911" s="2" t="s">
        <v>128</v>
      </c>
      <c r="BR911" s="2" t="s">
        <v>103</v>
      </c>
      <c r="BS911" s="3">
        <v>43076</v>
      </c>
      <c r="BT911" s="4">
        <v>0.6069444444444444</v>
      </c>
      <c r="BU911" s="2" t="s">
        <v>1439</v>
      </c>
      <c r="BV911" s="2" t="s">
        <v>85</v>
      </c>
      <c r="BY911" s="2">
        <v>1200</v>
      </c>
      <c r="CA911" s="2" t="s">
        <v>602</v>
      </c>
      <c r="CC911" s="2" t="s">
        <v>1072</v>
      </c>
      <c r="CD911" s="2">
        <v>9650</v>
      </c>
      <c r="CE911" s="2" t="s">
        <v>120</v>
      </c>
      <c r="CF911" s="3">
        <v>43082</v>
      </c>
      <c r="CI911" s="2">
        <v>1</v>
      </c>
      <c r="CJ911" s="2">
        <v>1</v>
      </c>
      <c r="CK911" s="2">
        <v>23</v>
      </c>
      <c r="CL911" s="2" t="s">
        <v>89</v>
      </c>
    </row>
    <row r="912" spans="1:90">
      <c r="A912" s="2" t="s">
        <v>71</v>
      </c>
      <c r="B912" s="2" t="s">
        <v>72</v>
      </c>
      <c r="C912" s="2" t="s">
        <v>73</v>
      </c>
      <c r="E912" s="2" t="str">
        <f>"FES1162594133"</f>
        <v>FES1162594133</v>
      </c>
      <c r="F912" s="3">
        <v>43075</v>
      </c>
      <c r="G912" s="2">
        <v>201806</v>
      </c>
      <c r="H912" s="2" t="s">
        <v>74</v>
      </c>
      <c r="I912" s="2" t="s">
        <v>75</v>
      </c>
      <c r="J912" s="2" t="s">
        <v>97</v>
      </c>
      <c r="K912" s="2" t="s">
        <v>77</v>
      </c>
      <c r="L912" s="2" t="s">
        <v>551</v>
      </c>
      <c r="M912" s="2" t="s">
        <v>552</v>
      </c>
      <c r="N912" s="2" t="s">
        <v>1440</v>
      </c>
      <c r="O912" s="2" t="s">
        <v>101</v>
      </c>
      <c r="P912" s="2" t="str">
        <f>"2170602328                    "</f>
        <v xml:space="preserve">2170602328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6.43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45.93</v>
      </c>
      <c r="BM912" s="2">
        <v>6.43</v>
      </c>
      <c r="BN912" s="2">
        <v>52.36</v>
      </c>
      <c r="BO912" s="2">
        <v>52.36</v>
      </c>
      <c r="BQ912" s="2" t="s">
        <v>1441</v>
      </c>
      <c r="BR912" s="2" t="s">
        <v>103</v>
      </c>
      <c r="BS912" s="3">
        <v>43076</v>
      </c>
      <c r="BT912" s="4">
        <v>0.55833333333333335</v>
      </c>
      <c r="BU912" s="2" t="s">
        <v>1442</v>
      </c>
      <c r="BV912" s="2" t="s">
        <v>85</v>
      </c>
      <c r="BY912" s="2">
        <v>1200</v>
      </c>
      <c r="CA912" s="2" t="s">
        <v>555</v>
      </c>
      <c r="CC912" s="2" t="s">
        <v>552</v>
      </c>
      <c r="CD912" s="2">
        <v>3310</v>
      </c>
      <c r="CE912" s="2" t="s">
        <v>120</v>
      </c>
      <c r="CF912" s="3">
        <v>43077</v>
      </c>
      <c r="CI912" s="2">
        <v>1</v>
      </c>
      <c r="CJ912" s="2">
        <v>1</v>
      </c>
      <c r="CK912" s="2">
        <v>21</v>
      </c>
      <c r="CL912" s="2" t="s">
        <v>89</v>
      </c>
    </row>
    <row r="913" spans="1:90">
      <c r="A913" s="2" t="s">
        <v>71</v>
      </c>
      <c r="B913" s="2" t="s">
        <v>72</v>
      </c>
      <c r="C913" s="2" t="s">
        <v>73</v>
      </c>
      <c r="E913" s="2" t="str">
        <f>"FES1162594183"</f>
        <v>FES1162594183</v>
      </c>
      <c r="F913" s="3">
        <v>43075</v>
      </c>
      <c r="G913" s="2">
        <v>201806</v>
      </c>
      <c r="H913" s="2" t="s">
        <v>74</v>
      </c>
      <c r="I913" s="2" t="s">
        <v>75</v>
      </c>
      <c r="J913" s="2" t="s">
        <v>97</v>
      </c>
      <c r="K913" s="2" t="s">
        <v>77</v>
      </c>
      <c r="L913" s="2" t="s">
        <v>212</v>
      </c>
      <c r="M913" s="2" t="s">
        <v>212</v>
      </c>
      <c r="N913" s="2" t="s">
        <v>213</v>
      </c>
      <c r="O913" s="2" t="s">
        <v>101</v>
      </c>
      <c r="P913" s="2" t="str">
        <f>"2170603675                    "</f>
        <v xml:space="preserve">2170603675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11.26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1.1000000000000001</v>
      </c>
      <c r="BJ913" s="2">
        <v>3.4</v>
      </c>
      <c r="BK913" s="2">
        <v>3.5</v>
      </c>
      <c r="BL913" s="2">
        <v>80.37</v>
      </c>
      <c r="BM913" s="2">
        <v>11.25</v>
      </c>
      <c r="BN913" s="2">
        <v>91.62</v>
      </c>
      <c r="BO913" s="2">
        <v>91.62</v>
      </c>
      <c r="BQ913" s="2" t="s">
        <v>102</v>
      </c>
      <c r="BR913" s="2" t="s">
        <v>103</v>
      </c>
      <c r="BS913" s="3">
        <v>43076</v>
      </c>
      <c r="BT913" s="4">
        <v>0.64166666666666672</v>
      </c>
      <c r="BU913" s="2" t="s">
        <v>1429</v>
      </c>
      <c r="BV913" s="2" t="s">
        <v>89</v>
      </c>
      <c r="BW913" s="2" t="s">
        <v>149</v>
      </c>
      <c r="BX913" s="2" t="s">
        <v>1413</v>
      </c>
      <c r="BY913" s="2">
        <v>16997.5</v>
      </c>
      <c r="CA913" s="2" t="s">
        <v>532</v>
      </c>
      <c r="CC913" s="2" t="s">
        <v>212</v>
      </c>
      <c r="CD913" s="2">
        <v>7646</v>
      </c>
      <c r="CE913" s="2" t="s">
        <v>95</v>
      </c>
      <c r="CF913" s="3">
        <v>43076</v>
      </c>
      <c r="CI913" s="2">
        <v>1</v>
      </c>
      <c r="CJ913" s="2">
        <v>1</v>
      </c>
      <c r="CK913" s="2">
        <v>21</v>
      </c>
      <c r="CL913" s="2" t="s">
        <v>89</v>
      </c>
    </row>
    <row r="914" spans="1:90">
      <c r="A914" s="2" t="s">
        <v>71</v>
      </c>
      <c r="B914" s="2" t="s">
        <v>72</v>
      </c>
      <c r="C914" s="2" t="s">
        <v>73</v>
      </c>
      <c r="E914" s="2" t="str">
        <f>"FES1162594453"</f>
        <v>FES1162594453</v>
      </c>
      <c r="F914" s="3">
        <v>43075</v>
      </c>
      <c r="G914" s="2">
        <v>201806</v>
      </c>
      <c r="H914" s="2" t="s">
        <v>74</v>
      </c>
      <c r="I914" s="2" t="s">
        <v>75</v>
      </c>
      <c r="J914" s="2" t="s">
        <v>97</v>
      </c>
      <c r="K914" s="2" t="s">
        <v>77</v>
      </c>
      <c r="L914" s="2" t="s">
        <v>221</v>
      </c>
      <c r="M914" s="2" t="s">
        <v>222</v>
      </c>
      <c r="N914" s="2" t="s">
        <v>1443</v>
      </c>
      <c r="O914" s="2" t="s">
        <v>101</v>
      </c>
      <c r="P914" s="2" t="str">
        <f>"2170606299                    "</f>
        <v xml:space="preserve">2170606299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6.43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1</v>
      </c>
      <c r="BJ914" s="2">
        <v>0.2</v>
      </c>
      <c r="BK914" s="2">
        <v>1</v>
      </c>
      <c r="BL914" s="2">
        <v>45.93</v>
      </c>
      <c r="BM914" s="2">
        <v>6.43</v>
      </c>
      <c r="BN914" s="2">
        <v>52.36</v>
      </c>
      <c r="BO914" s="2">
        <v>52.36</v>
      </c>
      <c r="BQ914" s="2" t="s">
        <v>128</v>
      </c>
      <c r="BR914" s="2" t="s">
        <v>103</v>
      </c>
      <c r="BS914" s="3">
        <v>43076</v>
      </c>
      <c r="BT914" s="4">
        <v>0.41666666666666669</v>
      </c>
      <c r="BU914" s="2" t="s">
        <v>1444</v>
      </c>
      <c r="BV914" s="2" t="s">
        <v>85</v>
      </c>
      <c r="BY914" s="2">
        <v>1200</v>
      </c>
      <c r="CC914" s="2" t="s">
        <v>222</v>
      </c>
      <c r="CD914" s="2">
        <v>4133</v>
      </c>
      <c r="CE914" s="2" t="s">
        <v>120</v>
      </c>
      <c r="CF914" s="3">
        <v>43077</v>
      </c>
      <c r="CI914" s="2">
        <v>1</v>
      </c>
      <c r="CJ914" s="2">
        <v>1</v>
      </c>
      <c r="CK914" s="2">
        <v>21</v>
      </c>
      <c r="CL914" s="2" t="s">
        <v>89</v>
      </c>
    </row>
    <row r="915" spans="1:90">
      <c r="A915" s="2" t="s">
        <v>71</v>
      </c>
      <c r="B915" s="2" t="s">
        <v>72</v>
      </c>
      <c r="C915" s="2" t="s">
        <v>73</v>
      </c>
      <c r="E915" s="2" t="str">
        <f>"FES1162594269"</f>
        <v>FES1162594269</v>
      </c>
      <c r="F915" s="3">
        <v>43075</v>
      </c>
      <c r="G915" s="2">
        <v>201806</v>
      </c>
      <c r="H915" s="2" t="s">
        <v>74</v>
      </c>
      <c r="I915" s="2" t="s">
        <v>75</v>
      </c>
      <c r="J915" s="2" t="s">
        <v>97</v>
      </c>
      <c r="K915" s="2" t="s">
        <v>77</v>
      </c>
      <c r="L915" s="2" t="s">
        <v>162</v>
      </c>
      <c r="M915" s="2" t="s">
        <v>163</v>
      </c>
      <c r="N915" s="2" t="s">
        <v>164</v>
      </c>
      <c r="O915" s="2" t="s">
        <v>101</v>
      </c>
      <c r="P915" s="2" t="str">
        <f>"2170605745                    "</f>
        <v xml:space="preserve">2170605745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5.03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</v>
      </c>
      <c r="BJ915" s="2">
        <v>0.2</v>
      </c>
      <c r="BK915" s="2">
        <v>1</v>
      </c>
      <c r="BL915" s="2">
        <v>35.89</v>
      </c>
      <c r="BM915" s="2">
        <v>5.0199999999999996</v>
      </c>
      <c r="BN915" s="2">
        <v>40.909999999999997</v>
      </c>
      <c r="BO915" s="2">
        <v>40.909999999999997</v>
      </c>
      <c r="BQ915" s="2" t="s">
        <v>102</v>
      </c>
      <c r="BR915" s="2" t="s">
        <v>103</v>
      </c>
      <c r="BS915" s="3">
        <v>43076</v>
      </c>
      <c r="BT915" s="4">
        <v>0.41666666666666669</v>
      </c>
      <c r="BU915" s="2" t="s">
        <v>1445</v>
      </c>
      <c r="BV915" s="2" t="s">
        <v>85</v>
      </c>
      <c r="BY915" s="2">
        <v>1200</v>
      </c>
      <c r="CC915" s="2" t="s">
        <v>163</v>
      </c>
      <c r="CD915" s="2">
        <v>1451</v>
      </c>
      <c r="CE915" s="2" t="s">
        <v>120</v>
      </c>
      <c r="CF915" s="3">
        <v>43080</v>
      </c>
      <c r="CI915" s="2">
        <v>1</v>
      </c>
      <c r="CJ915" s="2">
        <v>1</v>
      </c>
      <c r="CK915" s="2">
        <v>22</v>
      </c>
      <c r="CL915" s="2" t="s">
        <v>89</v>
      </c>
    </row>
    <row r="916" spans="1:90">
      <c r="A916" s="2" t="s">
        <v>71</v>
      </c>
      <c r="B916" s="2" t="s">
        <v>72</v>
      </c>
      <c r="C916" s="2" t="s">
        <v>73</v>
      </c>
      <c r="E916" s="2" t="str">
        <f>"FES1162594170"</f>
        <v>FES1162594170</v>
      </c>
      <c r="F916" s="3">
        <v>43075</v>
      </c>
      <c r="G916" s="2">
        <v>201806</v>
      </c>
      <c r="H916" s="2" t="s">
        <v>74</v>
      </c>
      <c r="I916" s="2" t="s">
        <v>75</v>
      </c>
      <c r="J916" s="2" t="s">
        <v>97</v>
      </c>
      <c r="K916" s="2" t="s">
        <v>77</v>
      </c>
      <c r="L916" s="2" t="s">
        <v>221</v>
      </c>
      <c r="M916" s="2" t="s">
        <v>222</v>
      </c>
      <c r="N916" s="2" t="s">
        <v>164</v>
      </c>
      <c r="O916" s="2" t="s">
        <v>101</v>
      </c>
      <c r="P916" s="2" t="str">
        <f>"2170603551                    "</f>
        <v xml:space="preserve">2170603551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6.43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1</v>
      </c>
      <c r="BJ916" s="2">
        <v>0.2</v>
      </c>
      <c r="BK916" s="2">
        <v>1</v>
      </c>
      <c r="BL916" s="2">
        <v>45.93</v>
      </c>
      <c r="BM916" s="2">
        <v>6.43</v>
      </c>
      <c r="BN916" s="2">
        <v>52.36</v>
      </c>
      <c r="BO916" s="2">
        <v>52.36</v>
      </c>
      <c r="BQ916" s="2" t="s">
        <v>102</v>
      </c>
      <c r="BR916" s="2" t="s">
        <v>103</v>
      </c>
      <c r="BS916" s="3">
        <v>43077</v>
      </c>
      <c r="BT916" s="4">
        <v>0.33333333333333331</v>
      </c>
      <c r="BU916" s="2" t="s">
        <v>1446</v>
      </c>
      <c r="BV916" s="2" t="s">
        <v>89</v>
      </c>
      <c r="BY916" s="2">
        <v>1200</v>
      </c>
      <c r="CA916" s="2" t="s">
        <v>293</v>
      </c>
      <c r="CC916" s="2" t="s">
        <v>222</v>
      </c>
      <c r="CD916" s="2">
        <v>4133</v>
      </c>
      <c r="CE916" s="2" t="s">
        <v>120</v>
      </c>
      <c r="CF916" s="3">
        <v>43080</v>
      </c>
      <c r="CI916" s="2">
        <v>1</v>
      </c>
      <c r="CJ916" s="2">
        <v>2</v>
      </c>
      <c r="CK916" s="2">
        <v>21</v>
      </c>
      <c r="CL916" s="2" t="s">
        <v>89</v>
      </c>
    </row>
    <row r="917" spans="1:90">
      <c r="A917" s="2" t="s">
        <v>71</v>
      </c>
      <c r="B917" s="2" t="s">
        <v>72</v>
      </c>
      <c r="C917" s="2" t="s">
        <v>73</v>
      </c>
      <c r="E917" s="2" t="str">
        <f>"FES1162594140"</f>
        <v>FES1162594140</v>
      </c>
      <c r="F917" s="3">
        <v>43075</v>
      </c>
      <c r="G917" s="2">
        <v>201806</v>
      </c>
      <c r="H917" s="2" t="s">
        <v>74</v>
      </c>
      <c r="I917" s="2" t="s">
        <v>75</v>
      </c>
      <c r="J917" s="2" t="s">
        <v>97</v>
      </c>
      <c r="K917" s="2" t="s">
        <v>77</v>
      </c>
      <c r="L917" s="2" t="s">
        <v>152</v>
      </c>
      <c r="M917" s="2" t="s">
        <v>153</v>
      </c>
      <c r="N917" s="2" t="s">
        <v>1447</v>
      </c>
      <c r="O917" s="2" t="s">
        <v>101</v>
      </c>
      <c r="P917" s="2" t="str">
        <f>"2170602793                    "</f>
        <v xml:space="preserve">2170602793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5.03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2.7</v>
      </c>
      <c r="BJ917" s="2">
        <v>1.7</v>
      </c>
      <c r="BK917" s="2">
        <v>3</v>
      </c>
      <c r="BL917" s="2">
        <v>35.89</v>
      </c>
      <c r="BM917" s="2">
        <v>5.0199999999999996</v>
      </c>
      <c r="BN917" s="2">
        <v>40.909999999999997</v>
      </c>
      <c r="BO917" s="2">
        <v>40.909999999999997</v>
      </c>
      <c r="BQ917" s="2" t="s">
        <v>1448</v>
      </c>
      <c r="BR917" s="2" t="s">
        <v>103</v>
      </c>
      <c r="BS917" s="3">
        <v>43076</v>
      </c>
      <c r="BT917" s="4">
        <v>0.37777777777777777</v>
      </c>
      <c r="BU917" s="2" t="s">
        <v>1449</v>
      </c>
      <c r="BV917" s="2" t="s">
        <v>85</v>
      </c>
      <c r="BY917" s="2">
        <v>8559.64</v>
      </c>
      <c r="CA917" s="2" t="s">
        <v>337</v>
      </c>
      <c r="CC917" s="2" t="s">
        <v>153</v>
      </c>
      <c r="CD917" s="2">
        <v>1401</v>
      </c>
      <c r="CE917" s="2" t="s">
        <v>95</v>
      </c>
      <c r="CF917" s="3">
        <v>43080</v>
      </c>
      <c r="CI917" s="2">
        <v>1</v>
      </c>
      <c r="CJ917" s="2">
        <v>1</v>
      </c>
      <c r="CK917" s="2">
        <v>22</v>
      </c>
      <c r="CL917" s="2" t="s">
        <v>89</v>
      </c>
    </row>
    <row r="918" spans="1:90">
      <c r="A918" s="2" t="s">
        <v>71</v>
      </c>
      <c r="B918" s="2" t="s">
        <v>72</v>
      </c>
      <c r="C918" s="2" t="s">
        <v>73</v>
      </c>
      <c r="E918" s="2" t="str">
        <f>"FES1162594120"</f>
        <v>FES1162594120</v>
      </c>
      <c r="F918" s="3">
        <v>43075</v>
      </c>
      <c r="G918" s="2">
        <v>201806</v>
      </c>
      <c r="H918" s="2" t="s">
        <v>74</v>
      </c>
      <c r="I918" s="2" t="s">
        <v>75</v>
      </c>
      <c r="J918" s="2" t="s">
        <v>97</v>
      </c>
      <c r="K918" s="2" t="s">
        <v>77</v>
      </c>
      <c r="L918" s="2" t="s">
        <v>168</v>
      </c>
      <c r="M918" s="2" t="s">
        <v>169</v>
      </c>
      <c r="N918" s="2" t="s">
        <v>932</v>
      </c>
      <c r="O918" s="2" t="s">
        <v>101</v>
      </c>
      <c r="P918" s="2" t="str">
        <f>"2170601386                    "</f>
        <v xml:space="preserve">2170601386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6.43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1</v>
      </c>
      <c r="BJ918" s="2">
        <v>0.2</v>
      </c>
      <c r="BK918" s="2">
        <v>1</v>
      </c>
      <c r="BL918" s="2">
        <v>45.93</v>
      </c>
      <c r="BM918" s="2">
        <v>6.43</v>
      </c>
      <c r="BN918" s="2">
        <v>52.36</v>
      </c>
      <c r="BO918" s="2">
        <v>52.36</v>
      </c>
      <c r="BQ918" s="2" t="s">
        <v>102</v>
      </c>
      <c r="BR918" s="2" t="s">
        <v>103</v>
      </c>
      <c r="BS918" s="3">
        <v>43077</v>
      </c>
      <c r="BT918" s="4">
        <v>0.375</v>
      </c>
      <c r="BU918" s="2" t="s">
        <v>1450</v>
      </c>
      <c r="BV918" s="2" t="s">
        <v>89</v>
      </c>
      <c r="BY918" s="2">
        <v>1200</v>
      </c>
      <c r="CA918" s="2" t="s">
        <v>1050</v>
      </c>
      <c r="CC918" s="2" t="s">
        <v>169</v>
      </c>
      <c r="CD918" s="2">
        <v>3610</v>
      </c>
      <c r="CE918" s="2" t="s">
        <v>120</v>
      </c>
      <c r="CF918" s="3">
        <v>43080</v>
      </c>
      <c r="CI918" s="2">
        <v>1</v>
      </c>
      <c r="CJ918" s="2">
        <v>2</v>
      </c>
      <c r="CK918" s="2">
        <v>21</v>
      </c>
      <c r="CL918" s="2" t="s">
        <v>89</v>
      </c>
    </row>
    <row r="919" spans="1:90">
      <c r="A919" s="2" t="s">
        <v>71</v>
      </c>
      <c r="B919" s="2" t="s">
        <v>72</v>
      </c>
      <c r="C919" s="2" t="s">
        <v>73</v>
      </c>
      <c r="E919" s="2" t="str">
        <f>"FES1162594437"</f>
        <v>FES1162594437</v>
      </c>
      <c r="F919" s="3">
        <v>43075</v>
      </c>
      <c r="G919" s="2">
        <v>201806</v>
      </c>
      <c r="H919" s="2" t="s">
        <v>74</v>
      </c>
      <c r="I919" s="2" t="s">
        <v>75</v>
      </c>
      <c r="J919" s="2" t="s">
        <v>97</v>
      </c>
      <c r="K919" s="2" t="s">
        <v>77</v>
      </c>
      <c r="L919" s="2" t="s">
        <v>844</v>
      </c>
      <c r="M919" s="2" t="s">
        <v>844</v>
      </c>
      <c r="N919" s="2" t="s">
        <v>1451</v>
      </c>
      <c r="O919" s="2" t="s">
        <v>101</v>
      </c>
      <c r="P919" s="2" t="str">
        <f>"21706285                      "</f>
        <v xml:space="preserve">21706285  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20.9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4.4000000000000004</v>
      </c>
      <c r="BJ919" s="2">
        <v>6.2</v>
      </c>
      <c r="BK919" s="2">
        <v>6.5</v>
      </c>
      <c r="BL919" s="2">
        <v>149.22999999999999</v>
      </c>
      <c r="BM919" s="2">
        <v>20.89</v>
      </c>
      <c r="BN919" s="2">
        <v>170.12</v>
      </c>
      <c r="BO919" s="2">
        <v>170.12</v>
      </c>
      <c r="BQ919" s="2" t="s">
        <v>1452</v>
      </c>
      <c r="BR919" s="2" t="s">
        <v>103</v>
      </c>
      <c r="BS919" s="3">
        <v>43077</v>
      </c>
      <c r="BT919" s="4">
        <v>0.60833333333333328</v>
      </c>
      <c r="BU919" s="2" t="s">
        <v>1453</v>
      </c>
      <c r="BV919" s="2" t="s">
        <v>85</v>
      </c>
      <c r="BY919" s="2">
        <v>30824.81</v>
      </c>
      <c r="CA919" s="2" t="s">
        <v>847</v>
      </c>
      <c r="CC919" s="2" t="s">
        <v>844</v>
      </c>
      <c r="CD919" s="2">
        <v>6835</v>
      </c>
      <c r="CE919" s="2" t="s">
        <v>87</v>
      </c>
      <c r="CF919" s="3">
        <v>43081</v>
      </c>
      <c r="CI919" s="2">
        <v>3</v>
      </c>
      <c r="CJ919" s="2">
        <v>2</v>
      </c>
      <c r="CK919" s="2">
        <v>21</v>
      </c>
      <c r="CL919" s="2" t="s">
        <v>89</v>
      </c>
    </row>
    <row r="920" spans="1:90">
      <c r="A920" s="2" t="s">
        <v>71</v>
      </c>
      <c r="B920" s="2" t="s">
        <v>72</v>
      </c>
      <c r="C920" s="2" t="s">
        <v>73</v>
      </c>
      <c r="E920" s="2" t="str">
        <f>"FES1162594167"</f>
        <v>FES1162594167</v>
      </c>
      <c r="F920" s="3">
        <v>43075</v>
      </c>
      <c r="G920" s="2">
        <v>201806</v>
      </c>
      <c r="H920" s="2" t="s">
        <v>74</v>
      </c>
      <c r="I920" s="2" t="s">
        <v>75</v>
      </c>
      <c r="J920" s="2" t="s">
        <v>97</v>
      </c>
      <c r="K920" s="2" t="s">
        <v>77</v>
      </c>
      <c r="L920" s="2" t="s">
        <v>168</v>
      </c>
      <c r="M920" s="2" t="s">
        <v>169</v>
      </c>
      <c r="N920" s="2" t="s">
        <v>932</v>
      </c>
      <c r="O920" s="2" t="s">
        <v>101</v>
      </c>
      <c r="P920" s="2" t="str">
        <f>"2170603540                    "</f>
        <v xml:space="preserve">2170603540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6.43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45.93</v>
      </c>
      <c r="BM920" s="2">
        <v>6.43</v>
      </c>
      <c r="BN920" s="2">
        <v>52.36</v>
      </c>
      <c r="BO920" s="2">
        <v>52.36</v>
      </c>
      <c r="BQ920" s="2" t="s">
        <v>102</v>
      </c>
      <c r="BR920" s="2" t="s">
        <v>103</v>
      </c>
      <c r="BS920" s="3">
        <v>43076</v>
      </c>
      <c r="BT920" s="4">
        <v>0.3923611111111111</v>
      </c>
      <c r="BU920" s="2" t="s">
        <v>1454</v>
      </c>
      <c r="BV920" s="2" t="s">
        <v>85</v>
      </c>
      <c r="BY920" s="2">
        <v>1200</v>
      </c>
      <c r="CA920" s="2" t="s">
        <v>172</v>
      </c>
      <c r="CC920" s="2" t="s">
        <v>169</v>
      </c>
      <c r="CD920" s="2">
        <v>3610</v>
      </c>
      <c r="CE920" s="2" t="s">
        <v>120</v>
      </c>
      <c r="CF920" s="3">
        <v>43080</v>
      </c>
      <c r="CI920" s="2">
        <v>1</v>
      </c>
      <c r="CJ920" s="2">
        <v>1</v>
      </c>
      <c r="CK920" s="2">
        <v>21</v>
      </c>
      <c r="CL920" s="2" t="s">
        <v>89</v>
      </c>
    </row>
    <row r="921" spans="1:90">
      <c r="A921" s="2" t="s">
        <v>71</v>
      </c>
      <c r="B921" s="2" t="s">
        <v>72</v>
      </c>
      <c r="C921" s="2" t="s">
        <v>73</v>
      </c>
      <c r="E921" s="2" t="str">
        <f>"FES1162594446"</f>
        <v>FES1162594446</v>
      </c>
      <c r="F921" s="3">
        <v>43075</v>
      </c>
      <c r="G921" s="2">
        <v>201806</v>
      </c>
      <c r="H921" s="2" t="s">
        <v>74</v>
      </c>
      <c r="I921" s="2" t="s">
        <v>75</v>
      </c>
      <c r="J921" s="2" t="s">
        <v>97</v>
      </c>
      <c r="K921" s="2" t="s">
        <v>77</v>
      </c>
      <c r="L921" s="2" t="s">
        <v>173</v>
      </c>
      <c r="M921" s="2" t="s">
        <v>174</v>
      </c>
      <c r="N921" s="2" t="s">
        <v>175</v>
      </c>
      <c r="O921" s="2" t="s">
        <v>101</v>
      </c>
      <c r="P921" s="2" t="str">
        <f>"2170606294                    "</f>
        <v xml:space="preserve">2170606294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14.47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4.2</v>
      </c>
      <c r="BJ921" s="2">
        <v>1.9</v>
      </c>
      <c r="BK921" s="2">
        <v>4.5</v>
      </c>
      <c r="BL921" s="2">
        <v>103.32</v>
      </c>
      <c r="BM921" s="2">
        <v>14.46</v>
      </c>
      <c r="BN921" s="2">
        <v>117.78</v>
      </c>
      <c r="BO921" s="2">
        <v>117.78</v>
      </c>
      <c r="BQ921" s="2" t="s">
        <v>102</v>
      </c>
      <c r="BR921" s="2" t="s">
        <v>103</v>
      </c>
      <c r="BS921" s="3">
        <v>43076</v>
      </c>
      <c r="BT921" s="4">
        <v>0.49513888888888885</v>
      </c>
      <c r="BU921" s="2" t="s">
        <v>176</v>
      </c>
      <c r="BV921" s="2" t="s">
        <v>89</v>
      </c>
      <c r="BW921" s="2" t="s">
        <v>149</v>
      </c>
      <c r="BX921" s="2" t="s">
        <v>368</v>
      </c>
      <c r="BY921" s="2">
        <v>9380.44</v>
      </c>
      <c r="CA921" s="2" t="s">
        <v>177</v>
      </c>
      <c r="CC921" s="2" t="s">
        <v>174</v>
      </c>
      <c r="CD921" s="2">
        <v>7405</v>
      </c>
      <c r="CE921" s="2" t="s">
        <v>87</v>
      </c>
      <c r="CF921" s="3">
        <v>43077</v>
      </c>
      <c r="CI921" s="2">
        <v>1</v>
      </c>
      <c r="CJ921" s="2">
        <v>1</v>
      </c>
      <c r="CK921" s="2">
        <v>21</v>
      </c>
      <c r="CL921" s="2" t="s">
        <v>89</v>
      </c>
    </row>
    <row r="922" spans="1:90">
      <c r="A922" s="2" t="s">
        <v>71</v>
      </c>
      <c r="B922" s="2" t="s">
        <v>72</v>
      </c>
      <c r="C922" s="2" t="s">
        <v>73</v>
      </c>
      <c r="E922" s="2" t="str">
        <f>"FES1162594540"</f>
        <v>FES1162594540</v>
      </c>
      <c r="F922" s="3">
        <v>43075</v>
      </c>
      <c r="G922" s="2">
        <v>201806</v>
      </c>
      <c r="H922" s="2" t="s">
        <v>74</v>
      </c>
      <c r="I922" s="2" t="s">
        <v>75</v>
      </c>
      <c r="J922" s="2" t="s">
        <v>97</v>
      </c>
      <c r="K922" s="2" t="s">
        <v>77</v>
      </c>
      <c r="L922" s="2" t="s">
        <v>221</v>
      </c>
      <c r="M922" s="2" t="s">
        <v>222</v>
      </c>
      <c r="N922" s="2" t="s">
        <v>164</v>
      </c>
      <c r="O922" s="2" t="s">
        <v>101</v>
      </c>
      <c r="P922" s="2" t="str">
        <f>"2170606412                    "</f>
        <v xml:space="preserve">2170606412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6.43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1</v>
      </c>
      <c r="BJ922" s="2">
        <v>0.2</v>
      </c>
      <c r="BK922" s="2">
        <v>1</v>
      </c>
      <c r="BL922" s="2">
        <v>45.93</v>
      </c>
      <c r="BM922" s="2">
        <v>6.43</v>
      </c>
      <c r="BN922" s="2">
        <v>52.36</v>
      </c>
      <c r="BO922" s="2">
        <v>52.36</v>
      </c>
      <c r="BQ922" s="2" t="s">
        <v>102</v>
      </c>
      <c r="BR922" s="2" t="s">
        <v>103</v>
      </c>
      <c r="BS922" s="3">
        <v>43076</v>
      </c>
      <c r="BT922" s="4">
        <v>0.5</v>
      </c>
      <c r="BU922" s="2" t="s">
        <v>1455</v>
      </c>
      <c r="BV922" s="2" t="s">
        <v>89</v>
      </c>
      <c r="BW922" s="2" t="s">
        <v>149</v>
      </c>
      <c r="BX922" s="2" t="s">
        <v>594</v>
      </c>
      <c r="BY922" s="2">
        <v>1200</v>
      </c>
      <c r="CC922" s="2" t="s">
        <v>222</v>
      </c>
      <c r="CD922" s="2">
        <v>4133</v>
      </c>
      <c r="CE922" s="2" t="s">
        <v>120</v>
      </c>
      <c r="CF922" s="3">
        <v>43077</v>
      </c>
      <c r="CI922" s="2">
        <v>1</v>
      </c>
      <c r="CJ922" s="2">
        <v>1</v>
      </c>
      <c r="CK922" s="2">
        <v>21</v>
      </c>
      <c r="CL922" s="2" t="s">
        <v>89</v>
      </c>
    </row>
    <row r="923" spans="1:90">
      <c r="A923" s="2" t="s">
        <v>71</v>
      </c>
      <c r="B923" s="2" t="s">
        <v>72</v>
      </c>
      <c r="C923" s="2" t="s">
        <v>73</v>
      </c>
      <c r="E923" s="2" t="str">
        <f>"FES1162594379"</f>
        <v>FES1162594379</v>
      </c>
      <c r="F923" s="3">
        <v>43075</v>
      </c>
      <c r="G923" s="2">
        <v>201806</v>
      </c>
      <c r="H923" s="2" t="s">
        <v>74</v>
      </c>
      <c r="I923" s="2" t="s">
        <v>75</v>
      </c>
      <c r="J923" s="2" t="s">
        <v>97</v>
      </c>
      <c r="K923" s="2" t="s">
        <v>77</v>
      </c>
      <c r="L923" s="2" t="s">
        <v>173</v>
      </c>
      <c r="M923" s="2" t="s">
        <v>174</v>
      </c>
      <c r="N923" s="2" t="s">
        <v>393</v>
      </c>
      <c r="O923" s="2" t="s">
        <v>101</v>
      </c>
      <c r="P923" s="2" t="str">
        <f>"2170606233                    "</f>
        <v xml:space="preserve">2170606233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16.079999999999998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4.7</v>
      </c>
      <c r="BJ923" s="2">
        <v>1.7</v>
      </c>
      <c r="BK923" s="2">
        <v>5</v>
      </c>
      <c r="BL923" s="2">
        <v>114.8</v>
      </c>
      <c r="BM923" s="2">
        <v>16.07</v>
      </c>
      <c r="BN923" s="2">
        <v>130.87</v>
      </c>
      <c r="BO923" s="2">
        <v>130.87</v>
      </c>
      <c r="BQ923" s="2" t="s">
        <v>102</v>
      </c>
      <c r="BR923" s="2" t="s">
        <v>103</v>
      </c>
      <c r="BS923" s="2" t="s">
        <v>185</v>
      </c>
      <c r="BY923" s="2">
        <v>8350.27</v>
      </c>
      <c r="CC923" s="2" t="s">
        <v>174</v>
      </c>
      <c r="CD923" s="2">
        <v>7441</v>
      </c>
      <c r="CE923" s="2" t="s">
        <v>95</v>
      </c>
      <c r="CI923" s="2">
        <v>1</v>
      </c>
      <c r="CJ923" s="2" t="s">
        <v>185</v>
      </c>
      <c r="CK923" s="2">
        <v>21</v>
      </c>
      <c r="CL923" s="2" t="s">
        <v>89</v>
      </c>
    </row>
    <row r="924" spans="1:90">
      <c r="A924" s="2" t="s">
        <v>71</v>
      </c>
      <c r="B924" s="2" t="s">
        <v>72</v>
      </c>
      <c r="C924" s="2" t="s">
        <v>73</v>
      </c>
      <c r="E924" s="2" t="str">
        <f>"FES1162593451"</f>
        <v>FES1162593451</v>
      </c>
      <c r="F924" s="3">
        <v>43075</v>
      </c>
      <c r="G924" s="2">
        <v>201806</v>
      </c>
      <c r="H924" s="2" t="s">
        <v>74</v>
      </c>
      <c r="I924" s="2" t="s">
        <v>75</v>
      </c>
      <c r="J924" s="2" t="s">
        <v>97</v>
      </c>
      <c r="K924" s="2" t="s">
        <v>77</v>
      </c>
      <c r="L924" s="2" t="s">
        <v>551</v>
      </c>
      <c r="M924" s="2" t="s">
        <v>552</v>
      </c>
      <c r="N924" s="2" t="s">
        <v>951</v>
      </c>
      <c r="O924" s="2" t="s">
        <v>101</v>
      </c>
      <c r="P924" s="2" t="str">
        <f>"2170604369                    "</f>
        <v xml:space="preserve">2170604369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41.81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12.9</v>
      </c>
      <c r="BJ924" s="2">
        <v>4.8</v>
      </c>
      <c r="BK924" s="2">
        <v>13</v>
      </c>
      <c r="BL924" s="2">
        <v>298.45</v>
      </c>
      <c r="BM924" s="2">
        <v>41.78</v>
      </c>
      <c r="BN924" s="2">
        <v>340.23</v>
      </c>
      <c r="BO924" s="2">
        <v>340.23</v>
      </c>
      <c r="BR924" s="2" t="s">
        <v>103</v>
      </c>
      <c r="BS924" s="3">
        <v>43076</v>
      </c>
      <c r="BT924" s="4">
        <v>0.54375000000000007</v>
      </c>
      <c r="BU924" s="2" t="s">
        <v>952</v>
      </c>
      <c r="BV924" s="2" t="s">
        <v>85</v>
      </c>
      <c r="BY924" s="2">
        <v>23951.59</v>
      </c>
      <c r="CA924" s="2" t="s">
        <v>555</v>
      </c>
      <c r="CC924" s="2" t="s">
        <v>552</v>
      </c>
      <c r="CD924" s="2">
        <v>3310</v>
      </c>
      <c r="CE924" s="2" t="s">
        <v>87</v>
      </c>
      <c r="CF924" s="3">
        <v>43077</v>
      </c>
      <c r="CI924" s="2">
        <v>1</v>
      </c>
      <c r="CJ924" s="2">
        <v>1</v>
      </c>
      <c r="CK924" s="2">
        <v>21</v>
      </c>
      <c r="CL924" s="2" t="s">
        <v>89</v>
      </c>
    </row>
    <row r="925" spans="1:90">
      <c r="A925" s="2" t="s">
        <v>71</v>
      </c>
      <c r="B925" s="2" t="s">
        <v>72</v>
      </c>
      <c r="C925" s="2" t="s">
        <v>73</v>
      </c>
      <c r="E925" s="2" t="str">
        <f>"FES1162594443"</f>
        <v>FES1162594443</v>
      </c>
      <c r="F925" s="3">
        <v>43075</v>
      </c>
      <c r="G925" s="2">
        <v>201806</v>
      </c>
      <c r="H925" s="2" t="s">
        <v>74</v>
      </c>
      <c r="I925" s="2" t="s">
        <v>75</v>
      </c>
      <c r="J925" s="2" t="s">
        <v>97</v>
      </c>
      <c r="K925" s="2" t="s">
        <v>77</v>
      </c>
      <c r="L925" s="2" t="s">
        <v>173</v>
      </c>
      <c r="M925" s="2" t="s">
        <v>174</v>
      </c>
      <c r="N925" s="2" t="s">
        <v>802</v>
      </c>
      <c r="O925" s="2" t="s">
        <v>101</v>
      </c>
      <c r="P925" s="2" t="str">
        <f>"2170606288                    "</f>
        <v xml:space="preserve">2170606288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6.43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1.6</v>
      </c>
      <c r="BJ925" s="2">
        <v>1.4</v>
      </c>
      <c r="BK925" s="2">
        <v>2</v>
      </c>
      <c r="BL925" s="2">
        <v>45.93</v>
      </c>
      <c r="BM925" s="2">
        <v>6.43</v>
      </c>
      <c r="BN925" s="2">
        <v>52.36</v>
      </c>
      <c r="BO925" s="2">
        <v>52.36</v>
      </c>
      <c r="BQ925" s="2" t="s">
        <v>102</v>
      </c>
      <c r="BR925" s="2" t="s">
        <v>103</v>
      </c>
      <c r="BS925" s="3">
        <v>43076</v>
      </c>
      <c r="BT925" s="4">
        <v>0.52916666666666667</v>
      </c>
      <c r="BU925" s="2" t="s">
        <v>1456</v>
      </c>
      <c r="BV925" s="2" t="s">
        <v>89</v>
      </c>
      <c r="BW925" s="2" t="s">
        <v>149</v>
      </c>
      <c r="BX925" s="2" t="s">
        <v>368</v>
      </c>
      <c r="BY925" s="2">
        <v>7010.11</v>
      </c>
      <c r="CA925" s="2" t="s">
        <v>395</v>
      </c>
      <c r="CC925" s="2" t="s">
        <v>174</v>
      </c>
      <c r="CD925" s="2">
        <v>7441</v>
      </c>
      <c r="CE925" s="2" t="s">
        <v>95</v>
      </c>
      <c r="CF925" s="3">
        <v>43076</v>
      </c>
      <c r="CI925" s="2">
        <v>1</v>
      </c>
      <c r="CJ925" s="2">
        <v>1</v>
      </c>
      <c r="CK925" s="2">
        <v>21</v>
      </c>
      <c r="CL925" s="2" t="s">
        <v>89</v>
      </c>
    </row>
    <row r="926" spans="1:90">
      <c r="A926" s="2" t="s">
        <v>71</v>
      </c>
      <c r="B926" s="2" t="s">
        <v>72</v>
      </c>
      <c r="C926" s="2" t="s">
        <v>73</v>
      </c>
      <c r="E926" s="2" t="str">
        <f>"FES1162594537"</f>
        <v>FES1162594537</v>
      </c>
      <c r="F926" s="3">
        <v>43075</v>
      </c>
      <c r="G926" s="2">
        <v>201806</v>
      </c>
      <c r="H926" s="2" t="s">
        <v>74</v>
      </c>
      <c r="I926" s="2" t="s">
        <v>75</v>
      </c>
      <c r="J926" s="2" t="s">
        <v>97</v>
      </c>
      <c r="K926" s="2" t="s">
        <v>77</v>
      </c>
      <c r="L926" s="2" t="s">
        <v>136</v>
      </c>
      <c r="M926" s="2" t="s">
        <v>137</v>
      </c>
      <c r="N926" s="2" t="s">
        <v>1457</v>
      </c>
      <c r="O926" s="2" t="s">
        <v>101</v>
      </c>
      <c r="P926" s="2" t="str">
        <f>"2170606405                    "</f>
        <v xml:space="preserve">2170606405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12.87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3</v>
      </c>
      <c r="BJ926" s="2">
        <v>3.9</v>
      </c>
      <c r="BK926" s="2">
        <v>4</v>
      </c>
      <c r="BL926" s="2">
        <v>91.85</v>
      </c>
      <c r="BM926" s="2">
        <v>12.86</v>
      </c>
      <c r="BN926" s="2">
        <v>104.71</v>
      </c>
      <c r="BO926" s="2">
        <v>104.71</v>
      </c>
      <c r="BQ926" s="2" t="s">
        <v>1458</v>
      </c>
      <c r="BR926" s="2" t="s">
        <v>103</v>
      </c>
      <c r="BS926" s="3">
        <v>43076</v>
      </c>
      <c r="BT926" s="4">
        <v>0.34166666666666662</v>
      </c>
      <c r="BU926" s="2" t="s">
        <v>1459</v>
      </c>
      <c r="BV926" s="2" t="s">
        <v>85</v>
      </c>
      <c r="BY926" s="2">
        <v>19506.439999999999</v>
      </c>
      <c r="BZ926" s="2" t="s">
        <v>27</v>
      </c>
      <c r="CA926" s="2" t="s">
        <v>140</v>
      </c>
      <c r="CC926" s="2" t="s">
        <v>137</v>
      </c>
      <c r="CD926" s="2">
        <v>6001</v>
      </c>
      <c r="CE926" s="2" t="s">
        <v>87</v>
      </c>
      <c r="CF926" s="3">
        <v>43077</v>
      </c>
      <c r="CI926" s="2">
        <v>1</v>
      </c>
      <c r="CJ926" s="2">
        <v>1</v>
      </c>
      <c r="CK926" s="2">
        <v>21</v>
      </c>
      <c r="CL926" s="2" t="s">
        <v>89</v>
      </c>
    </row>
    <row r="927" spans="1:90">
      <c r="A927" s="2" t="s">
        <v>71</v>
      </c>
      <c r="B927" s="2" t="s">
        <v>72</v>
      </c>
      <c r="C927" s="2" t="s">
        <v>73</v>
      </c>
      <c r="E927" s="2" t="str">
        <f>"FES1162594464"</f>
        <v>FES1162594464</v>
      </c>
      <c r="F927" s="3">
        <v>43075</v>
      </c>
      <c r="G927" s="2">
        <v>201806</v>
      </c>
      <c r="H927" s="2" t="s">
        <v>74</v>
      </c>
      <c r="I927" s="2" t="s">
        <v>75</v>
      </c>
      <c r="J927" s="2" t="s">
        <v>97</v>
      </c>
      <c r="K927" s="2" t="s">
        <v>77</v>
      </c>
      <c r="L927" s="2" t="s">
        <v>173</v>
      </c>
      <c r="M927" s="2" t="s">
        <v>174</v>
      </c>
      <c r="N927" s="2" t="s">
        <v>381</v>
      </c>
      <c r="O927" s="2" t="s">
        <v>101</v>
      </c>
      <c r="P927" s="2" t="str">
        <f>"217060309                     "</f>
        <v xml:space="preserve">217060309 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59.49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9.6</v>
      </c>
      <c r="BJ927" s="2">
        <v>18.399999999999999</v>
      </c>
      <c r="BK927" s="2">
        <v>18.5</v>
      </c>
      <c r="BL927" s="2">
        <v>424.7</v>
      </c>
      <c r="BM927" s="2">
        <v>59.46</v>
      </c>
      <c r="BN927" s="2">
        <v>484.16</v>
      </c>
      <c r="BO927" s="2">
        <v>484.16</v>
      </c>
      <c r="BQ927" s="2" t="s">
        <v>382</v>
      </c>
      <c r="BR927" s="2" t="s">
        <v>103</v>
      </c>
      <c r="BS927" s="3">
        <v>43076</v>
      </c>
      <c r="BT927" s="4">
        <v>0.49652777777777773</v>
      </c>
      <c r="BU927" s="2" t="s">
        <v>681</v>
      </c>
      <c r="BV927" s="2" t="s">
        <v>89</v>
      </c>
      <c r="BW927" s="2" t="s">
        <v>149</v>
      </c>
      <c r="BX927" s="2" t="s">
        <v>368</v>
      </c>
      <c r="BY927" s="2">
        <v>91965.04</v>
      </c>
      <c r="CA927" s="2" t="s">
        <v>177</v>
      </c>
      <c r="CC927" s="2" t="s">
        <v>174</v>
      </c>
      <c r="CD927" s="2">
        <v>7405</v>
      </c>
      <c r="CE927" s="2" t="s">
        <v>95</v>
      </c>
      <c r="CF927" s="3">
        <v>43077</v>
      </c>
      <c r="CI927" s="2">
        <v>1</v>
      </c>
      <c r="CJ927" s="2">
        <v>1</v>
      </c>
      <c r="CK927" s="2">
        <v>21</v>
      </c>
      <c r="CL927" s="2" t="s">
        <v>89</v>
      </c>
    </row>
    <row r="928" spans="1:90">
      <c r="A928" s="2" t="s">
        <v>71</v>
      </c>
      <c r="B928" s="2" t="s">
        <v>72</v>
      </c>
      <c r="C928" s="2" t="s">
        <v>73</v>
      </c>
      <c r="E928" s="2" t="str">
        <f>"FES1162594455"</f>
        <v>FES1162594455</v>
      </c>
      <c r="F928" s="3">
        <v>43075</v>
      </c>
      <c r="G928" s="2">
        <v>201806</v>
      </c>
      <c r="H928" s="2" t="s">
        <v>74</v>
      </c>
      <c r="I928" s="2" t="s">
        <v>75</v>
      </c>
      <c r="J928" s="2" t="s">
        <v>97</v>
      </c>
      <c r="K928" s="2" t="s">
        <v>77</v>
      </c>
      <c r="L928" s="2" t="s">
        <v>168</v>
      </c>
      <c r="M928" s="2" t="s">
        <v>169</v>
      </c>
      <c r="N928" s="2" t="s">
        <v>1142</v>
      </c>
      <c r="O928" s="2" t="s">
        <v>101</v>
      </c>
      <c r="P928" s="2" t="str">
        <f>"2170606310                    "</f>
        <v xml:space="preserve">2170606310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6.43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45.93</v>
      </c>
      <c r="BM928" s="2">
        <v>6.43</v>
      </c>
      <c r="BN928" s="2">
        <v>52.36</v>
      </c>
      <c r="BO928" s="2">
        <v>52.36</v>
      </c>
      <c r="BQ928" s="2" t="s">
        <v>102</v>
      </c>
      <c r="BR928" s="2" t="s">
        <v>103</v>
      </c>
      <c r="BS928" s="3">
        <v>43076</v>
      </c>
      <c r="BT928" s="4">
        <v>0.625</v>
      </c>
      <c r="BU928" s="2" t="s">
        <v>1460</v>
      </c>
      <c r="BV928" s="2" t="s">
        <v>89</v>
      </c>
      <c r="BW928" s="2" t="s">
        <v>149</v>
      </c>
      <c r="BX928" s="2" t="s">
        <v>594</v>
      </c>
      <c r="BY928" s="2">
        <v>1200</v>
      </c>
      <c r="CA928" s="2" t="s">
        <v>172</v>
      </c>
      <c r="CC928" s="2" t="s">
        <v>169</v>
      </c>
      <c r="CD928" s="2">
        <v>3610</v>
      </c>
      <c r="CE928" s="2" t="s">
        <v>120</v>
      </c>
      <c r="CF928" s="3">
        <v>43077</v>
      </c>
      <c r="CI928" s="2">
        <v>1</v>
      </c>
      <c r="CJ928" s="2">
        <v>1</v>
      </c>
      <c r="CK928" s="2">
        <v>21</v>
      </c>
      <c r="CL928" s="2" t="s">
        <v>89</v>
      </c>
    </row>
    <row r="929" spans="1:90">
      <c r="A929" s="2" t="s">
        <v>71</v>
      </c>
      <c r="B929" s="2" t="s">
        <v>72</v>
      </c>
      <c r="C929" s="2" t="s">
        <v>73</v>
      </c>
      <c r="E929" s="2" t="str">
        <f>"FES1162594276"</f>
        <v>FES1162594276</v>
      </c>
      <c r="F929" s="3">
        <v>43075</v>
      </c>
      <c r="G929" s="2">
        <v>201806</v>
      </c>
      <c r="H929" s="2" t="s">
        <v>74</v>
      </c>
      <c r="I929" s="2" t="s">
        <v>75</v>
      </c>
      <c r="J929" s="2" t="s">
        <v>97</v>
      </c>
      <c r="K929" s="2" t="s">
        <v>77</v>
      </c>
      <c r="L929" s="2" t="s">
        <v>440</v>
      </c>
      <c r="M929" s="2" t="s">
        <v>441</v>
      </c>
      <c r="N929" s="2" t="s">
        <v>442</v>
      </c>
      <c r="O929" s="2" t="s">
        <v>101</v>
      </c>
      <c r="P929" s="2" t="str">
        <f>"2170605798                    "</f>
        <v xml:space="preserve">2170605798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9.0500000000000007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64.599999999999994</v>
      </c>
      <c r="BM929" s="2">
        <v>9.0399999999999991</v>
      </c>
      <c r="BN929" s="2">
        <v>73.64</v>
      </c>
      <c r="BO929" s="2">
        <v>73.64</v>
      </c>
      <c r="BQ929" s="2" t="s">
        <v>102</v>
      </c>
      <c r="BR929" s="2" t="s">
        <v>103</v>
      </c>
      <c r="BS929" s="3">
        <v>43076</v>
      </c>
      <c r="BT929" s="4">
        <v>0.55972222222222223</v>
      </c>
      <c r="BU929" s="2" t="s">
        <v>1461</v>
      </c>
      <c r="BV929" s="2" t="s">
        <v>85</v>
      </c>
      <c r="BY929" s="2">
        <v>1200</v>
      </c>
      <c r="CC929" s="2" t="s">
        <v>441</v>
      </c>
      <c r="CD929" s="2">
        <v>1759</v>
      </c>
      <c r="CE929" s="2" t="s">
        <v>120</v>
      </c>
      <c r="CF929" s="3">
        <v>43077</v>
      </c>
      <c r="CI929" s="2">
        <v>1</v>
      </c>
      <c r="CJ929" s="2">
        <v>1</v>
      </c>
      <c r="CK929" s="2">
        <v>24</v>
      </c>
      <c r="CL929" s="2" t="s">
        <v>89</v>
      </c>
    </row>
    <row r="930" spans="1:90">
      <c r="A930" s="2" t="s">
        <v>71</v>
      </c>
      <c r="B930" s="2" t="s">
        <v>72</v>
      </c>
      <c r="C930" s="2" t="s">
        <v>73</v>
      </c>
      <c r="E930" s="2" t="str">
        <f>"FES1162594425"</f>
        <v>FES1162594425</v>
      </c>
      <c r="F930" s="3">
        <v>43075</v>
      </c>
      <c r="G930" s="2">
        <v>201806</v>
      </c>
      <c r="H930" s="2" t="s">
        <v>74</v>
      </c>
      <c r="I930" s="2" t="s">
        <v>75</v>
      </c>
      <c r="J930" s="2" t="s">
        <v>97</v>
      </c>
      <c r="K930" s="2" t="s">
        <v>77</v>
      </c>
      <c r="L930" s="2" t="s">
        <v>136</v>
      </c>
      <c r="M930" s="2" t="s">
        <v>137</v>
      </c>
      <c r="N930" s="2" t="s">
        <v>1385</v>
      </c>
      <c r="O930" s="2" t="s">
        <v>101</v>
      </c>
      <c r="P930" s="2" t="str">
        <f>"2170605536                    "</f>
        <v xml:space="preserve">2170605536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27.34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1.6</v>
      </c>
      <c r="BJ930" s="2">
        <v>8.5</v>
      </c>
      <c r="BK930" s="2">
        <v>8.5</v>
      </c>
      <c r="BL930" s="2">
        <v>195.15</v>
      </c>
      <c r="BM930" s="2">
        <v>27.32</v>
      </c>
      <c r="BN930" s="2">
        <v>222.47</v>
      </c>
      <c r="BO930" s="2">
        <v>222.47</v>
      </c>
      <c r="BQ930" s="2" t="s">
        <v>1386</v>
      </c>
      <c r="BR930" s="2" t="s">
        <v>103</v>
      </c>
      <c r="BS930" s="3">
        <v>43076</v>
      </c>
      <c r="BT930" s="4">
        <v>0.44791666666666669</v>
      </c>
      <c r="BU930" s="2" t="s">
        <v>1462</v>
      </c>
      <c r="BV930" s="2" t="s">
        <v>85</v>
      </c>
      <c r="BY930" s="2">
        <v>42608.75</v>
      </c>
      <c r="CC930" s="2" t="s">
        <v>137</v>
      </c>
      <c r="CD930" s="2">
        <v>6001</v>
      </c>
      <c r="CE930" s="2" t="s">
        <v>120</v>
      </c>
      <c r="CF930" s="3">
        <v>43077</v>
      </c>
      <c r="CI930" s="2">
        <v>1</v>
      </c>
      <c r="CJ930" s="2">
        <v>1</v>
      </c>
      <c r="CK930" s="2">
        <v>21</v>
      </c>
      <c r="CL930" s="2" t="s">
        <v>89</v>
      </c>
    </row>
    <row r="931" spans="1:90">
      <c r="A931" s="2" t="s">
        <v>71</v>
      </c>
      <c r="B931" s="2" t="s">
        <v>72</v>
      </c>
      <c r="C931" s="2" t="s">
        <v>73</v>
      </c>
      <c r="E931" s="2" t="str">
        <f>"FES1162594139"</f>
        <v>FES1162594139</v>
      </c>
      <c r="F931" s="3">
        <v>43075</v>
      </c>
      <c r="G931" s="2">
        <v>201806</v>
      </c>
      <c r="H931" s="2" t="s">
        <v>74</v>
      </c>
      <c r="I931" s="2" t="s">
        <v>75</v>
      </c>
      <c r="J931" s="2" t="s">
        <v>97</v>
      </c>
      <c r="K931" s="2" t="s">
        <v>77</v>
      </c>
      <c r="L931" s="2" t="s">
        <v>173</v>
      </c>
      <c r="M931" s="2" t="s">
        <v>174</v>
      </c>
      <c r="N931" s="2" t="s">
        <v>323</v>
      </c>
      <c r="O931" s="2" t="s">
        <v>101</v>
      </c>
      <c r="P931" s="2" t="str">
        <f>"2170602729                    "</f>
        <v xml:space="preserve">2170602729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6.43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1</v>
      </c>
      <c r="BJ931" s="2">
        <v>0.2</v>
      </c>
      <c r="BK931" s="2">
        <v>1</v>
      </c>
      <c r="BL931" s="2">
        <v>45.93</v>
      </c>
      <c r="BM931" s="2">
        <v>6.43</v>
      </c>
      <c r="BN931" s="2">
        <v>52.36</v>
      </c>
      <c r="BO931" s="2">
        <v>52.36</v>
      </c>
      <c r="BQ931" s="2" t="s">
        <v>82</v>
      </c>
      <c r="BR931" s="2" t="s">
        <v>103</v>
      </c>
      <c r="BS931" s="3">
        <v>43076</v>
      </c>
      <c r="BT931" s="4">
        <v>0.49652777777777773</v>
      </c>
      <c r="BU931" s="2" t="s">
        <v>1463</v>
      </c>
      <c r="BV931" s="2" t="s">
        <v>89</v>
      </c>
      <c r="BW931" s="2" t="s">
        <v>149</v>
      </c>
      <c r="BX931" s="2" t="s">
        <v>368</v>
      </c>
      <c r="BY931" s="2">
        <v>1200</v>
      </c>
      <c r="CA931" s="2">
        <v>80001820482</v>
      </c>
      <c r="CC931" s="2" t="s">
        <v>174</v>
      </c>
      <c r="CD931" s="2">
        <v>7405</v>
      </c>
      <c r="CE931" s="2" t="s">
        <v>120</v>
      </c>
      <c r="CF931" s="3">
        <v>43077</v>
      </c>
      <c r="CI931" s="2">
        <v>1</v>
      </c>
      <c r="CJ931" s="2">
        <v>1</v>
      </c>
      <c r="CK931" s="2">
        <v>21</v>
      </c>
      <c r="CL931" s="2" t="s">
        <v>89</v>
      </c>
    </row>
    <row r="932" spans="1:90">
      <c r="A932" s="2" t="s">
        <v>71</v>
      </c>
      <c r="B932" s="2" t="s">
        <v>72</v>
      </c>
      <c r="C932" s="2" t="s">
        <v>73</v>
      </c>
      <c r="E932" s="2" t="str">
        <f>"FES1162594349"</f>
        <v>FES1162594349</v>
      </c>
      <c r="F932" s="3">
        <v>43075</v>
      </c>
      <c r="G932" s="2">
        <v>201806</v>
      </c>
      <c r="H932" s="2" t="s">
        <v>74</v>
      </c>
      <c r="I932" s="2" t="s">
        <v>75</v>
      </c>
      <c r="J932" s="2" t="s">
        <v>97</v>
      </c>
      <c r="K932" s="2" t="s">
        <v>77</v>
      </c>
      <c r="L932" s="2" t="s">
        <v>106</v>
      </c>
      <c r="M932" s="2" t="s">
        <v>107</v>
      </c>
      <c r="N932" s="2" t="s">
        <v>1464</v>
      </c>
      <c r="O932" s="2" t="s">
        <v>101</v>
      </c>
      <c r="P932" s="2" t="str">
        <f>"2170606182                    "</f>
        <v xml:space="preserve">2170606182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5.03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35.89</v>
      </c>
      <c r="BM932" s="2">
        <v>5.0199999999999996</v>
      </c>
      <c r="BN932" s="2">
        <v>40.909999999999997</v>
      </c>
      <c r="BO932" s="2">
        <v>40.909999999999997</v>
      </c>
      <c r="BQ932" s="2" t="s">
        <v>102</v>
      </c>
      <c r="BR932" s="2" t="s">
        <v>103</v>
      </c>
      <c r="BS932" s="3">
        <v>43077</v>
      </c>
      <c r="BT932" s="4">
        <v>0.43402777777777773</v>
      </c>
      <c r="BU932" s="2" t="s">
        <v>755</v>
      </c>
      <c r="BV932" s="2" t="s">
        <v>89</v>
      </c>
      <c r="BW932" s="2" t="s">
        <v>437</v>
      </c>
      <c r="BX932" s="2" t="s">
        <v>1465</v>
      </c>
      <c r="BY932" s="2">
        <v>1200</v>
      </c>
      <c r="CC932" s="2" t="s">
        <v>107</v>
      </c>
      <c r="CD932" s="2">
        <v>2091</v>
      </c>
      <c r="CE932" s="2" t="s">
        <v>120</v>
      </c>
      <c r="CF932" s="3">
        <v>43080</v>
      </c>
      <c r="CI932" s="2">
        <v>1</v>
      </c>
      <c r="CJ932" s="2">
        <v>2</v>
      </c>
      <c r="CK932" s="2">
        <v>22</v>
      </c>
      <c r="CL932" s="2" t="s">
        <v>89</v>
      </c>
    </row>
    <row r="933" spans="1:90">
      <c r="A933" s="2" t="s">
        <v>71</v>
      </c>
      <c r="B933" s="2" t="s">
        <v>72</v>
      </c>
      <c r="C933" s="2" t="s">
        <v>73</v>
      </c>
      <c r="E933" s="2" t="str">
        <f>"FES1162594503"</f>
        <v>FES1162594503</v>
      </c>
      <c r="F933" s="3">
        <v>43075</v>
      </c>
      <c r="G933" s="2">
        <v>201806</v>
      </c>
      <c r="H933" s="2" t="s">
        <v>74</v>
      </c>
      <c r="I933" s="2" t="s">
        <v>75</v>
      </c>
      <c r="J933" s="2" t="s">
        <v>97</v>
      </c>
      <c r="K933" s="2" t="s">
        <v>77</v>
      </c>
      <c r="L933" s="2" t="s">
        <v>136</v>
      </c>
      <c r="M933" s="2" t="s">
        <v>137</v>
      </c>
      <c r="N933" s="2" t="s">
        <v>1466</v>
      </c>
      <c r="O933" s="2" t="s">
        <v>101</v>
      </c>
      <c r="P933" s="2" t="str">
        <f>"2170606368                    "</f>
        <v xml:space="preserve">2170606368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6.43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</v>
      </c>
      <c r="BJ933" s="2">
        <v>0.2</v>
      </c>
      <c r="BK933" s="2">
        <v>1</v>
      </c>
      <c r="BL933" s="2">
        <v>45.93</v>
      </c>
      <c r="BM933" s="2">
        <v>6.43</v>
      </c>
      <c r="BN933" s="2">
        <v>52.36</v>
      </c>
      <c r="BO933" s="2">
        <v>52.36</v>
      </c>
      <c r="BQ933" s="2" t="s">
        <v>1467</v>
      </c>
      <c r="BR933" s="2" t="s">
        <v>103</v>
      </c>
      <c r="BS933" s="3">
        <v>43074</v>
      </c>
      <c r="BT933" s="4">
        <v>0.41666666666666669</v>
      </c>
      <c r="BU933" s="2" t="s">
        <v>1468</v>
      </c>
      <c r="BV933" s="2" t="s">
        <v>85</v>
      </c>
      <c r="BY933" s="2">
        <v>1200</v>
      </c>
      <c r="CC933" s="2" t="s">
        <v>137</v>
      </c>
      <c r="CD933" s="2">
        <v>6001</v>
      </c>
      <c r="CE933" s="2" t="s">
        <v>120</v>
      </c>
      <c r="CF933" s="3">
        <v>43077</v>
      </c>
      <c r="CI933" s="2">
        <v>1</v>
      </c>
      <c r="CJ933" s="2">
        <v>-1</v>
      </c>
      <c r="CK933" s="2">
        <v>21</v>
      </c>
      <c r="CL933" s="2" t="s">
        <v>89</v>
      </c>
    </row>
    <row r="934" spans="1:90">
      <c r="A934" s="2" t="s">
        <v>71</v>
      </c>
      <c r="B934" s="2" t="s">
        <v>72</v>
      </c>
      <c r="C934" s="2" t="s">
        <v>73</v>
      </c>
      <c r="E934" s="2" t="str">
        <f>"FES1162594241"</f>
        <v>FES1162594241</v>
      </c>
      <c r="F934" s="3">
        <v>43075</v>
      </c>
      <c r="G934" s="2">
        <v>201806</v>
      </c>
      <c r="H934" s="2" t="s">
        <v>74</v>
      </c>
      <c r="I934" s="2" t="s">
        <v>75</v>
      </c>
      <c r="J934" s="2" t="s">
        <v>97</v>
      </c>
      <c r="K934" s="2" t="s">
        <v>77</v>
      </c>
      <c r="L934" s="2" t="s">
        <v>212</v>
      </c>
      <c r="M934" s="2" t="s">
        <v>212</v>
      </c>
      <c r="N934" s="2" t="s">
        <v>213</v>
      </c>
      <c r="O934" s="2" t="s">
        <v>101</v>
      </c>
      <c r="P934" s="2" t="str">
        <f>"2170605106                    "</f>
        <v xml:space="preserve">2170605106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6.43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45.93</v>
      </c>
      <c r="BM934" s="2">
        <v>6.43</v>
      </c>
      <c r="BN934" s="2">
        <v>52.36</v>
      </c>
      <c r="BO934" s="2">
        <v>52.36</v>
      </c>
      <c r="BQ934" s="2" t="s">
        <v>102</v>
      </c>
      <c r="BR934" s="2" t="s">
        <v>103</v>
      </c>
      <c r="BS934" s="3">
        <v>43076</v>
      </c>
      <c r="BT934" s="4">
        <v>0.64166666666666672</v>
      </c>
      <c r="BU934" s="2" t="s">
        <v>1429</v>
      </c>
      <c r="BV934" s="2" t="s">
        <v>89</v>
      </c>
      <c r="BW934" s="2" t="s">
        <v>149</v>
      </c>
      <c r="BX934" s="2" t="s">
        <v>1413</v>
      </c>
      <c r="BY934" s="2">
        <v>1200</v>
      </c>
      <c r="CA934" s="2" t="s">
        <v>532</v>
      </c>
      <c r="CC934" s="2" t="s">
        <v>212</v>
      </c>
      <c r="CD934" s="2">
        <v>7646</v>
      </c>
      <c r="CE934" s="2" t="s">
        <v>120</v>
      </c>
      <c r="CF934" s="3">
        <v>43076</v>
      </c>
      <c r="CI934" s="2">
        <v>1</v>
      </c>
      <c r="CJ934" s="2">
        <v>1</v>
      </c>
      <c r="CK934" s="2">
        <v>21</v>
      </c>
      <c r="CL934" s="2" t="s">
        <v>89</v>
      </c>
    </row>
    <row r="935" spans="1:90">
      <c r="A935" s="2" t="s">
        <v>71</v>
      </c>
      <c r="B935" s="2" t="s">
        <v>72</v>
      </c>
      <c r="C935" s="2" t="s">
        <v>73</v>
      </c>
      <c r="E935" s="2" t="str">
        <f>"FES1162594396"</f>
        <v>FES1162594396</v>
      </c>
      <c r="F935" s="3">
        <v>43075</v>
      </c>
      <c r="G935" s="2">
        <v>201806</v>
      </c>
      <c r="H935" s="2" t="s">
        <v>74</v>
      </c>
      <c r="I935" s="2" t="s">
        <v>75</v>
      </c>
      <c r="J935" s="2" t="s">
        <v>97</v>
      </c>
      <c r="K935" s="2" t="s">
        <v>77</v>
      </c>
      <c r="L935" s="2" t="s">
        <v>682</v>
      </c>
      <c r="M935" s="2" t="s">
        <v>683</v>
      </c>
      <c r="N935" s="2" t="s">
        <v>684</v>
      </c>
      <c r="O935" s="2" t="s">
        <v>101</v>
      </c>
      <c r="P935" s="2" t="str">
        <f>"2170605635                    "</f>
        <v xml:space="preserve">2170605635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12.47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1.8</v>
      </c>
      <c r="BJ935" s="2">
        <v>1.2</v>
      </c>
      <c r="BK935" s="2">
        <v>2</v>
      </c>
      <c r="BL935" s="2">
        <v>89</v>
      </c>
      <c r="BM935" s="2">
        <v>12.46</v>
      </c>
      <c r="BN935" s="2">
        <v>101.46</v>
      </c>
      <c r="BO935" s="2">
        <v>101.46</v>
      </c>
      <c r="BQ935" s="2" t="s">
        <v>685</v>
      </c>
      <c r="BR935" s="2" t="s">
        <v>103</v>
      </c>
      <c r="BS935" s="3">
        <v>43076</v>
      </c>
      <c r="BT935" s="4">
        <v>0</v>
      </c>
      <c r="BU935" s="2" t="s">
        <v>1469</v>
      </c>
      <c r="BV935" s="2" t="s">
        <v>85</v>
      </c>
      <c r="BY935" s="2">
        <v>5785.21</v>
      </c>
      <c r="CC935" s="2" t="s">
        <v>683</v>
      </c>
      <c r="CD935" s="2">
        <v>6300</v>
      </c>
      <c r="CE935" s="2" t="s">
        <v>87</v>
      </c>
      <c r="CF935" s="3">
        <v>43087</v>
      </c>
      <c r="CI935" s="2">
        <v>3</v>
      </c>
      <c r="CJ935" s="2">
        <v>1</v>
      </c>
      <c r="CK935" s="2">
        <v>23</v>
      </c>
      <c r="CL935" s="2" t="s">
        <v>89</v>
      </c>
    </row>
    <row r="936" spans="1:90">
      <c r="A936" s="2" t="s">
        <v>71</v>
      </c>
      <c r="B936" s="2" t="s">
        <v>72</v>
      </c>
      <c r="C936" s="2" t="s">
        <v>73</v>
      </c>
      <c r="E936" s="2" t="str">
        <f>"FES1162594136"</f>
        <v>FES1162594136</v>
      </c>
      <c r="F936" s="3">
        <v>43075</v>
      </c>
      <c r="G936" s="2">
        <v>201806</v>
      </c>
      <c r="H936" s="2" t="s">
        <v>74</v>
      </c>
      <c r="I936" s="2" t="s">
        <v>75</v>
      </c>
      <c r="J936" s="2" t="s">
        <v>97</v>
      </c>
      <c r="K936" s="2" t="s">
        <v>77</v>
      </c>
      <c r="L936" s="2" t="s">
        <v>262</v>
      </c>
      <c r="M936" s="2" t="s">
        <v>263</v>
      </c>
      <c r="N936" s="2" t="s">
        <v>809</v>
      </c>
      <c r="O936" s="2" t="s">
        <v>101</v>
      </c>
      <c r="P936" s="2" t="str">
        <f>"2170602561                    "</f>
        <v xml:space="preserve">2170602561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6.43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0.2</v>
      </c>
      <c r="BK936" s="2">
        <v>1</v>
      </c>
      <c r="BL936" s="2">
        <v>45.93</v>
      </c>
      <c r="BM936" s="2">
        <v>6.43</v>
      </c>
      <c r="BN936" s="2">
        <v>52.36</v>
      </c>
      <c r="BO936" s="2">
        <v>52.36</v>
      </c>
      <c r="BQ936" s="2" t="s">
        <v>102</v>
      </c>
      <c r="BR936" s="2" t="s">
        <v>103</v>
      </c>
      <c r="BS936" s="3">
        <v>43076</v>
      </c>
      <c r="BT936" s="4">
        <v>0.32430555555555557</v>
      </c>
      <c r="BU936" s="2" t="s">
        <v>1470</v>
      </c>
      <c r="BV936" s="2" t="s">
        <v>85</v>
      </c>
      <c r="BY936" s="2">
        <v>1200</v>
      </c>
      <c r="BZ936" s="2" t="s">
        <v>27</v>
      </c>
      <c r="CA936" s="2" t="s">
        <v>1171</v>
      </c>
      <c r="CC936" s="2" t="s">
        <v>263</v>
      </c>
      <c r="CD936" s="2">
        <v>6229</v>
      </c>
      <c r="CE936" s="2" t="s">
        <v>120</v>
      </c>
      <c r="CF936" s="3">
        <v>43077</v>
      </c>
      <c r="CI936" s="2">
        <v>1</v>
      </c>
      <c r="CJ936" s="2">
        <v>1</v>
      </c>
      <c r="CK936" s="2">
        <v>21</v>
      </c>
      <c r="CL936" s="2" t="s">
        <v>89</v>
      </c>
    </row>
    <row r="937" spans="1:90">
      <c r="A937" s="2" t="s">
        <v>71</v>
      </c>
      <c r="B937" s="2" t="s">
        <v>72</v>
      </c>
      <c r="C937" s="2" t="s">
        <v>73</v>
      </c>
      <c r="E937" s="2" t="str">
        <f>"FES1162593600"</f>
        <v>FES1162593600</v>
      </c>
      <c r="F937" s="3">
        <v>43075</v>
      </c>
      <c r="G937" s="2">
        <v>201806</v>
      </c>
      <c r="H937" s="2" t="s">
        <v>74</v>
      </c>
      <c r="I937" s="2" t="s">
        <v>75</v>
      </c>
      <c r="J937" s="2" t="s">
        <v>97</v>
      </c>
      <c r="K937" s="2" t="s">
        <v>77</v>
      </c>
      <c r="L937" s="2" t="s">
        <v>125</v>
      </c>
      <c r="M937" s="2" t="s">
        <v>126</v>
      </c>
      <c r="N937" s="2" t="s">
        <v>972</v>
      </c>
      <c r="O937" s="2" t="s">
        <v>101</v>
      </c>
      <c r="P937" s="2" t="str">
        <f>"2170605723                    "</f>
        <v xml:space="preserve">2170605723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53.06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5.8</v>
      </c>
      <c r="BJ937" s="2">
        <v>16.399999999999999</v>
      </c>
      <c r="BK937" s="2">
        <v>16.5</v>
      </c>
      <c r="BL937" s="2">
        <v>378.79</v>
      </c>
      <c r="BM937" s="2">
        <v>53.03</v>
      </c>
      <c r="BN937" s="2">
        <v>431.82</v>
      </c>
      <c r="BO937" s="2">
        <v>431.82</v>
      </c>
      <c r="BQ937" s="2" t="s">
        <v>1471</v>
      </c>
      <c r="BR937" s="2" t="s">
        <v>103</v>
      </c>
      <c r="BS937" s="3">
        <v>43076</v>
      </c>
      <c r="BT937" s="4">
        <v>0.42083333333333334</v>
      </c>
      <c r="BU937" s="2" t="s">
        <v>1472</v>
      </c>
      <c r="BV937" s="2" t="s">
        <v>85</v>
      </c>
      <c r="BY937" s="2">
        <v>81909</v>
      </c>
      <c r="CA937" s="2" t="s">
        <v>231</v>
      </c>
      <c r="CC937" s="2" t="s">
        <v>126</v>
      </c>
      <c r="CD937" s="2">
        <v>4051</v>
      </c>
      <c r="CE937" s="2" t="s">
        <v>87</v>
      </c>
      <c r="CF937" s="3">
        <v>43080</v>
      </c>
      <c r="CI937" s="2">
        <v>1</v>
      </c>
      <c r="CJ937" s="2">
        <v>1</v>
      </c>
      <c r="CK937" s="2">
        <v>21</v>
      </c>
      <c r="CL937" s="2" t="s">
        <v>89</v>
      </c>
    </row>
    <row r="938" spans="1:90">
      <c r="A938" s="2" t="s">
        <v>71</v>
      </c>
      <c r="B938" s="2" t="s">
        <v>72</v>
      </c>
      <c r="C938" s="2" t="s">
        <v>73</v>
      </c>
      <c r="E938" s="2" t="str">
        <f>"FES1162594124"</f>
        <v>FES1162594124</v>
      </c>
      <c r="F938" s="3">
        <v>43075</v>
      </c>
      <c r="G938" s="2">
        <v>201806</v>
      </c>
      <c r="H938" s="2" t="s">
        <v>74</v>
      </c>
      <c r="I938" s="2" t="s">
        <v>75</v>
      </c>
      <c r="J938" s="2" t="s">
        <v>97</v>
      </c>
      <c r="K938" s="2" t="s">
        <v>77</v>
      </c>
      <c r="L938" s="2" t="s">
        <v>173</v>
      </c>
      <c r="M938" s="2" t="s">
        <v>174</v>
      </c>
      <c r="N938" s="2" t="s">
        <v>747</v>
      </c>
      <c r="O938" s="2" t="s">
        <v>101</v>
      </c>
      <c r="P938" s="2" t="str">
        <f>"2170601761                    "</f>
        <v xml:space="preserve">2170601761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6.43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1</v>
      </c>
      <c r="BJ938" s="2">
        <v>0.2</v>
      </c>
      <c r="BK938" s="2">
        <v>1</v>
      </c>
      <c r="BL938" s="2">
        <v>45.93</v>
      </c>
      <c r="BM938" s="2">
        <v>6.43</v>
      </c>
      <c r="BN938" s="2">
        <v>52.36</v>
      </c>
      <c r="BO938" s="2">
        <v>52.36</v>
      </c>
      <c r="BQ938" s="2" t="s">
        <v>142</v>
      </c>
      <c r="BR938" s="2" t="s">
        <v>103</v>
      </c>
      <c r="BS938" s="3">
        <v>43077</v>
      </c>
      <c r="BT938" s="4">
        <v>0.47500000000000003</v>
      </c>
      <c r="BU938" s="2" t="s">
        <v>1473</v>
      </c>
      <c r="BV938" s="2" t="s">
        <v>89</v>
      </c>
      <c r="BW938" s="2" t="s">
        <v>149</v>
      </c>
      <c r="BX938" s="2" t="s">
        <v>246</v>
      </c>
      <c r="BY938" s="2">
        <v>1200</v>
      </c>
      <c r="CA938" s="2" t="s">
        <v>412</v>
      </c>
      <c r="CC938" s="2" t="s">
        <v>174</v>
      </c>
      <c r="CD938" s="2">
        <v>7580</v>
      </c>
      <c r="CE938" s="2" t="s">
        <v>120</v>
      </c>
      <c r="CF938" s="3">
        <v>43080</v>
      </c>
      <c r="CI938" s="2">
        <v>1</v>
      </c>
      <c r="CJ938" s="2">
        <v>2</v>
      </c>
      <c r="CK938" s="2">
        <v>21</v>
      </c>
      <c r="CL938" s="2" t="s">
        <v>89</v>
      </c>
    </row>
    <row r="939" spans="1:90">
      <c r="A939" s="2" t="s">
        <v>71</v>
      </c>
      <c r="B939" s="2" t="s">
        <v>72</v>
      </c>
      <c r="C939" s="2" t="s">
        <v>73</v>
      </c>
      <c r="E939" s="2" t="str">
        <f>"FES1162594508"</f>
        <v>FES1162594508</v>
      </c>
      <c r="F939" s="3">
        <v>43075</v>
      </c>
      <c r="G939" s="2">
        <v>201806</v>
      </c>
      <c r="H939" s="2" t="s">
        <v>74</v>
      </c>
      <c r="I939" s="2" t="s">
        <v>75</v>
      </c>
      <c r="J939" s="2" t="s">
        <v>97</v>
      </c>
      <c r="K939" s="2" t="s">
        <v>77</v>
      </c>
      <c r="L939" s="2" t="s">
        <v>136</v>
      </c>
      <c r="M939" s="2" t="s">
        <v>137</v>
      </c>
      <c r="N939" s="2" t="s">
        <v>918</v>
      </c>
      <c r="O939" s="2" t="s">
        <v>101</v>
      </c>
      <c r="P939" s="2" t="str">
        <f>"2170606376                    "</f>
        <v xml:space="preserve">2170606376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24.12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4</v>
      </c>
      <c r="BJ939" s="2">
        <v>7.1</v>
      </c>
      <c r="BK939" s="2">
        <v>7.5</v>
      </c>
      <c r="BL939" s="2">
        <v>172.19</v>
      </c>
      <c r="BM939" s="2">
        <v>24.11</v>
      </c>
      <c r="BN939" s="2">
        <v>196.3</v>
      </c>
      <c r="BO939" s="2">
        <v>196.3</v>
      </c>
      <c r="BQ939" s="2" t="s">
        <v>128</v>
      </c>
      <c r="BR939" s="2" t="s">
        <v>103</v>
      </c>
      <c r="BS939" s="3">
        <v>43076</v>
      </c>
      <c r="BT939" s="4">
        <v>0.31041666666666667</v>
      </c>
      <c r="BU939" s="2" t="s">
        <v>965</v>
      </c>
      <c r="BV939" s="2" t="s">
        <v>85</v>
      </c>
      <c r="BY939" s="2">
        <v>35738.01</v>
      </c>
      <c r="BZ939" s="2" t="s">
        <v>27</v>
      </c>
      <c r="CA939" s="2" t="s">
        <v>140</v>
      </c>
      <c r="CC939" s="2" t="s">
        <v>137</v>
      </c>
      <c r="CD939" s="2">
        <v>6012</v>
      </c>
      <c r="CE939" s="2" t="s">
        <v>87</v>
      </c>
      <c r="CF939" s="3">
        <v>43077</v>
      </c>
      <c r="CI939" s="2">
        <v>1</v>
      </c>
      <c r="CJ939" s="2">
        <v>1</v>
      </c>
      <c r="CK939" s="2">
        <v>21</v>
      </c>
      <c r="CL939" s="2" t="s">
        <v>89</v>
      </c>
    </row>
    <row r="940" spans="1:90">
      <c r="A940" s="2" t="s">
        <v>71</v>
      </c>
      <c r="B940" s="2" t="s">
        <v>72</v>
      </c>
      <c r="C940" s="2" t="s">
        <v>73</v>
      </c>
      <c r="E940" s="2" t="str">
        <f>"FES1162594247"</f>
        <v>FES1162594247</v>
      </c>
      <c r="F940" s="3">
        <v>43075</v>
      </c>
      <c r="G940" s="2">
        <v>201806</v>
      </c>
      <c r="H940" s="2" t="s">
        <v>74</v>
      </c>
      <c r="I940" s="2" t="s">
        <v>75</v>
      </c>
      <c r="J940" s="2" t="s">
        <v>97</v>
      </c>
      <c r="K940" s="2" t="s">
        <v>77</v>
      </c>
      <c r="L940" s="2" t="s">
        <v>173</v>
      </c>
      <c r="M940" s="2" t="s">
        <v>174</v>
      </c>
      <c r="N940" s="2" t="s">
        <v>175</v>
      </c>
      <c r="O940" s="2" t="s">
        <v>101</v>
      </c>
      <c r="P940" s="2" t="str">
        <f>"2170605431                    "</f>
        <v xml:space="preserve">2170605431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6.43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45.93</v>
      </c>
      <c r="BM940" s="2">
        <v>6.43</v>
      </c>
      <c r="BN940" s="2">
        <v>52.36</v>
      </c>
      <c r="BO940" s="2">
        <v>52.36</v>
      </c>
      <c r="BQ940" s="2" t="s">
        <v>102</v>
      </c>
      <c r="BR940" s="2" t="s">
        <v>103</v>
      </c>
      <c r="BS940" s="3">
        <v>43076</v>
      </c>
      <c r="BT940" s="4">
        <v>0.49583333333333335</v>
      </c>
      <c r="BU940" s="2" t="s">
        <v>176</v>
      </c>
      <c r="BV940" s="2" t="s">
        <v>89</v>
      </c>
      <c r="BW940" s="2" t="s">
        <v>149</v>
      </c>
      <c r="BX940" s="2" t="s">
        <v>368</v>
      </c>
      <c r="BY940" s="2">
        <v>1200</v>
      </c>
      <c r="CA940" s="2" t="s">
        <v>177</v>
      </c>
      <c r="CC940" s="2" t="s">
        <v>174</v>
      </c>
      <c r="CD940" s="2">
        <v>7405</v>
      </c>
      <c r="CE940" s="2" t="s">
        <v>120</v>
      </c>
      <c r="CF940" s="3">
        <v>43077</v>
      </c>
      <c r="CI940" s="2">
        <v>1</v>
      </c>
      <c r="CJ940" s="2">
        <v>1</v>
      </c>
      <c r="CK940" s="2">
        <v>21</v>
      </c>
      <c r="CL940" s="2" t="s">
        <v>89</v>
      </c>
    </row>
    <row r="941" spans="1:90">
      <c r="A941" s="2" t="s">
        <v>71</v>
      </c>
      <c r="B941" s="2" t="s">
        <v>72</v>
      </c>
      <c r="C941" s="2" t="s">
        <v>73</v>
      </c>
      <c r="E941" s="2" t="str">
        <f>"FES1162594307"</f>
        <v>FES1162594307</v>
      </c>
      <c r="F941" s="3">
        <v>43075</v>
      </c>
      <c r="G941" s="2">
        <v>201806</v>
      </c>
      <c r="H941" s="2" t="s">
        <v>74</v>
      </c>
      <c r="I941" s="2" t="s">
        <v>75</v>
      </c>
      <c r="J941" s="2" t="s">
        <v>97</v>
      </c>
      <c r="K941" s="2" t="s">
        <v>77</v>
      </c>
      <c r="L941" s="2" t="s">
        <v>221</v>
      </c>
      <c r="M941" s="2" t="s">
        <v>222</v>
      </c>
      <c r="N941" s="2" t="s">
        <v>223</v>
      </c>
      <c r="O941" s="2" t="s">
        <v>101</v>
      </c>
      <c r="P941" s="2" t="str">
        <f>"2170604180                    "</f>
        <v xml:space="preserve">2170604180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6.43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45.93</v>
      </c>
      <c r="BM941" s="2">
        <v>6.43</v>
      </c>
      <c r="BN941" s="2">
        <v>52.36</v>
      </c>
      <c r="BO941" s="2">
        <v>52.36</v>
      </c>
      <c r="BQ941" s="2" t="s">
        <v>142</v>
      </c>
      <c r="BR941" s="2" t="s">
        <v>103</v>
      </c>
      <c r="BS941" s="3">
        <v>43076</v>
      </c>
      <c r="BT941" s="4">
        <v>0.5</v>
      </c>
      <c r="BU941" s="2" t="s">
        <v>1474</v>
      </c>
      <c r="BV941" s="2" t="s">
        <v>89</v>
      </c>
      <c r="BY941" s="2">
        <v>1200</v>
      </c>
      <c r="CC941" s="2" t="s">
        <v>222</v>
      </c>
      <c r="CD941" s="2">
        <v>4113</v>
      </c>
      <c r="CE941" s="2" t="s">
        <v>120</v>
      </c>
      <c r="CF941" s="3">
        <v>43077</v>
      </c>
      <c r="CI941" s="2">
        <v>1</v>
      </c>
      <c r="CJ941" s="2">
        <v>1</v>
      </c>
      <c r="CK941" s="2">
        <v>21</v>
      </c>
      <c r="CL941" s="2" t="s">
        <v>89</v>
      </c>
    </row>
    <row r="942" spans="1:90">
      <c r="A942" s="2" t="s">
        <v>71</v>
      </c>
      <c r="B942" s="2" t="s">
        <v>72</v>
      </c>
      <c r="C942" s="2" t="s">
        <v>73</v>
      </c>
      <c r="E942" s="2" t="str">
        <f>"FES1162594302"</f>
        <v>FES1162594302</v>
      </c>
      <c r="F942" s="3">
        <v>43075</v>
      </c>
      <c r="G942" s="2">
        <v>201806</v>
      </c>
      <c r="H942" s="2" t="s">
        <v>74</v>
      </c>
      <c r="I942" s="2" t="s">
        <v>75</v>
      </c>
      <c r="J942" s="2" t="s">
        <v>97</v>
      </c>
      <c r="K942" s="2" t="s">
        <v>77</v>
      </c>
      <c r="L942" s="2" t="s">
        <v>883</v>
      </c>
      <c r="M942" s="2" t="s">
        <v>884</v>
      </c>
      <c r="N942" s="2" t="s">
        <v>885</v>
      </c>
      <c r="O942" s="2" t="s">
        <v>101</v>
      </c>
      <c r="P942" s="2" t="str">
        <f>"2170602916                    "</f>
        <v xml:space="preserve">2170602916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6.43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45.93</v>
      </c>
      <c r="BM942" s="2">
        <v>6.43</v>
      </c>
      <c r="BN942" s="2">
        <v>52.36</v>
      </c>
      <c r="BO942" s="2">
        <v>52.36</v>
      </c>
      <c r="BQ942" s="2" t="s">
        <v>886</v>
      </c>
      <c r="BR942" s="2" t="s">
        <v>103</v>
      </c>
      <c r="BS942" s="3">
        <v>43076</v>
      </c>
      <c r="BT942" s="4">
        <v>0.74652777777777779</v>
      </c>
      <c r="BU942" s="2" t="s">
        <v>1475</v>
      </c>
      <c r="BV942" s="2" t="s">
        <v>89</v>
      </c>
      <c r="BW942" s="2" t="s">
        <v>471</v>
      </c>
      <c r="BX942" s="2" t="s">
        <v>246</v>
      </c>
      <c r="BY942" s="2">
        <v>1200</v>
      </c>
      <c r="CA942" s="2" t="s">
        <v>887</v>
      </c>
      <c r="CC942" s="2" t="s">
        <v>884</v>
      </c>
      <c r="CD942" s="2">
        <v>7599</v>
      </c>
      <c r="CE942" s="2" t="s">
        <v>120</v>
      </c>
      <c r="CF942" s="3">
        <v>43077</v>
      </c>
      <c r="CI942" s="2">
        <v>1</v>
      </c>
      <c r="CJ942" s="2">
        <v>1</v>
      </c>
      <c r="CK942" s="2">
        <v>21</v>
      </c>
      <c r="CL942" s="2" t="s">
        <v>89</v>
      </c>
    </row>
    <row r="943" spans="1:90">
      <c r="A943" s="2" t="s">
        <v>71</v>
      </c>
      <c r="B943" s="2" t="s">
        <v>72</v>
      </c>
      <c r="C943" s="2" t="s">
        <v>73</v>
      </c>
      <c r="E943" s="2" t="str">
        <f>"FES1162594381"</f>
        <v>FES1162594381</v>
      </c>
      <c r="F943" s="3">
        <v>43075</v>
      </c>
      <c r="G943" s="2">
        <v>201806</v>
      </c>
      <c r="H943" s="2" t="s">
        <v>74</v>
      </c>
      <c r="I943" s="2" t="s">
        <v>75</v>
      </c>
      <c r="J943" s="2" t="s">
        <v>97</v>
      </c>
      <c r="K943" s="2" t="s">
        <v>77</v>
      </c>
      <c r="L943" s="2" t="s">
        <v>759</v>
      </c>
      <c r="M943" s="2" t="s">
        <v>760</v>
      </c>
      <c r="N943" s="2" t="s">
        <v>1476</v>
      </c>
      <c r="O943" s="2" t="s">
        <v>101</v>
      </c>
      <c r="P943" s="2" t="str">
        <f>"2170606236                    "</f>
        <v xml:space="preserve">2170606236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6.43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45.93</v>
      </c>
      <c r="BM943" s="2">
        <v>6.43</v>
      </c>
      <c r="BN943" s="2">
        <v>52.36</v>
      </c>
      <c r="BO943" s="2">
        <v>52.36</v>
      </c>
      <c r="BQ943" s="2" t="s">
        <v>82</v>
      </c>
      <c r="BR943" s="2" t="s">
        <v>103</v>
      </c>
      <c r="BS943" s="3">
        <v>43076</v>
      </c>
      <c r="BT943" s="4">
        <v>0.54166666666666663</v>
      </c>
      <c r="BU943" s="2" t="s">
        <v>1444</v>
      </c>
      <c r="BV943" s="2" t="s">
        <v>89</v>
      </c>
      <c r="BW943" s="2" t="s">
        <v>149</v>
      </c>
      <c r="BX943" s="2" t="s">
        <v>594</v>
      </c>
      <c r="BY943" s="2">
        <v>1200</v>
      </c>
      <c r="CC943" s="2" t="s">
        <v>760</v>
      </c>
      <c r="CD943" s="2">
        <v>4026</v>
      </c>
      <c r="CE943" s="2" t="s">
        <v>120</v>
      </c>
      <c r="CF943" s="3">
        <v>43080</v>
      </c>
      <c r="CI943" s="2">
        <v>1</v>
      </c>
      <c r="CJ943" s="2">
        <v>1</v>
      </c>
      <c r="CK943" s="2">
        <v>21</v>
      </c>
      <c r="CL943" s="2" t="s">
        <v>89</v>
      </c>
    </row>
    <row r="944" spans="1:90">
      <c r="A944" s="2" t="s">
        <v>71</v>
      </c>
      <c r="B944" s="2" t="s">
        <v>72</v>
      </c>
      <c r="C944" s="2" t="s">
        <v>73</v>
      </c>
      <c r="E944" s="2" t="str">
        <f>"FES1162594157"</f>
        <v>FES1162594157</v>
      </c>
      <c r="F944" s="3">
        <v>43075</v>
      </c>
      <c r="G944" s="2">
        <v>201806</v>
      </c>
      <c r="H944" s="2" t="s">
        <v>74</v>
      </c>
      <c r="I944" s="2" t="s">
        <v>75</v>
      </c>
      <c r="J944" s="2" t="s">
        <v>97</v>
      </c>
      <c r="K944" s="2" t="s">
        <v>77</v>
      </c>
      <c r="L944" s="2" t="s">
        <v>173</v>
      </c>
      <c r="M944" s="2" t="s">
        <v>174</v>
      </c>
      <c r="N944" s="2" t="s">
        <v>1477</v>
      </c>
      <c r="O944" s="2" t="s">
        <v>101</v>
      </c>
      <c r="P944" s="2" t="str">
        <f>"2170603423                    "</f>
        <v xml:space="preserve">2170603423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6.43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</v>
      </c>
      <c r="BJ944" s="2">
        <v>0.2</v>
      </c>
      <c r="BK944" s="2">
        <v>1</v>
      </c>
      <c r="BL944" s="2">
        <v>45.93</v>
      </c>
      <c r="BM944" s="2">
        <v>6.43</v>
      </c>
      <c r="BN944" s="2">
        <v>52.36</v>
      </c>
      <c r="BO944" s="2">
        <v>52.36</v>
      </c>
      <c r="BQ944" s="2" t="s">
        <v>82</v>
      </c>
      <c r="BR944" s="2" t="s">
        <v>103</v>
      </c>
      <c r="BS944" s="3">
        <v>43076</v>
      </c>
      <c r="BT944" s="4">
        <v>0.46458333333333335</v>
      </c>
      <c r="BU944" s="2" t="s">
        <v>1478</v>
      </c>
      <c r="BV944" s="2" t="s">
        <v>89</v>
      </c>
      <c r="BW944" s="2" t="s">
        <v>149</v>
      </c>
      <c r="BX944" s="2" t="s">
        <v>246</v>
      </c>
      <c r="BY944" s="2">
        <v>1200</v>
      </c>
      <c r="CA944" s="2" t="s">
        <v>378</v>
      </c>
      <c r="CC944" s="2" t="s">
        <v>174</v>
      </c>
      <c r="CD944" s="2">
        <v>7490</v>
      </c>
      <c r="CE944" s="2" t="s">
        <v>120</v>
      </c>
      <c r="CF944" s="3">
        <v>43077</v>
      </c>
      <c r="CI944" s="2">
        <v>1</v>
      </c>
      <c r="CJ944" s="2">
        <v>1</v>
      </c>
      <c r="CK944" s="2">
        <v>21</v>
      </c>
      <c r="CL944" s="2" t="s">
        <v>89</v>
      </c>
    </row>
    <row r="945" spans="1:90">
      <c r="A945" s="2" t="s">
        <v>71</v>
      </c>
      <c r="B945" s="2" t="s">
        <v>72</v>
      </c>
      <c r="C945" s="2" t="s">
        <v>73</v>
      </c>
      <c r="E945" s="2" t="str">
        <f>"FES1162594534"</f>
        <v>FES1162594534</v>
      </c>
      <c r="F945" s="3">
        <v>43075</v>
      </c>
      <c r="G945" s="2">
        <v>201806</v>
      </c>
      <c r="H945" s="2" t="s">
        <v>74</v>
      </c>
      <c r="I945" s="2" t="s">
        <v>75</v>
      </c>
      <c r="J945" s="2" t="s">
        <v>97</v>
      </c>
      <c r="K945" s="2" t="s">
        <v>77</v>
      </c>
      <c r="L945" s="2" t="s">
        <v>111</v>
      </c>
      <c r="M945" s="2" t="s">
        <v>112</v>
      </c>
      <c r="N945" s="2" t="s">
        <v>113</v>
      </c>
      <c r="O945" s="2" t="s">
        <v>101</v>
      </c>
      <c r="P945" s="2" t="str">
        <f>"2170606399                    "</f>
        <v xml:space="preserve">2170606399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6.43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1.5</v>
      </c>
      <c r="BJ945" s="2">
        <v>1.9</v>
      </c>
      <c r="BK945" s="2">
        <v>2</v>
      </c>
      <c r="BL945" s="2">
        <v>45.93</v>
      </c>
      <c r="BM945" s="2">
        <v>6.43</v>
      </c>
      <c r="BN945" s="2">
        <v>52.36</v>
      </c>
      <c r="BO945" s="2">
        <v>52.36</v>
      </c>
      <c r="BQ945" s="2" t="s">
        <v>82</v>
      </c>
      <c r="BR945" s="2" t="s">
        <v>103</v>
      </c>
      <c r="BS945" s="3">
        <v>43076</v>
      </c>
      <c r="BT945" s="4">
        <v>0.33680555555555558</v>
      </c>
      <c r="BU945" s="2" t="s">
        <v>224</v>
      </c>
      <c r="BV945" s="2" t="s">
        <v>85</v>
      </c>
      <c r="BY945" s="2">
        <v>9304.51</v>
      </c>
      <c r="CC945" s="2" t="s">
        <v>112</v>
      </c>
      <c r="CD945" s="2">
        <v>6220</v>
      </c>
      <c r="CE945" s="2" t="s">
        <v>95</v>
      </c>
      <c r="CF945" s="3">
        <v>43077</v>
      </c>
      <c r="CI945" s="2">
        <v>1</v>
      </c>
      <c r="CJ945" s="2">
        <v>1</v>
      </c>
      <c r="CK945" s="2">
        <v>21</v>
      </c>
      <c r="CL945" s="2" t="s">
        <v>89</v>
      </c>
    </row>
    <row r="946" spans="1:90">
      <c r="A946" s="2" t="s">
        <v>71</v>
      </c>
      <c r="B946" s="2" t="s">
        <v>72</v>
      </c>
      <c r="C946" s="2" t="s">
        <v>73</v>
      </c>
      <c r="E946" s="2" t="str">
        <f>"FES1162594123"</f>
        <v>FES1162594123</v>
      </c>
      <c r="F946" s="3">
        <v>43075</v>
      </c>
      <c r="G946" s="2">
        <v>201806</v>
      </c>
      <c r="H946" s="2" t="s">
        <v>74</v>
      </c>
      <c r="I946" s="2" t="s">
        <v>75</v>
      </c>
      <c r="J946" s="2" t="s">
        <v>97</v>
      </c>
      <c r="K946" s="2" t="s">
        <v>77</v>
      </c>
      <c r="L946" s="2" t="s">
        <v>173</v>
      </c>
      <c r="M946" s="2" t="s">
        <v>174</v>
      </c>
      <c r="N946" s="2" t="s">
        <v>747</v>
      </c>
      <c r="O946" s="2" t="s">
        <v>101</v>
      </c>
      <c r="P946" s="2" t="str">
        <f>"2170601760                    "</f>
        <v xml:space="preserve">2170601760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6.43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45.93</v>
      </c>
      <c r="BM946" s="2">
        <v>6.43</v>
      </c>
      <c r="BN946" s="2">
        <v>52.36</v>
      </c>
      <c r="BO946" s="2">
        <v>52.36</v>
      </c>
      <c r="BQ946" s="2" t="s">
        <v>142</v>
      </c>
      <c r="BR946" s="2" t="s">
        <v>103</v>
      </c>
      <c r="BS946" s="3">
        <v>43077</v>
      </c>
      <c r="BT946" s="4">
        <v>0.47500000000000003</v>
      </c>
      <c r="BU946" s="2" t="s">
        <v>1473</v>
      </c>
      <c r="BV946" s="2" t="s">
        <v>89</v>
      </c>
      <c r="BW946" s="2" t="s">
        <v>149</v>
      </c>
      <c r="BX946" s="2" t="s">
        <v>246</v>
      </c>
      <c r="BY946" s="2">
        <v>1200</v>
      </c>
      <c r="CA946" s="2" t="s">
        <v>412</v>
      </c>
      <c r="CC946" s="2" t="s">
        <v>174</v>
      </c>
      <c r="CD946" s="2">
        <v>7580</v>
      </c>
      <c r="CE946" s="2" t="s">
        <v>120</v>
      </c>
      <c r="CF946" s="3">
        <v>43080</v>
      </c>
      <c r="CI946" s="2">
        <v>1</v>
      </c>
      <c r="CJ946" s="2">
        <v>2</v>
      </c>
      <c r="CK946" s="2">
        <v>21</v>
      </c>
      <c r="CL946" s="2" t="s">
        <v>89</v>
      </c>
    </row>
    <row r="947" spans="1:90">
      <c r="A947" s="2" t="s">
        <v>71</v>
      </c>
      <c r="B947" s="2" t="s">
        <v>72</v>
      </c>
      <c r="C947" s="2" t="s">
        <v>73</v>
      </c>
      <c r="E947" s="2" t="str">
        <f>"FES1162594426"</f>
        <v>FES1162594426</v>
      </c>
      <c r="F947" s="3">
        <v>43075</v>
      </c>
      <c r="G947" s="2">
        <v>201806</v>
      </c>
      <c r="H947" s="2" t="s">
        <v>74</v>
      </c>
      <c r="I947" s="2" t="s">
        <v>75</v>
      </c>
      <c r="J947" s="2" t="s">
        <v>97</v>
      </c>
      <c r="K947" s="2" t="s">
        <v>77</v>
      </c>
      <c r="L947" s="2" t="s">
        <v>168</v>
      </c>
      <c r="M947" s="2" t="s">
        <v>169</v>
      </c>
      <c r="N947" s="2" t="s">
        <v>585</v>
      </c>
      <c r="O947" s="2" t="s">
        <v>101</v>
      </c>
      <c r="P947" s="2" t="str">
        <f>"2170605569                    "</f>
        <v xml:space="preserve">2170605569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6.43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1.6</v>
      </c>
      <c r="BJ947" s="2">
        <v>0.9</v>
      </c>
      <c r="BK947" s="2">
        <v>2</v>
      </c>
      <c r="BL947" s="2">
        <v>45.93</v>
      </c>
      <c r="BM947" s="2">
        <v>6.43</v>
      </c>
      <c r="BN947" s="2">
        <v>52.36</v>
      </c>
      <c r="BO947" s="2">
        <v>52.36</v>
      </c>
      <c r="BQ947" s="2" t="s">
        <v>82</v>
      </c>
      <c r="BR947" s="2" t="s">
        <v>103</v>
      </c>
      <c r="BS947" s="3">
        <v>43076</v>
      </c>
      <c r="BT947" s="4">
        <v>0.41319444444444442</v>
      </c>
      <c r="BU947" s="2" t="s">
        <v>586</v>
      </c>
      <c r="BV947" s="2" t="s">
        <v>85</v>
      </c>
      <c r="BY947" s="2">
        <v>4322.3</v>
      </c>
      <c r="CA947" s="2" t="s">
        <v>172</v>
      </c>
      <c r="CC947" s="2" t="s">
        <v>169</v>
      </c>
      <c r="CD947" s="2">
        <v>3610</v>
      </c>
      <c r="CE947" s="2" t="s">
        <v>87</v>
      </c>
      <c r="CF947" s="3">
        <v>43080</v>
      </c>
      <c r="CI947" s="2">
        <v>1</v>
      </c>
      <c r="CJ947" s="2">
        <v>1</v>
      </c>
      <c r="CK947" s="2">
        <v>21</v>
      </c>
      <c r="CL947" s="2" t="s">
        <v>89</v>
      </c>
    </row>
    <row r="948" spans="1:90">
      <c r="A948" s="2" t="s">
        <v>71</v>
      </c>
      <c r="B948" s="2" t="s">
        <v>72</v>
      </c>
      <c r="C948" s="2" t="s">
        <v>73</v>
      </c>
      <c r="E948" s="2" t="str">
        <f>"FES1162594237"</f>
        <v>FES1162594237</v>
      </c>
      <c r="F948" s="3">
        <v>43075</v>
      </c>
      <c r="G948" s="2">
        <v>201806</v>
      </c>
      <c r="H948" s="2" t="s">
        <v>74</v>
      </c>
      <c r="I948" s="2" t="s">
        <v>75</v>
      </c>
      <c r="J948" s="2" t="s">
        <v>97</v>
      </c>
      <c r="K948" s="2" t="s">
        <v>77</v>
      </c>
      <c r="L948" s="2" t="s">
        <v>136</v>
      </c>
      <c r="M948" s="2" t="s">
        <v>137</v>
      </c>
      <c r="N948" s="2" t="s">
        <v>662</v>
      </c>
      <c r="O948" s="2" t="s">
        <v>101</v>
      </c>
      <c r="P948" s="2" t="str">
        <f>"2170604920                    "</f>
        <v xml:space="preserve">2170604920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6.43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45.93</v>
      </c>
      <c r="BM948" s="2">
        <v>6.43</v>
      </c>
      <c r="BN948" s="2">
        <v>52.36</v>
      </c>
      <c r="BO948" s="2">
        <v>52.36</v>
      </c>
      <c r="BQ948" s="2" t="s">
        <v>128</v>
      </c>
      <c r="BR948" s="2" t="s">
        <v>103</v>
      </c>
      <c r="BS948" s="3">
        <v>43076</v>
      </c>
      <c r="BT948" s="4">
        <v>0.3034722222222222</v>
      </c>
      <c r="BU948" s="2" t="s">
        <v>1479</v>
      </c>
      <c r="BV948" s="2" t="s">
        <v>85</v>
      </c>
      <c r="BY948" s="2">
        <v>1200</v>
      </c>
      <c r="BZ948" s="2" t="s">
        <v>27</v>
      </c>
      <c r="CA948" s="2" t="s">
        <v>140</v>
      </c>
      <c r="CC948" s="2" t="s">
        <v>137</v>
      </c>
      <c r="CD948" s="2">
        <v>6012</v>
      </c>
      <c r="CE948" s="2" t="s">
        <v>120</v>
      </c>
      <c r="CF948" s="3">
        <v>43077</v>
      </c>
      <c r="CI948" s="2">
        <v>1</v>
      </c>
      <c r="CJ948" s="2">
        <v>1</v>
      </c>
      <c r="CK948" s="2">
        <v>21</v>
      </c>
      <c r="CL948" s="2" t="s">
        <v>89</v>
      </c>
    </row>
    <row r="949" spans="1:90">
      <c r="A949" s="2" t="s">
        <v>71</v>
      </c>
      <c r="B949" s="2" t="s">
        <v>72</v>
      </c>
      <c r="C949" s="2" t="s">
        <v>73</v>
      </c>
      <c r="E949" s="2" t="str">
        <f>"FES1162594467"</f>
        <v>FES1162594467</v>
      </c>
      <c r="F949" s="3">
        <v>43075</v>
      </c>
      <c r="G949" s="2">
        <v>201806</v>
      </c>
      <c r="H949" s="2" t="s">
        <v>74</v>
      </c>
      <c r="I949" s="2" t="s">
        <v>75</v>
      </c>
      <c r="J949" s="2" t="s">
        <v>97</v>
      </c>
      <c r="K949" s="2" t="s">
        <v>77</v>
      </c>
      <c r="L949" s="2" t="s">
        <v>74</v>
      </c>
      <c r="M949" s="2" t="s">
        <v>75</v>
      </c>
      <c r="N949" s="2" t="s">
        <v>1480</v>
      </c>
      <c r="O949" s="2" t="s">
        <v>101</v>
      </c>
      <c r="P949" s="2" t="str">
        <f>"21706060753                   "</f>
        <v xml:space="preserve">21706060753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5.03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2.7</v>
      </c>
      <c r="BJ949" s="2">
        <v>3.4</v>
      </c>
      <c r="BK949" s="2">
        <v>4</v>
      </c>
      <c r="BL949" s="2">
        <v>35.89</v>
      </c>
      <c r="BM949" s="2">
        <v>5.0199999999999996</v>
      </c>
      <c r="BN949" s="2">
        <v>40.909999999999997</v>
      </c>
      <c r="BO949" s="2">
        <v>40.909999999999997</v>
      </c>
      <c r="BQ949" s="2" t="s">
        <v>142</v>
      </c>
      <c r="BR949" s="2" t="s">
        <v>103</v>
      </c>
      <c r="BS949" s="3">
        <v>43076</v>
      </c>
      <c r="BT949" s="4">
        <v>0.41666666666666669</v>
      </c>
      <c r="BU949" s="2" t="s">
        <v>1481</v>
      </c>
      <c r="BV949" s="2" t="s">
        <v>85</v>
      </c>
      <c r="BY949" s="2">
        <v>17146.36</v>
      </c>
      <c r="CA949" s="2" t="s">
        <v>366</v>
      </c>
      <c r="CC949" s="2" t="s">
        <v>75</v>
      </c>
      <c r="CD949" s="2">
        <v>1600</v>
      </c>
      <c r="CE949" s="2" t="s">
        <v>95</v>
      </c>
      <c r="CF949" s="3">
        <v>43080</v>
      </c>
      <c r="CI949" s="2">
        <v>1</v>
      </c>
      <c r="CJ949" s="2">
        <v>1</v>
      </c>
      <c r="CK949" s="2">
        <v>22</v>
      </c>
      <c r="CL949" s="2" t="s">
        <v>89</v>
      </c>
    </row>
    <row r="950" spans="1:90">
      <c r="A950" s="2" t="s">
        <v>71</v>
      </c>
      <c r="B950" s="2" t="s">
        <v>72</v>
      </c>
      <c r="C950" s="2" t="s">
        <v>73</v>
      </c>
      <c r="E950" s="2" t="str">
        <f>"FES1162594301"</f>
        <v>FES1162594301</v>
      </c>
      <c r="F950" s="3">
        <v>43075</v>
      </c>
      <c r="G950" s="2">
        <v>201806</v>
      </c>
      <c r="H950" s="2" t="s">
        <v>74</v>
      </c>
      <c r="I950" s="2" t="s">
        <v>75</v>
      </c>
      <c r="J950" s="2" t="s">
        <v>97</v>
      </c>
      <c r="K950" s="2" t="s">
        <v>77</v>
      </c>
      <c r="L950" s="2" t="s">
        <v>145</v>
      </c>
      <c r="M950" s="2" t="s">
        <v>146</v>
      </c>
      <c r="N950" s="2" t="s">
        <v>709</v>
      </c>
      <c r="O950" s="2" t="s">
        <v>101</v>
      </c>
      <c r="P950" s="2" t="str">
        <f>"2170602275                    "</f>
        <v xml:space="preserve">2170602275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6.43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1</v>
      </c>
      <c r="BJ950" s="2">
        <v>0.2</v>
      </c>
      <c r="BK950" s="2">
        <v>1</v>
      </c>
      <c r="BL950" s="2">
        <v>45.93</v>
      </c>
      <c r="BM950" s="2">
        <v>6.43</v>
      </c>
      <c r="BN950" s="2">
        <v>52.36</v>
      </c>
      <c r="BO950" s="2">
        <v>52.36</v>
      </c>
      <c r="BQ950" s="2" t="s">
        <v>102</v>
      </c>
      <c r="BR950" s="2" t="s">
        <v>103</v>
      </c>
      <c r="BS950" s="3">
        <v>43076</v>
      </c>
      <c r="BT950" s="4">
        <v>0.41666666666666669</v>
      </c>
      <c r="BU950" s="2" t="s">
        <v>1482</v>
      </c>
      <c r="BV950" s="2" t="s">
        <v>85</v>
      </c>
      <c r="BY950" s="2">
        <v>1200</v>
      </c>
      <c r="CC950" s="2" t="s">
        <v>146</v>
      </c>
      <c r="CD950" s="2">
        <v>5201</v>
      </c>
      <c r="CE950" s="2" t="s">
        <v>120</v>
      </c>
      <c r="CF950" s="3">
        <v>43080</v>
      </c>
      <c r="CI950" s="2">
        <v>1</v>
      </c>
      <c r="CJ950" s="2">
        <v>1</v>
      </c>
      <c r="CK950" s="2">
        <v>21</v>
      </c>
      <c r="CL950" s="2" t="s">
        <v>89</v>
      </c>
    </row>
    <row r="951" spans="1:90">
      <c r="A951" s="2" t="s">
        <v>71</v>
      </c>
      <c r="B951" s="2" t="s">
        <v>72</v>
      </c>
      <c r="C951" s="2" t="s">
        <v>73</v>
      </c>
      <c r="E951" s="2" t="str">
        <f>"FES1162594430"</f>
        <v>FES1162594430</v>
      </c>
      <c r="F951" s="3">
        <v>43075</v>
      </c>
      <c r="G951" s="2">
        <v>201806</v>
      </c>
      <c r="H951" s="2" t="s">
        <v>74</v>
      </c>
      <c r="I951" s="2" t="s">
        <v>75</v>
      </c>
      <c r="J951" s="2" t="s">
        <v>97</v>
      </c>
      <c r="K951" s="2" t="s">
        <v>77</v>
      </c>
      <c r="L951" s="2" t="s">
        <v>173</v>
      </c>
      <c r="M951" s="2" t="s">
        <v>174</v>
      </c>
      <c r="N951" s="2" t="s">
        <v>487</v>
      </c>
      <c r="O951" s="2" t="s">
        <v>101</v>
      </c>
      <c r="P951" s="2" t="str">
        <f>"2170606069                    "</f>
        <v xml:space="preserve">2170606069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12.87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3.6</v>
      </c>
      <c r="BJ951" s="2">
        <v>1.6</v>
      </c>
      <c r="BK951" s="2">
        <v>4</v>
      </c>
      <c r="BL951" s="2">
        <v>91.85</v>
      </c>
      <c r="BM951" s="2">
        <v>12.86</v>
      </c>
      <c r="BN951" s="2">
        <v>104.71</v>
      </c>
      <c r="BO951" s="2">
        <v>104.71</v>
      </c>
      <c r="BQ951" s="2" t="s">
        <v>82</v>
      </c>
      <c r="BR951" s="2" t="s">
        <v>103</v>
      </c>
      <c r="BS951" s="3">
        <v>43077</v>
      </c>
      <c r="BT951" s="4">
        <v>0.45902777777777781</v>
      </c>
      <c r="BU951" s="2" t="s">
        <v>1483</v>
      </c>
      <c r="BV951" s="2" t="s">
        <v>89</v>
      </c>
      <c r="BW951" s="2" t="s">
        <v>149</v>
      </c>
      <c r="BX951" s="2" t="s">
        <v>246</v>
      </c>
      <c r="BY951" s="2">
        <v>7878.65</v>
      </c>
      <c r="CA951" s="2" t="s">
        <v>412</v>
      </c>
      <c r="CC951" s="2" t="s">
        <v>174</v>
      </c>
      <c r="CD951" s="2">
        <v>7580</v>
      </c>
      <c r="CE951" s="2" t="s">
        <v>87</v>
      </c>
      <c r="CF951" s="3">
        <v>43080</v>
      </c>
      <c r="CI951" s="2">
        <v>1</v>
      </c>
      <c r="CJ951" s="2">
        <v>2</v>
      </c>
      <c r="CK951" s="2">
        <v>21</v>
      </c>
      <c r="CL951" s="2" t="s">
        <v>89</v>
      </c>
    </row>
    <row r="952" spans="1:90">
      <c r="A952" s="2" t="s">
        <v>71</v>
      </c>
      <c r="B952" s="2" t="s">
        <v>72</v>
      </c>
      <c r="C952" s="2" t="s">
        <v>73</v>
      </c>
      <c r="E952" s="2" t="str">
        <f>"FES1162594202"</f>
        <v>FES1162594202</v>
      </c>
      <c r="F952" s="3">
        <v>43075</v>
      </c>
      <c r="G952" s="2">
        <v>201806</v>
      </c>
      <c r="H952" s="2" t="s">
        <v>74</v>
      </c>
      <c r="I952" s="2" t="s">
        <v>75</v>
      </c>
      <c r="J952" s="2" t="s">
        <v>97</v>
      </c>
      <c r="K952" s="2" t="s">
        <v>77</v>
      </c>
      <c r="L952" s="2" t="s">
        <v>136</v>
      </c>
      <c r="M952" s="2" t="s">
        <v>137</v>
      </c>
      <c r="N952" s="2" t="s">
        <v>1457</v>
      </c>
      <c r="O952" s="2" t="s">
        <v>101</v>
      </c>
      <c r="P952" s="2" t="str">
        <f>"2170603881                    "</f>
        <v xml:space="preserve">2170603881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6.43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45.93</v>
      </c>
      <c r="BM952" s="2">
        <v>6.43</v>
      </c>
      <c r="BN952" s="2">
        <v>52.36</v>
      </c>
      <c r="BO952" s="2">
        <v>52.36</v>
      </c>
      <c r="BQ952" s="2" t="s">
        <v>1458</v>
      </c>
      <c r="BR952" s="2" t="s">
        <v>103</v>
      </c>
      <c r="BS952" s="3">
        <v>43076</v>
      </c>
      <c r="BT952" s="4">
        <v>0.34166666666666662</v>
      </c>
      <c r="BU952" s="2" t="s">
        <v>1459</v>
      </c>
      <c r="BV952" s="2" t="s">
        <v>85</v>
      </c>
      <c r="BY952" s="2">
        <v>1200</v>
      </c>
      <c r="BZ952" s="2" t="s">
        <v>27</v>
      </c>
      <c r="CA952" s="2" t="s">
        <v>140</v>
      </c>
      <c r="CC952" s="2" t="s">
        <v>137</v>
      </c>
      <c r="CD952" s="2">
        <v>6001</v>
      </c>
      <c r="CE952" s="2" t="s">
        <v>120</v>
      </c>
      <c r="CF952" s="3">
        <v>43077</v>
      </c>
      <c r="CI952" s="2">
        <v>1</v>
      </c>
      <c r="CJ952" s="2">
        <v>1</v>
      </c>
      <c r="CK952" s="2">
        <v>21</v>
      </c>
      <c r="CL952" s="2" t="s">
        <v>89</v>
      </c>
    </row>
    <row r="953" spans="1:90">
      <c r="A953" s="2" t="s">
        <v>71</v>
      </c>
      <c r="B953" s="2" t="s">
        <v>72</v>
      </c>
      <c r="C953" s="2" t="s">
        <v>73</v>
      </c>
      <c r="E953" s="2" t="str">
        <f>"FES1162594431"</f>
        <v>FES1162594431</v>
      </c>
      <c r="F953" s="3">
        <v>43075</v>
      </c>
      <c r="G953" s="2">
        <v>201806</v>
      </c>
      <c r="H953" s="2" t="s">
        <v>74</v>
      </c>
      <c r="I953" s="2" t="s">
        <v>75</v>
      </c>
      <c r="J953" s="2" t="s">
        <v>97</v>
      </c>
      <c r="K953" s="2" t="s">
        <v>77</v>
      </c>
      <c r="L953" s="2" t="s">
        <v>212</v>
      </c>
      <c r="M953" s="2" t="s">
        <v>212</v>
      </c>
      <c r="N953" s="2" t="s">
        <v>1263</v>
      </c>
      <c r="O953" s="2" t="s">
        <v>101</v>
      </c>
      <c r="P953" s="2" t="str">
        <f>"2170606074                    "</f>
        <v xml:space="preserve">2170606074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6.43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45.93</v>
      </c>
      <c r="BM953" s="2">
        <v>6.43</v>
      </c>
      <c r="BN953" s="2">
        <v>52.36</v>
      </c>
      <c r="BO953" s="2">
        <v>52.36</v>
      </c>
      <c r="BQ953" s="2" t="s">
        <v>82</v>
      </c>
      <c r="BR953" s="2" t="s">
        <v>103</v>
      </c>
      <c r="BS953" s="3">
        <v>43077</v>
      </c>
      <c r="BT953" s="4">
        <v>0.59930555555555554</v>
      </c>
      <c r="BU953" s="2" t="s">
        <v>1415</v>
      </c>
      <c r="BV953" s="2" t="s">
        <v>89</v>
      </c>
      <c r="BW953" s="2" t="s">
        <v>471</v>
      </c>
      <c r="BX953" s="2" t="s">
        <v>246</v>
      </c>
      <c r="BY953" s="2">
        <v>1200</v>
      </c>
      <c r="CA953" s="2" t="s">
        <v>532</v>
      </c>
      <c r="CC953" s="2" t="s">
        <v>212</v>
      </c>
      <c r="CD953" s="2">
        <v>7646</v>
      </c>
      <c r="CE953" s="2" t="s">
        <v>120</v>
      </c>
      <c r="CF953" s="3">
        <v>43077</v>
      </c>
      <c r="CI953" s="2">
        <v>1</v>
      </c>
      <c r="CJ953" s="2">
        <v>2</v>
      </c>
      <c r="CK953" s="2">
        <v>21</v>
      </c>
      <c r="CL953" s="2" t="s">
        <v>89</v>
      </c>
    </row>
    <row r="954" spans="1:90">
      <c r="A954" s="2" t="s">
        <v>71</v>
      </c>
      <c r="B954" s="2" t="s">
        <v>72</v>
      </c>
      <c r="C954" s="2" t="s">
        <v>73</v>
      </c>
      <c r="E954" s="2" t="str">
        <f>"FES1162594115"</f>
        <v>FES1162594115</v>
      </c>
      <c r="F954" s="3">
        <v>43075</v>
      </c>
      <c r="G954" s="2">
        <v>201806</v>
      </c>
      <c r="H954" s="2" t="s">
        <v>74</v>
      </c>
      <c r="I954" s="2" t="s">
        <v>75</v>
      </c>
      <c r="J954" s="2" t="s">
        <v>97</v>
      </c>
      <c r="K954" s="2" t="s">
        <v>77</v>
      </c>
      <c r="L954" s="2" t="s">
        <v>136</v>
      </c>
      <c r="M954" s="2" t="s">
        <v>137</v>
      </c>
      <c r="N954" s="2" t="s">
        <v>138</v>
      </c>
      <c r="O954" s="2" t="s">
        <v>101</v>
      </c>
      <c r="P954" s="2" t="str">
        <f>"2170598601                    "</f>
        <v xml:space="preserve">2170598601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6.43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45.93</v>
      </c>
      <c r="BM954" s="2">
        <v>6.43</v>
      </c>
      <c r="BN954" s="2">
        <v>52.36</v>
      </c>
      <c r="BO954" s="2">
        <v>52.36</v>
      </c>
      <c r="BQ954" s="2" t="s">
        <v>82</v>
      </c>
      <c r="BR954" s="2" t="s">
        <v>103</v>
      </c>
      <c r="BS954" s="3">
        <v>43076</v>
      </c>
      <c r="BT954" s="4">
        <v>0.35416666666666669</v>
      </c>
      <c r="BU954" s="2" t="s">
        <v>139</v>
      </c>
      <c r="BV954" s="2" t="s">
        <v>85</v>
      </c>
      <c r="BY954" s="2">
        <v>1200</v>
      </c>
      <c r="BZ954" s="2" t="s">
        <v>27</v>
      </c>
      <c r="CA954" s="2" t="s">
        <v>140</v>
      </c>
      <c r="CC954" s="2" t="s">
        <v>137</v>
      </c>
      <c r="CD954" s="2">
        <v>6001</v>
      </c>
      <c r="CE954" s="2" t="s">
        <v>120</v>
      </c>
      <c r="CF954" s="3">
        <v>43077</v>
      </c>
      <c r="CI954" s="2">
        <v>1</v>
      </c>
      <c r="CJ954" s="2">
        <v>1</v>
      </c>
      <c r="CK954" s="2">
        <v>21</v>
      </c>
      <c r="CL954" s="2" t="s">
        <v>89</v>
      </c>
    </row>
    <row r="955" spans="1:90">
      <c r="A955" s="2" t="s">
        <v>71</v>
      </c>
      <c r="B955" s="2" t="s">
        <v>72</v>
      </c>
      <c r="C955" s="2" t="s">
        <v>73</v>
      </c>
      <c r="E955" s="2" t="str">
        <f>"FES1162594242"</f>
        <v>FES1162594242</v>
      </c>
      <c r="F955" s="3">
        <v>43075</v>
      </c>
      <c r="G955" s="2">
        <v>201806</v>
      </c>
      <c r="H955" s="2" t="s">
        <v>74</v>
      </c>
      <c r="I955" s="2" t="s">
        <v>75</v>
      </c>
      <c r="J955" s="2" t="s">
        <v>97</v>
      </c>
      <c r="K955" s="2" t="s">
        <v>77</v>
      </c>
      <c r="L955" s="2" t="s">
        <v>168</v>
      </c>
      <c r="M955" s="2" t="s">
        <v>169</v>
      </c>
      <c r="N955" s="2" t="s">
        <v>764</v>
      </c>
      <c r="O955" s="2" t="s">
        <v>101</v>
      </c>
      <c r="P955" s="2" t="str">
        <f>"2170605131                    "</f>
        <v xml:space="preserve">2170605131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6.43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45.93</v>
      </c>
      <c r="BM955" s="2">
        <v>6.43</v>
      </c>
      <c r="BN955" s="2">
        <v>52.36</v>
      </c>
      <c r="BO955" s="2">
        <v>52.36</v>
      </c>
      <c r="BQ955" s="2" t="s">
        <v>765</v>
      </c>
      <c r="BR955" s="2" t="s">
        <v>103</v>
      </c>
      <c r="BS955" s="3">
        <v>43076</v>
      </c>
      <c r="BT955" s="4">
        <v>0.55138888888888882</v>
      </c>
      <c r="BU955" s="2" t="s">
        <v>1484</v>
      </c>
      <c r="BV955" s="2" t="s">
        <v>89</v>
      </c>
      <c r="BW955" s="2" t="s">
        <v>149</v>
      </c>
      <c r="BX955" s="2" t="s">
        <v>594</v>
      </c>
      <c r="BY955" s="2">
        <v>1200</v>
      </c>
      <c r="CA955" s="2" t="s">
        <v>1235</v>
      </c>
      <c r="CC955" s="2" t="s">
        <v>169</v>
      </c>
      <c r="CD955" s="2">
        <v>3610</v>
      </c>
      <c r="CE955" s="2" t="s">
        <v>120</v>
      </c>
      <c r="CF955" s="3">
        <v>43080</v>
      </c>
      <c r="CI955" s="2">
        <v>1</v>
      </c>
      <c r="CJ955" s="2">
        <v>1</v>
      </c>
      <c r="CK955" s="2">
        <v>21</v>
      </c>
      <c r="CL955" s="2" t="s">
        <v>89</v>
      </c>
    </row>
    <row r="956" spans="1:90">
      <c r="A956" s="2" t="s">
        <v>71</v>
      </c>
      <c r="B956" s="2" t="s">
        <v>72</v>
      </c>
      <c r="C956" s="2" t="s">
        <v>73</v>
      </c>
      <c r="E956" s="2" t="str">
        <f>"FES1162594434"</f>
        <v>FES1162594434</v>
      </c>
      <c r="F956" s="3">
        <v>43075</v>
      </c>
      <c r="G956" s="2">
        <v>201806</v>
      </c>
      <c r="H956" s="2" t="s">
        <v>74</v>
      </c>
      <c r="I956" s="2" t="s">
        <v>75</v>
      </c>
      <c r="J956" s="2" t="s">
        <v>97</v>
      </c>
      <c r="K956" s="2" t="s">
        <v>77</v>
      </c>
      <c r="L956" s="2" t="s">
        <v>106</v>
      </c>
      <c r="M956" s="2" t="s">
        <v>107</v>
      </c>
      <c r="N956" s="2" t="s">
        <v>338</v>
      </c>
      <c r="O956" s="2" t="s">
        <v>101</v>
      </c>
      <c r="P956" s="2" t="str">
        <f>"21706280                      "</f>
        <v xml:space="preserve">21706280  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5.03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1</v>
      </c>
      <c r="BJ956" s="2">
        <v>0.2</v>
      </c>
      <c r="BK956" s="2">
        <v>1</v>
      </c>
      <c r="BL956" s="2">
        <v>35.89</v>
      </c>
      <c r="BM956" s="2">
        <v>5.0199999999999996</v>
      </c>
      <c r="BN956" s="2">
        <v>40.909999999999997</v>
      </c>
      <c r="BO956" s="2">
        <v>40.909999999999997</v>
      </c>
      <c r="BQ956" s="2" t="s">
        <v>1485</v>
      </c>
      <c r="BR956" s="2" t="s">
        <v>103</v>
      </c>
      <c r="BS956" s="3">
        <v>43076</v>
      </c>
      <c r="BT956" s="4">
        <v>0.4548611111111111</v>
      </c>
      <c r="BU956" s="2" t="s">
        <v>1486</v>
      </c>
      <c r="BV956" s="2" t="s">
        <v>85</v>
      </c>
      <c r="BY956" s="2">
        <v>1200</v>
      </c>
      <c r="CA956" s="2" t="s">
        <v>110</v>
      </c>
      <c r="CC956" s="2" t="s">
        <v>107</v>
      </c>
      <c r="CD956" s="2">
        <v>2001</v>
      </c>
      <c r="CE956" s="2" t="s">
        <v>120</v>
      </c>
      <c r="CF956" s="3">
        <v>43080</v>
      </c>
      <c r="CI956" s="2">
        <v>1</v>
      </c>
      <c r="CJ956" s="2">
        <v>1</v>
      </c>
      <c r="CK956" s="2">
        <v>22</v>
      </c>
      <c r="CL956" s="2" t="s">
        <v>89</v>
      </c>
    </row>
    <row r="957" spans="1:90">
      <c r="A957" s="2" t="s">
        <v>71</v>
      </c>
      <c r="B957" s="2" t="s">
        <v>72</v>
      </c>
      <c r="C957" s="2" t="s">
        <v>73</v>
      </c>
      <c r="E957" s="2" t="str">
        <f>"FES1162594515"</f>
        <v>FES1162594515</v>
      </c>
      <c r="F957" s="3">
        <v>43075</v>
      </c>
      <c r="G957" s="2">
        <v>201806</v>
      </c>
      <c r="H957" s="2" t="s">
        <v>74</v>
      </c>
      <c r="I957" s="2" t="s">
        <v>75</v>
      </c>
      <c r="J957" s="2" t="s">
        <v>97</v>
      </c>
      <c r="K957" s="2" t="s">
        <v>77</v>
      </c>
      <c r="L957" s="2" t="s">
        <v>1487</v>
      </c>
      <c r="M957" s="2" t="s">
        <v>1487</v>
      </c>
      <c r="N957" s="2" t="s">
        <v>1488</v>
      </c>
      <c r="O957" s="2" t="s">
        <v>101</v>
      </c>
      <c r="P957" s="2" t="str">
        <f>"2170606381                    "</f>
        <v xml:space="preserve">2170606381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6.43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45.93</v>
      </c>
      <c r="BM957" s="2">
        <v>6.43</v>
      </c>
      <c r="BN957" s="2">
        <v>52.36</v>
      </c>
      <c r="BO957" s="2">
        <v>52.36</v>
      </c>
      <c r="BQ957" s="2" t="s">
        <v>1489</v>
      </c>
      <c r="BR957" s="2" t="s">
        <v>103</v>
      </c>
      <c r="BS957" s="3">
        <v>43081</v>
      </c>
      <c r="BT957" s="4">
        <v>0.33333333333333331</v>
      </c>
      <c r="BU957" s="2" t="s">
        <v>1490</v>
      </c>
      <c r="BV957" s="2" t="s">
        <v>85</v>
      </c>
      <c r="BY957" s="2">
        <v>1200</v>
      </c>
      <c r="CC957" s="2" t="s">
        <v>1487</v>
      </c>
      <c r="CD957" s="2">
        <v>8446</v>
      </c>
      <c r="CE957" s="2" t="s">
        <v>120</v>
      </c>
      <c r="CF957" s="3">
        <v>43083</v>
      </c>
      <c r="CI957" s="2">
        <v>3</v>
      </c>
      <c r="CJ957" s="2">
        <v>3</v>
      </c>
      <c r="CK957" s="2">
        <v>21</v>
      </c>
      <c r="CL957" s="2" t="s">
        <v>89</v>
      </c>
    </row>
    <row r="958" spans="1:90">
      <c r="A958" s="2" t="s">
        <v>71</v>
      </c>
      <c r="B958" s="2" t="s">
        <v>72</v>
      </c>
      <c r="C958" s="2" t="s">
        <v>73</v>
      </c>
      <c r="E958" s="2" t="str">
        <f>"FES1162594216"</f>
        <v>FES1162594216</v>
      </c>
      <c r="F958" s="3">
        <v>43075</v>
      </c>
      <c r="G958" s="2">
        <v>201806</v>
      </c>
      <c r="H958" s="2" t="s">
        <v>74</v>
      </c>
      <c r="I958" s="2" t="s">
        <v>75</v>
      </c>
      <c r="J958" s="2" t="s">
        <v>97</v>
      </c>
      <c r="K958" s="2" t="s">
        <v>77</v>
      </c>
      <c r="L958" s="2" t="s">
        <v>136</v>
      </c>
      <c r="M958" s="2" t="s">
        <v>137</v>
      </c>
      <c r="N958" s="2" t="s">
        <v>178</v>
      </c>
      <c r="O958" s="2" t="s">
        <v>101</v>
      </c>
      <c r="P958" s="2" t="str">
        <f>"2170604241                    "</f>
        <v xml:space="preserve">2170604241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6.43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45.93</v>
      </c>
      <c r="BM958" s="2">
        <v>6.43</v>
      </c>
      <c r="BN958" s="2">
        <v>52.36</v>
      </c>
      <c r="BO958" s="2">
        <v>52.36</v>
      </c>
      <c r="BQ958" s="2" t="s">
        <v>102</v>
      </c>
      <c r="BR958" s="2" t="s">
        <v>103</v>
      </c>
      <c r="BS958" s="3">
        <v>43076</v>
      </c>
      <c r="BT958" s="4">
        <v>0.4375</v>
      </c>
      <c r="BU958" s="2" t="s">
        <v>179</v>
      </c>
      <c r="BV958" s="2" t="s">
        <v>85</v>
      </c>
      <c r="BY958" s="2">
        <v>1200</v>
      </c>
      <c r="CA958" s="2" t="s">
        <v>180</v>
      </c>
      <c r="CC958" s="2" t="s">
        <v>137</v>
      </c>
      <c r="CD958" s="2">
        <v>6001</v>
      </c>
      <c r="CE958" s="2" t="s">
        <v>120</v>
      </c>
      <c r="CF958" s="3">
        <v>43080</v>
      </c>
      <c r="CI958" s="2">
        <v>1</v>
      </c>
      <c r="CJ958" s="2">
        <v>1</v>
      </c>
      <c r="CK958" s="2">
        <v>21</v>
      </c>
      <c r="CL958" s="2" t="s">
        <v>89</v>
      </c>
    </row>
    <row r="959" spans="1:90">
      <c r="A959" s="2" t="s">
        <v>71</v>
      </c>
      <c r="B959" s="2" t="s">
        <v>72</v>
      </c>
      <c r="C959" s="2" t="s">
        <v>73</v>
      </c>
      <c r="E959" s="2" t="str">
        <f>"FES1162594507"</f>
        <v>FES1162594507</v>
      </c>
      <c r="F959" s="3">
        <v>43075</v>
      </c>
      <c r="G959" s="2">
        <v>201806</v>
      </c>
      <c r="H959" s="2" t="s">
        <v>74</v>
      </c>
      <c r="I959" s="2" t="s">
        <v>75</v>
      </c>
      <c r="J959" s="2" t="s">
        <v>97</v>
      </c>
      <c r="K959" s="2" t="s">
        <v>77</v>
      </c>
      <c r="L959" s="2" t="s">
        <v>168</v>
      </c>
      <c r="M959" s="2" t="s">
        <v>169</v>
      </c>
      <c r="N959" s="2" t="s">
        <v>764</v>
      </c>
      <c r="O959" s="2" t="s">
        <v>101</v>
      </c>
      <c r="P959" s="2" t="str">
        <f>"217060801                     "</f>
        <v xml:space="preserve">217060801 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8.0399999999999991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1.2</v>
      </c>
      <c r="BJ959" s="2">
        <v>2.1</v>
      </c>
      <c r="BK959" s="2">
        <v>2.5</v>
      </c>
      <c r="BL959" s="2">
        <v>57.41</v>
      </c>
      <c r="BM959" s="2">
        <v>8.0399999999999991</v>
      </c>
      <c r="BN959" s="2">
        <v>65.45</v>
      </c>
      <c r="BO959" s="2">
        <v>65.45</v>
      </c>
      <c r="BQ959" s="2" t="s">
        <v>765</v>
      </c>
      <c r="BR959" s="2" t="s">
        <v>103</v>
      </c>
      <c r="BS959" s="3">
        <v>43076</v>
      </c>
      <c r="BT959" s="4">
        <v>0.36736111111111108</v>
      </c>
      <c r="BU959" s="2" t="s">
        <v>1484</v>
      </c>
      <c r="BV959" s="2" t="s">
        <v>85</v>
      </c>
      <c r="BY959" s="2">
        <v>10646.64</v>
      </c>
      <c r="CA959" s="2" t="s">
        <v>1235</v>
      </c>
      <c r="CC959" s="2" t="s">
        <v>169</v>
      </c>
      <c r="CD959" s="2">
        <v>3610</v>
      </c>
      <c r="CE959" s="2" t="s">
        <v>120</v>
      </c>
      <c r="CF959" s="3">
        <v>43080</v>
      </c>
      <c r="CI959" s="2">
        <v>1</v>
      </c>
      <c r="CJ959" s="2">
        <v>1</v>
      </c>
      <c r="CK959" s="2">
        <v>21</v>
      </c>
      <c r="CL959" s="2" t="s">
        <v>89</v>
      </c>
    </row>
    <row r="960" spans="1:90">
      <c r="A960" s="2" t="s">
        <v>71</v>
      </c>
      <c r="B960" s="2" t="s">
        <v>72</v>
      </c>
      <c r="C960" s="2" t="s">
        <v>73</v>
      </c>
      <c r="E960" s="2" t="str">
        <f>"FES1162594138"</f>
        <v>FES1162594138</v>
      </c>
      <c r="F960" s="3">
        <v>43075</v>
      </c>
      <c r="G960" s="2">
        <v>201806</v>
      </c>
      <c r="H960" s="2" t="s">
        <v>74</v>
      </c>
      <c r="I960" s="2" t="s">
        <v>75</v>
      </c>
      <c r="J960" s="2" t="s">
        <v>97</v>
      </c>
      <c r="K960" s="2" t="s">
        <v>77</v>
      </c>
      <c r="L960" s="2" t="s">
        <v>145</v>
      </c>
      <c r="M960" s="2" t="s">
        <v>146</v>
      </c>
      <c r="N960" s="2" t="s">
        <v>1188</v>
      </c>
      <c r="O960" s="2" t="s">
        <v>101</v>
      </c>
      <c r="P960" s="2" t="str">
        <f>"2170602615                    "</f>
        <v xml:space="preserve">2170602615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6.43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1</v>
      </c>
      <c r="BJ960" s="2">
        <v>0.2</v>
      </c>
      <c r="BK960" s="2">
        <v>1</v>
      </c>
      <c r="BL960" s="2">
        <v>45.93</v>
      </c>
      <c r="BM960" s="2">
        <v>6.43</v>
      </c>
      <c r="BN960" s="2">
        <v>52.36</v>
      </c>
      <c r="BO960" s="2">
        <v>52.36</v>
      </c>
      <c r="BQ960" s="2" t="s">
        <v>82</v>
      </c>
      <c r="BR960" s="2" t="s">
        <v>103</v>
      </c>
      <c r="BS960" s="3">
        <v>43076</v>
      </c>
      <c r="BT960" s="4">
        <v>0.37847222222222227</v>
      </c>
      <c r="BU960" s="2" t="s">
        <v>1491</v>
      </c>
      <c r="BV960" s="2" t="s">
        <v>85</v>
      </c>
      <c r="BY960" s="2">
        <v>1200</v>
      </c>
      <c r="CA960" s="2" t="s">
        <v>629</v>
      </c>
      <c r="CC960" s="2" t="s">
        <v>146</v>
      </c>
      <c r="CD960" s="2">
        <v>5201</v>
      </c>
      <c r="CE960" s="2" t="s">
        <v>120</v>
      </c>
      <c r="CF960" s="3">
        <v>43080</v>
      </c>
      <c r="CI960" s="2">
        <v>1</v>
      </c>
      <c r="CJ960" s="2">
        <v>1</v>
      </c>
      <c r="CK960" s="2">
        <v>21</v>
      </c>
      <c r="CL960" s="2" t="s">
        <v>89</v>
      </c>
    </row>
    <row r="961" spans="1:90">
      <c r="A961" s="2" t="s">
        <v>71</v>
      </c>
      <c r="B961" s="2" t="s">
        <v>72</v>
      </c>
      <c r="C961" s="2" t="s">
        <v>73</v>
      </c>
      <c r="E961" s="2" t="str">
        <f>"FES1162592323"</f>
        <v>FES1162592323</v>
      </c>
      <c r="F961" s="3">
        <v>43075</v>
      </c>
      <c r="G961" s="2">
        <v>201806</v>
      </c>
      <c r="H961" s="2" t="s">
        <v>74</v>
      </c>
      <c r="I961" s="2" t="s">
        <v>75</v>
      </c>
      <c r="J961" s="2" t="s">
        <v>97</v>
      </c>
      <c r="K961" s="2" t="s">
        <v>77</v>
      </c>
      <c r="L961" s="2" t="s">
        <v>168</v>
      </c>
      <c r="M961" s="2" t="s">
        <v>169</v>
      </c>
      <c r="N961" s="2" t="s">
        <v>1492</v>
      </c>
      <c r="O961" s="2" t="s">
        <v>101</v>
      </c>
      <c r="P961" s="2" t="str">
        <f>"2170596733                    "</f>
        <v xml:space="preserve">2170596733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6.43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0.2</v>
      </c>
      <c r="BK961" s="2">
        <v>1</v>
      </c>
      <c r="BL961" s="2">
        <v>45.93</v>
      </c>
      <c r="BM961" s="2">
        <v>6.43</v>
      </c>
      <c r="BN961" s="2">
        <v>52.36</v>
      </c>
      <c r="BO961" s="2">
        <v>52.36</v>
      </c>
      <c r="BQ961" s="2" t="s">
        <v>82</v>
      </c>
      <c r="BR961" s="2" t="s">
        <v>103</v>
      </c>
      <c r="BS961" s="3">
        <v>43076</v>
      </c>
      <c r="BT961" s="4">
        <v>0.54791666666666672</v>
      </c>
      <c r="BU961" s="2" t="s">
        <v>1493</v>
      </c>
      <c r="BV961" s="2" t="s">
        <v>89</v>
      </c>
      <c r="BW961" s="2" t="s">
        <v>149</v>
      </c>
      <c r="BX961" s="2" t="s">
        <v>594</v>
      </c>
      <c r="BY961" s="2">
        <v>1200</v>
      </c>
      <c r="CA961" s="2" t="s">
        <v>1235</v>
      </c>
      <c r="CC961" s="2" t="s">
        <v>169</v>
      </c>
      <c r="CD961" s="2">
        <v>3610</v>
      </c>
      <c r="CE961" s="2" t="s">
        <v>120</v>
      </c>
      <c r="CF961" s="3">
        <v>43080</v>
      </c>
      <c r="CI961" s="2">
        <v>1</v>
      </c>
      <c r="CJ961" s="2">
        <v>1</v>
      </c>
      <c r="CK961" s="2">
        <v>21</v>
      </c>
      <c r="CL961" s="2" t="s">
        <v>89</v>
      </c>
    </row>
    <row r="962" spans="1:90">
      <c r="A962" s="2" t="s">
        <v>71</v>
      </c>
      <c r="B962" s="2" t="s">
        <v>72</v>
      </c>
      <c r="C962" s="2" t="s">
        <v>73</v>
      </c>
      <c r="E962" s="2" t="str">
        <f>"FES1162594125"</f>
        <v>FES1162594125</v>
      </c>
      <c r="F962" s="3">
        <v>43075</v>
      </c>
      <c r="G962" s="2">
        <v>201806</v>
      </c>
      <c r="H962" s="2" t="s">
        <v>74</v>
      </c>
      <c r="I962" s="2" t="s">
        <v>75</v>
      </c>
      <c r="J962" s="2" t="s">
        <v>97</v>
      </c>
      <c r="K962" s="2" t="s">
        <v>77</v>
      </c>
      <c r="L962" s="2" t="s">
        <v>173</v>
      </c>
      <c r="M962" s="2" t="s">
        <v>174</v>
      </c>
      <c r="N962" s="2" t="s">
        <v>376</v>
      </c>
      <c r="O962" s="2" t="s">
        <v>101</v>
      </c>
      <c r="P962" s="2" t="str">
        <f>"2170601772                    "</f>
        <v xml:space="preserve">2170601772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6.43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45.93</v>
      </c>
      <c r="BM962" s="2">
        <v>6.43</v>
      </c>
      <c r="BN962" s="2">
        <v>52.36</v>
      </c>
      <c r="BO962" s="2">
        <v>52.36</v>
      </c>
      <c r="BQ962" s="2" t="s">
        <v>102</v>
      </c>
      <c r="BR962" s="2" t="s">
        <v>103</v>
      </c>
      <c r="BS962" s="3">
        <v>43076</v>
      </c>
      <c r="BT962" s="4">
        <v>0.47847222222222219</v>
      </c>
      <c r="BU962" s="2" t="s">
        <v>536</v>
      </c>
      <c r="BV962" s="2" t="s">
        <v>89</v>
      </c>
      <c r="BW962" s="2" t="s">
        <v>149</v>
      </c>
      <c r="BX962" s="2" t="s">
        <v>246</v>
      </c>
      <c r="BY962" s="2">
        <v>1200</v>
      </c>
      <c r="CA962" s="2" t="s">
        <v>378</v>
      </c>
      <c r="CC962" s="2" t="s">
        <v>174</v>
      </c>
      <c r="CD962" s="2">
        <v>7490</v>
      </c>
      <c r="CE962" s="2" t="s">
        <v>120</v>
      </c>
      <c r="CF962" s="3">
        <v>43077</v>
      </c>
      <c r="CI962" s="2">
        <v>1</v>
      </c>
      <c r="CJ962" s="2">
        <v>1</v>
      </c>
      <c r="CK962" s="2">
        <v>21</v>
      </c>
      <c r="CL962" s="2" t="s">
        <v>89</v>
      </c>
    </row>
    <row r="963" spans="1:90">
      <c r="A963" s="2" t="s">
        <v>71</v>
      </c>
      <c r="B963" s="2" t="s">
        <v>72</v>
      </c>
      <c r="C963" s="2" t="s">
        <v>73</v>
      </c>
      <c r="E963" s="2" t="str">
        <f>"FES1162594268"</f>
        <v>FES1162594268</v>
      </c>
      <c r="F963" s="3">
        <v>43075</v>
      </c>
      <c r="G963" s="2">
        <v>201806</v>
      </c>
      <c r="H963" s="2" t="s">
        <v>74</v>
      </c>
      <c r="I963" s="2" t="s">
        <v>75</v>
      </c>
      <c r="J963" s="2" t="s">
        <v>97</v>
      </c>
      <c r="K963" s="2" t="s">
        <v>77</v>
      </c>
      <c r="L963" s="2" t="s">
        <v>131</v>
      </c>
      <c r="M963" s="2" t="s">
        <v>132</v>
      </c>
      <c r="N963" s="2" t="s">
        <v>228</v>
      </c>
      <c r="O963" s="2" t="s">
        <v>101</v>
      </c>
      <c r="P963" s="2" t="str">
        <f>"2170602727                    "</f>
        <v xml:space="preserve">2170602727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6.43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</v>
      </c>
      <c r="BJ963" s="2">
        <v>0.2</v>
      </c>
      <c r="BK963" s="2">
        <v>1</v>
      </c>
      <c r="BL963" s="2">
        <v>45.93</v>
      </c>
      <c r="BM963" s="2">
        <v>6.43</v>
      </c>
      <c r="BN963" s="2">
        <v>52.36</v>
      </c>
      <c r="BO963" s="2">
        <v>52.36</v>
      </c>
      <c r="BQ963" s="2" t="s">
        <v>229</v>
      </c>
      <c r="BR963" s="2" t="s">
        <v>103</v>
      </c>
      <c r="BS963" s="3">
        <v>43076</v>
      </c>
      <c r="BT963" s="4">
        <v>0.4236111111111111</v>
      </c>
      <c r="BU963" s="2" t="s">
        <v>230</v>
      </c>
      <c r="BV963" s="2" t="s">
        <v>85</v>
      </c>
      <c r="BY963" s="2">
        <v>1200</v>
      </c>
      <c r="CA963" s="2" t="s">
        <v>231</v>
      </c>
      <c r="CC963" s="2" t="s">
        <v>132</v>
      </c>
      <c r="CD963" s="2">
        <v>4300</v>
      </c>
      <c r="CE963" s="2" t="s">
        <v>120</v>
      </c>
      <c r="CF963" s="3">
        <v>43080</v>
      </c>
      <c r="CI963" s="2">
        <v>1</v>
      </c>
      <c r="CJ963" s="2">
        <v>1</v>
      </c>
      <c r="CK963" s="2">
        <v>21</v>
      </c>
      <c r="CL963" s="2" t="s">
        <v>89</v>
      </c>
    </row>
    <row r="964" spans="1:90">
      <c r="A964" s="2" t="s">
        <v>71</v>
      </c>
      <c r="B964" s="2" t="s">
        <v>72</v>
      </c>
      <c r="C964" s="2" t="s">
        <v>73</v>
      </c>
      <c r="E964" s="2" t="str">
        <f>"FES1162594364"</f>
        <v>FES1162594364</v>
      </c>
      <c r="F964" s="3">
        <v>43075</v>
      </c>
      <c r="G964" s="2">
        <v>201806</v>
      </c>
      <c r="H964" s="2" t="s">
        <v>74</v>
      </c>
      <c r="I964" s="2" t="s">
        <v>75</v>
      </c>
      <c r="J964" s="2" t="s">
        <v>97</v>
      </c>
      <c r="K964" s="2" t="s">
        <v>77</v>
      </c>
      <c r="L964" s="2" t="s">
        <v>152</v>
      </c>
      <c r="M964" s="2" t="s">
        <v>153</v>
      </c>
      <c r="N964" s="2" t="s">
        <v>1494</v>
      </c>
      <c r="O964" s="2" t="s">
        <v>101</v>
      </c>
      <c r="P964" s="2" t="str">
        <f>"2170606209                    "</f>
        <v xml:space="preserve">2170606209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5.03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1</v>
      </c>
      <c r="BJ964" s="2">
        <v>0.2</v>
      </c>
      <c r="BK964" s="2">
        <v>1</v>
      </c>
      <c r="BL964" s="2">
        <v>35.89</v>
      </c>
      <c r="BM964" s="2">
        <v>5.0199999999999996</v>
      </c>
      <c r="BN964" s="2">
        <v>40.909999999999997</v>
      </c>
      <c r="BO964" s="2">
        <v>40.909999999999997</v>
      </c>
      <c r="BQ964" s="2" t="s">
        <v>1495</v>
      </c>
      <c r="BR964" s="2" t="s">
        <v>103</v>
      </c>
      <c r="BS964" s="3">
        <v>43076</v>
      </c>
      <c r="BT964" s="4">
        <v>0.40416666666666662</v>
      </c>
      <c r="BU964" s="2" t="s">
        <v>1435</v>
      </c>
      <c r="BV964" s="2" t="s">
        <v>85</v>
      </c>
      <c r="BY964" s="2">
        <v>1200</v>
      </c>
      <c r="CA964" s="2" t="s">
        <v>439</v>
      </c>
      <c r="CC964" s="2" t="s">
        <v>153</v>
      </c>
      <c r="CD964" s="2">
        <v>1428</v>
      </c>
      <c r="CE964" s="2" t="s">
        <v>120</v>
      </c>
      <c r="CF964" s="3">
        <v>43089</v>
      </c>
      <c r="CI964" s="2">
        <v>1</v>
      </c>
      <c r="CJ964" s="2">
        <v>1</v>
      </c>
      <c r="CK964" s="2">
        <v>22</v>
      </c>
      <c r="CL964" s="2" t="s">
        <v>89</v>
      </c>
    </row>
    <row r="965" spans="1:90">
      <c r="A965" s="2" t="s">
        <v>71</v>
      </c>
      <c r="B965" s="2" t="s">
        <v>72</v>
      </c>
      <c r="C965" s="2" t="s">
        <v>73</v>
      </c>
      <c r="E965" s="2" t="str">
        <f>"FES1162594506"</f>
        <v>FES1162594506</v>
      </c>
      <c r="F965" s="3">
        <v>43075</v>
      </c>
      <c r="G965" s="2">
        <v>201806</v>
      </c>
      <c r="H965" s="2" t="s">
        <v>74</v>
      </c>
      <c r="I965" s="2" t="s">
        <v>75</v>
      </c>
      <c r="J965" s="2" t="s">
        <v>97</v>
      </c>
      <c r="K965" s="2" t="s">
        <v>77</v>
      </c>
      <c r="L965" s="2" t="s">
        <v>98</v>
      </c>
      <c r="M965" s="2" t="s">
        <v>99</v>
      </c>
      <c r="N965" s="2" t="s">
        <v>670</v>
      </c>
      <c r="O965" s="2" t="s">
        <v>101</v>
      </c>
      <c r="P965" s="2" t="str">
        <f>"2170606371                    "</f>
        <v xml:space="preserve">2170606371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6.43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45.93</v>
      </c>
      <c r="BM965" s="2">
        <v>6.43</v>
      </c>
      <c r="BN965" s="2">
        <v>52.36</v>
      </c>
      <c r="BO965" s="2">
        <v>52.36</v>
      </c>
      <c r="BQ965" s="2" t="s">
        <v>102</v>
      </c>
      <c r="BR965" s="2" t="s">
        <v>103</v>
      </c>
      <c r="BS965" s="3">
        <v>43076</v>
      </c>
      <c r="BT965" s="4">
        <v>0.66111111111111109</v>
      </c>
      <c r="BU965" s="2" t="s">
        <v>1425</v>
      </c>
      <c r="BV965" s="2" t="s">
        <v>89</v>
      </c>
      <c r="BY965" s="2">
        <v>1200</v>
      </c>
      <c r="CA965" s="2" t="s">
        <v>1426</v>
      </c>
      <c r="CC965" s="2" t="s">
        <v>99</v>
      </c>
      <c r="CD965" s="2">
        <v>3200</v>
      </c>
      <c r="CE965" s="2" t="s">
        <v>120</v>
      </c>
      <c r="CF965" s="3">
        <v>43080</v>
      </c>
      <c r="CI965" s="2">
        <v>1</v>
      </c>
      <c r="CJ965" s="2">
        <v>1</v>
      </c>
      <c r="CK965" s="2">
        <v>21</v>
      </c>
      <c r="CL965" s="2" t="s">
        <v>89</v>
      </c>
    </row>
    <row r="966" spans="1:90">
      <c r="A966" s="2" t="s">
        <v>71</v>
      </c>
      <c r="B966" s="2" t="s">
        <v>72</v>
      </c>
      <c r="C966" s="2" t="s">
        <v>73</v>
      </c>
      <c r="E966" s="2" t="str">
        <f>"FES1162594227"</f>
        <v>FES1162594227</v>
      </c>
      <c r="F966" s="3">
        <v>43075</v>
      </c>
      <c r="G966" s="2">
        <v>201806</v>
      </c>
      <c r="H966" s="2" t="s">
        <v>74</v>
      </c>
      <c r="I966" s="2" t="s">
        <v>75</v>
      </c>
      <c r="J966" s="2" t="s">
        <v>97</v>
      </c>
      <c r="K966" s="2" t="s">
        <v>77</v>
      </c>
      <c r="L966" s="2" t="s">
        <v>152</v>
      </c>
      <c r="M966" s="2" t="s">
        <v>153</v>
      </c>
      <c r="N966" s="2" t="s">
        <v>1447</v>
      </c>
      <c r="O966" s="2" t="s">
        <v>101</v>
      </c>
      <c r="P966" s="2" t="str">
        <f>"2170604673                    "</f>
        <v xml:space="preserve">2170604673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5.63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5.4</v>
      </c>
      <c r="BJ966" s="2">
        <v>8.6</v>
      </c>
      <c r="BK966" s="2">
        <v>9</v>
      </c>
      <c r="BL966" s="2">
        <v>40.19</v>
      </c>
      <c r="BM966" s="2">
        <v>5.63</v>
      </c>
      <c r="BN966" s="2">
        <v>45.82</v>
      </c>
      <c r="BO966" s="2">
        <v>45.82</v>
      </c>
      <c r="BQ966" s="2" t="s">
        <v>1448</v>
      </c>
      <c r="BR966" s="2" t="s">
        <v>103</v>
      </c>
      <c r="BS966" s="3">
        <v>43076</v>
      </c>
      <c r="BT966" s="4">
        <v>0.37777777777777777</v>
      </c>
      <c r="BU966" s="2" t="s">
        <v>1496</v>
      </c>
      <c r="BV966" s="2" t="s">
        <v>85</v>
      </c>
      <c r="BY966" s="2">
        <v>43047.94</v>
      </c>
      <c r="CA966" s="2" t="s">
        <v>337</v>
      </c>
      <c r="CC966" s="2" t="s">
        <v>153</v>
      </c>
      <c r="CD966" s="2">
        <v>1401</v>
      </c>
      <c r="CE966" s="2" t="s">
        <v>1004</v>
      </c>
      <c r="CF966" s="3">
        <v>43080</v>
      </c>
      <c r="CI966" s="2">
        <v>1</v>
      </c>
      <c r="CJ966" s="2">
        <v>1</v>
      </c>
      <c r="CK966" s="2">
        <v>22</v>
      </c>
      <c r="CL966" s="2" t="s">
        <v>89</v>
      </c>
    </row>
    <row r="967" spans="1:90">
      <c r="A967" s="2" t="s">
        <v>71</v>
      </c>
      <c r="B967" s="2" t="s">
        <v>72</v>
      </c>
      <c r="C967" s="2" t="s">
        <v>73</v>
      </c>
      <c r="E967" s="2" t="str">
        <f>"FES1162594347"</f>
        <v>FES1162594347</v>
      </c>
      <c r="F967" s="3">
        <v>43075</v>
      </c>
      <c r="G967" s="2">
        <v>201806</v>
      </c>
      <c r="H967" s="2" t="s">
        <v>74</v>
      </c>
      <c r="I967" s="2" t="s">
        <v>75</v>
      </c>
      <c r="J967" s="2" t="s">
        <v>97</v>
      </c>
      <c r="K967" s="2" t="s">
        <v>77</v>
      </c>
      <c r="L967" s="2" t="s">
        <v>106</v>
      </c>
      <c r="M967" s="2" t="s">
        <v>107</v>
      </c>
      <c r="N967" s="2" t="s">
        <v>427</v>
      </c>
      <c r="O967" s="2" t="s">
        <v>101</v>
      </c>
      <c r="P967" s="2" t="str">
        <f>"2170603507                    "</f>
        <v xml:space="preserve">2170603507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5.03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1</v>
      </c>
      <c r="BJ967" s="2">
        <v>0.2</v>
      </c>
      <c r="BK967" s="2">
        <v>1</v>
      </c>
      <c r="BL967" s="2">
        <v>35.89</v>
      </c>
      <c r="BM967" s="2">
        <v>5.0199999999999996</v>
      </c>
      <c r="BN967" s="2">
        <v>40.909999999999997</v>
      </c>
      <c r="BO967" s="2">
        <v>40.909999999999997</v>
      </c>
      <c r="BQ967" s="2" t="s">
        <v>102</v>
      </c>
      <c r="BR967" s="2" t="s">
        <v>103</v>
      </c>
      <c r="BS967" s="3">
        <v>43076</v>
      </c>
      <c r="BT967" s="4">
        <v>0.4375</v>
      </c>
      <c r="BU967" s="2" t="s">
        <v>428</v>
      </c>
      <c r="BV967" s="2" t="s">
        <v>85</v>
      </c>
      <c r="BY967" s="2">
        <v>1200</v>
      </c>
      <c r="CA967" s="2" t="s">
        <v>429</v>
      </c>
      <c r="CC967" s="2" t="s">
        <v>107</v>
      </c>
      <c r="CD967" s="2">
        <v>2091</v>
      </c>
      <c r="CE967" s="2" t="s">
        <v>120</v>
      </c>
      <c r="CF967" s="3">
        <v>43080</v>
      </c>
      <c r="CI967" s="2">
        <v>1</v>
      </c>
      <c r="CJ967" s="2">
        <v>1</v>
      </c>
      <c r="CK967" s="2">
        <v>22</v>
      </c>
      <c r="CL967" s="2" t="s">
        <v>89</v>
      </c>
    </row>
    <row r="968" spans="1:90">
      <c r="A968" s="2" t="s">
        <v>71</v>
      </c>
      <c r="B968" s="2" t="s">
        <v>72</v>
      </c>
      <c r="C968" s="2" t="s">
        <v>73</v>
      </c>
      <c r="E968" s="2" t="str">
        <f>"FES1162594422"</f>
        <v>FES1162594422</v>
      </c>
      <c r="F968" s="3">
        <v>43075</v>
      </c>
      <c r="G968" s="2">
        <v>201806</v>
      </c>
      <c r="H968" s="2" t="s">
        <v>74</v>
      </c>
      <c r="I968" s="2" t="s">
        <v>75</v>
      </c>
      <c r="J968" s="2" t="s">
        <v>97</v>
      </c>
      <c r="K968" s="2" t="s">
        <v>77</v>
      </c>
      <c r="L968" s="2" t="s">
        <v>136</v>
      </c>
      <c r="M968" s="2" t="s">
        <v>137</v>
      </c>
      <c r="N968" s="2" t="s">
        <v>540</v>
      </c>
      <c r="O968" s="2" t="s">
        <v>101</v>
      </c>
      <c r="P968" s="2" t="str">
        <f>"2170606281                    "</f>
        <v xml:space="preserve">2170606281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33.770000000000003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2</v>
      </c>
      <c r="BI968" s="2">
        <v>6.4</v>
      </c>
      <c r="BJ968" s="2">
        <v>10.3</v>
      </c>
      <c r="BK968" s="2">
        <v>10.5</v>
      </c>
      <c r="BL968" s="2">
        <v>241.06</v>
      </c>
      <c r="BM968" s="2">
        <v>33.75</v>
      </c>
      <c r="BN968" s="2">
        <v>274.81</v>
      </c>
      <c r="BO968" s="2">
        <v>274.81</v>
      </c>
      <c r="BQ968" s="2" t="s">
        <v>541</v>
      </c>
      <c r="BR968" s="2" t="s">
        <v>103</v>
      </c>
      <c r="BS968" s="3">
        <v>43076</v>
      </c>
      <c r="BT968" s="4">
        <v>0.43611111111111112</v>
      </c>
      <c r="BU968" s="2" t="s">
        <v>554</v>
      </c>
      <c r="BV968" s="2" t="s">
        <v>85</v>
      </c>
      <c r="BY968" s="2">
        <v>51717.53</v>
      </c>
      <c r="CA968" s="2" t="s">
        <v>767</v>
      </c>
      <c r="CC968" s="2" t="s">
        <v>137</v>
      </c>
      <c r="CD968" s="2">
        <v>6045</v>
      </c>
      <c r="CE968" s="2" t="s">
        <v>95</v>
      </c>
      <c r="CF968" s="3">
        <v>43077</v>
      </c>
      <c r="CI968" s="2">
        <v>1</v>
      </c>
      <c r="CJ968" s="2">
        <v>1</v>
      </c>
      <c r="CK968" s="2">
        <v>21</v>
      </c>
      <c r="CL968" s="2" t="s">
        <v>89</v>
      </c>
    </row>
    <row r="969" spans="1:90">
      <c r="A969" s="2" t="s">
        <v>71</v>
      </c>
      <c r="B969" s="2" t="s">
        <v>72</v>
      </c>
      <c r="C969" s="2" t="s">
        <v>73</v>
      </c>
      <c r="E969" s="2" t="str">
        <f>"FES1162594325"</f>
        <v>FES1162594325</v>
      </c>
      <c r="F969" s="3">
        <v>43075</v>
      </c>
      <c r="G969" s="2">
        <v>201806</v>
      </c>
      <c r="H969" s="2" t="s">
        <v>74</v>
      </c>
      <c r="I969" s="2" t="s">
        <v>75</v>
      </c>
      <c r="J969" s="2" t="s">
        <v>97</v>
      </c>
      <c r="K969" s="2" t="s">
        <v>77</v>
      </c>
      <c r="L969" s="2" t="s">
        <v>325</v>
      </c>
      <c r="M969" s="2" t="s">
        <v>326</v>
      </c>
      <c r="N969" s="2" t="s">
        <v>1497</v>
      </c>
      <c r="O969" s="2" t="s">
        <v>101</v>
      </c>
      <c r="P969" s="2" t="str">
        <f>"2170606154                    "</f>
        <v xml:space="preserve">2170606154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6.43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45.93</v>
      </c>
      <c r="BM969" s="2">
        <v>6.43</v>
      </c>
      <c r="BN969" s="2">
        <v>52.36</v>
      </c>
      <c r="BO969" s="2">
        <v>52.36</v>
      </c>
      <c r="BQ969" s="2" t="s">
        <v>82</v>
      </c>
      <c r="BR969" s="2" t="s">
        <v>103</v>
      </c>
      <c r="BS969" s="3">
        <v>43076</v>
      </c>
      <c r="BT969" s="4">
        <v>0.40486111111111112</v>
      </c>
      <c r="BU969" s="2" t="s">
        <v>779</v>
      </c>
      <c r="BV969" s="2" t="s">
        <v>85</v>
      </c>
      <c r="BY969" s="2">
        <v>1200</v>
      </c>
      <c r="CA969" s="2" t="s">
        <v>1326</v>
      </c>
      <c r="CC969" s="2" t="s">
        <v>326</v>
      </c>
      <c r="CD969" s="2">
        <v>1930</v>
      </c>
      <c r="CE969" s="2" t="s">
        <v>120</v>
      </c>
      <c r="CF969" s="3">
        <v>43080</v>
      </c>
      <c r="CI969" s="2">
        <v>1</v>
      </c>
      <c r="CJ969" s="2">
        <v>1</v>
      </c>
      <c r="CK969" s="2">
        <v>21</v>
      </c>
      <c r="CL969" s="2" t="s">
        <v>89</v>
      </c>
    </row>
    <row r="970" spans="1:90">
      <c r="A970" s="2" t="s">
        <v>71</v>
      </c>
      <c r="B970" s="2" t="s">
        <v>72</v>
      </c>
      <c r="C970" s="2" t="s">
        <v>73</v>
      </c>
      <c r="E970" s="2" t="str">
        <f>"FES1162594360"</f>
        <v>FES1162594360</v>
      </c>
      <c r="F970" s="3">
        <v>43075</v>
      </c>
      <c r="G970" s="2">
        <v>201806</v>
      </c>
      <c r="H970" s="2" t="s">
        <v>74</v>
      </c>
      <c r="I970" s="2" t="s">
        <v>75</v>
      </c>
      <c r="J970" s="2" t="s">
        <v>97</v>
      </c>
      <c r="K970" s="2" t="s">
        <v>77</v>
      </c>
      <c r="L970" s="2" t="s">
        <v>106</v>
      </c>
      <c r="M970" s="2" t="s">
        <v>107</v>
      </c>
      <c r="N970" s="2" t="s">
        <v>108</v>
      </c>
      <c r="O970" s="2" t="s">
        <v>101</v>
      </c>
      <c r="P970" s="2" t="str">
        <f>"2170606202                    "</f>
        <v xml:space="preserve">2170606202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5.03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35.89</v>
      </c>
      <c r="BM970" s="2">
        <v>5.0199999999999996</v>
      </c>
      <c r="BN970" s="2">
        <v>40.909999999999997</v>
      </c>
      <c r="BO970" s="2">
        <v>40.909999999999997</v>
      </c>
      <c r="BQ970" s="2" t="s">
        <v>82</v>
      </c>
      <c r="BR970" s="2" t="s">
        <v>103</v>
      </c>
      <c r="BS970" s="3">
        <v>43076</v>
      </c>
      <c r="BT970" s="4">
        <v>0.45833333333333331</v>
      </c>
      <c r="BU970" s="2" t="s">
        <v>563</v>
      </c>
      <c r="BV970" s="2" t="s">
        <v>89</v>
      </c>
      <c r="BW970" s="2" t="s">
        <v>156</v>
      </c>
      <c r="BX970" s="2" t="s">
        <v>438</v>
      </c>
      <c r="BY970" s="2">
        <v>1200</v>
      </c>
      <c r="CA970" s="2" t="s">
        <v>110</v>
      </c>
      <c r="CC970" s="2" t="s">
        <v>107</v>
      </c>
      <c r="CD970" s="2">
        <v>2094</v>
      </c>
      <c r="CE970" s="2" t="s">
        <v>120</v>
      </c>
      <c r="CF970" s="3">
        <v>43080</v>
      </c>
      <c r="CI970" s="2">
        <v>1</v>
      </c>
      <c r="CJ970" s="2">
        <v>1</v>
      </c>
      <c r="CK970" s="2">
        <v>22</v>
      </c>
      <c r="CL970" s="2" t="s">
        <v>89</v>
      </c>
    </row>
    <row r="971" spans="1:90">
      <c r="A971" s="2" t="s">
        <v>71</v>
      </c>
      <c r="B971" s="2" t="s">
        <v>72</v>
      </c>
      <c r="C971" s="2" t="s">
        <v>73</v>
      </c>
      <c r="E971" s="2" t="str">
        <f>"FES1162594542"</f>
        <v>FES1162594542</v>
      </c>
      <c r="F971" s="3">
        <v>43075</v>
      </c>
      <c r="G971" s="2">
        <v>201806</v>
      </c>
      <c r="H971" s="2" t="s">
        <v>74</v>
      </c>
      <c r="I971" s="2" t="s">
        <v>75</v>
      </c>
      <c r="J971" s="2" t="s">
        <v>97</v>
      </c>
      <c r="K971" s="2" t="s">
        <v>77</v>
      </c>
      <c r="L971" s="2" t="s">
        <v>551</v>
      </c>
      <c r="M971" s="2" t="s">
        <v>552</v>
      </c>
      <c r="N971" s="2" t="s">
        <v>1440</v>
      </c>
      <c r="O971" s="2" t="s">
        <v>101</v>
      </c>
      <c r="P971" s="2" t="str">
        <f>"2170606416                    "</f>
        <v xml:space="preserve">2170606416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6.43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1</v>
      </c>
      <c r="BJ971" s="2">
        <v>0.2</v>
      </c>
      <c r="BK971" s="2">
        <v>1</v>
      </c>
      <c r="BL971" s="2">
        <v>45.93</v>
      </c>
      <c r="BM971" s="2">
        <v>6.43</v>
      </c>
      <c r="BN971" s="2">
        <v>52.36</v>
      </c>
      <c r="BO971" s="2">
        <v>52.36</v>
      </c>
      <c r="BQ971" s="2" t="s">
        <v>1441</v>
      </c>
      <c r="BR971" s="2" t="s">
        <v>103</v>
      </c>
      <c r="BS971" s="3">
        <v>43076</v>
      </c>
      <c r="BT971" s="4">
        <v>0.55833333333333335</v>
      </c>
      <c r="BU971" s="2" t="s">
        <v>1442</v>
      </c>
      <c r="BV971" s="2" t="s">
        <v>85</v>
      </c>
      <c r="BY971" s="2">
        <v>1200</v>
      </c>
      <c r="CA971" s="2" t="s">
        <v>555</v>
      </c>
      <c r="CC971" s="2" t="s">
        <v>552</v>
      </c>
      <c r="CD971" s="2">
        <v>3310</v>
      </c>
      <c r="CE971" s="2" t="s">
        <v>120</v>
      </c>
      <c r="CF971" s="3">
        <v>43077</v>
      </c>
      <c r="CI971" s="2">
        <v>1</v>
      </c>
      <c r="CJ971" s="2">
        <v>1</v>
      </c>
      <c r="CK971" s="2">
        <v>21</v>
      </c>
      <c r="CL971" s="2" t="s">
        <v>89</v>
      </c>
    </row>
    <row r="972" spans="1:90">
      <c r="A972" s="2" t="s">
        <v>71</v>
      </c>
      <c r="B972" s="2" t="s">
        <v>72</v>
      </c>
      <c r="C972" s="2" t="s">
        <v>73</v>
      </c>
      <c r="E972" s="2" t="str">
        <f>"FES1162594135"</f>
        <v>FES1162594135</v>
      </c>
      <c r="F972" s="3">
        <v>43075</v>
      </c>
      <c r="G972" s="2">
        <v>201806</v>
      </c>
      <c r="H972" s="2" t="s">
        <v>74</v>
      </c>
      <c r="I972" s="2" t="s">
        <v>75</v>
      </c>
      <c r="J972" s="2" t="s">
        <v>97</v>
      </c>
      <c r="K972" s="2" t="s">
        <v>77</v>
      </c>
      <c r="L972" s="2" t="s">
        <v>136</v>
      </c>
      <c r="M972" s="2" t="s">
        <v>137</v>
      </c>
      <c r="N972" s="2" t="s">
        <v>138</v>
      </c>
      <c r="O972" s="2" t="s">
        <v>101</v>
      </c>
      <c r="P972" s="2" t="str">
        <f>"2170602462                    "</f>
        <v xml:space="preserve">2170602462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6.43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2</v>
      </c>
      <c r="BJ972" s="2">
        <v>1.8</v>
      </c>
      <c r="BK972" s="2">
        <v>2</v>
      </c>
      <c r="BL972" s="2">
        <v>45.93</v>
      </c>
      <c r="BM972" s="2">
        <v>6.43</v>
      </c>
      <c r="BN972" s="2">
        <v>52.36</v>
      </c>
      <c r="BO972" s="2">
        <v>52.36</v>
      </c>
      <c r="BQ972" s="2" t="s">
        <v>82</v>
      </c>
      <c r="BR972" s="2" t="s">
        <v>103</v>
      </c>
      <c r="BS972" s="3">
        <v>43076</v>
      </c>
      <c r="BT972" s="4">
        <v>0.35416666666666669</v>
      </c>
      <c r="BU972" s="2" t="s">
        <v>139</v>
      </c>
      <c r="BV972" s="2" t="s">
        <v>85</v>
      </c>
      <c r="BY972" s="2">
        <v>9213.98</v>
      </c>
      <c r="BZ972" s="2" t="s">
        <v>27</v>
      </c>
      <c r="CA972" s="2" t="s">
        <v>140</v>
      </c>
      <c r="CC972" s="2" t="s">
        <v>137</v>
      </c>
      <c r="CD972" s="2">
        <v>6001</v>
      </c>
      <c r="CE972" s="2" t="s">
        <v>95</v>
      </c>
      <c r="CF972" s="3">
        <v>43077</v>
      </c>
      <c r="CI972" s="2">
        <v>1</v>
      </c>
      <c r="CJ972" s="2">
        <v>1</v>
      </c>
      <c r="CK972" s="2">
        <v>21</v>
      </c>
      <c r="CL972" s="2" t="s">
        <v>89</v>
      </c>
    </row>
    <row r="973" spans="1:90">
      <c r="A973" s="2" t="s">
        <v>71</v>
      </c>
      <c r="B973" s="2" t="s">
        <v>72</v>
      </c>
      <c r="C973" s="2" t="s">
        <v>73</v>
      </c>
      <c r="E973" s="2" t="str">
        <f>"FES1162594543"</f>
        <v>FES1162594543</v>
      </c>
      <c r="F973" s="3">
        <v>43075</v>
      </c>
      <c r="G973" s="2">
        <v>201806</v>
      </c>
      <c r="H973" s="2" t="s">
        <v>74</v>
      </c>
      <c r="I973" s="2" t="s">
        <v>75</v>
      </c>
      <c r="J973" s="2" t="s">
        <v>97</v>
      </c>
      <c r="K973" s="2" t="s">
        <v>77</v>
      </c>
      <c r="L973" s="2" t="s">
        <v>125</v>
      </c>
      <c r="M973" s="2" t="s">
        <v>126</v>
      </c>
      <c r="N973" s="2" t="s">
        <v>1034</v>
      </c>
      <c r="O973" s="2" t="s">
        <v>101</v>
      </c>
      <c r="P973" s="2" t="str">
        <f>"2170606418                    "</f>
        <v xml:space="preserve">2170606418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6.43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45.93</v>
      </c>
      <c r="BM973" s="2">
        <v>6.43</v>
      </c>
      <c r="BN973" s="2">
        <v>52.36</v>
      </c>
      <c r="BO973" s="2">
        <v>52.36</v>
      </c>
      <c r="BQ973" s="2" t="s">
        <v>128</v>
      </c>
      <c r="BR973" s="2" t="s">
        <v>103</v>
      </c>
      <c r="BS973" s="3">
        <v>43076</v>
      </c>
      <c r="BT973" s="4">
        <v>0.41666666666666669</v>
      </c>
      <c r="BU973" s="2" t="s">
        <v>1498</v>
      </c>
      <c r="BV973" s="2" t="s">
        <v>85</v>
      </c>
      <c r="BY973" s="2">
        <v>1200</v>
      </c>
      <c r="CC973" s="2" t="s">
        <v>126</v>
      </c>
      <c r="CD973" s="2">
        <v>4001</v>
      </c>
      <c r="CE973" s="2" t="s">
        <v>120</v>
      </c>
      <c r="CF973" s="3">
        <v>43077</v>
      </c>
      <c r="CI973" s="2">
        <v>1</v>
      </c>
      <c r="CJ973" s="2">
        <v>1</v>
      </c>
      <c r="CK973" s="2">
        <v>21</v>
      </c>
      <c r="CL973" s="2" t="s">
        <v>89</v>
      </c>
    </row>
    <row r="974" spans="1:90">
      <c r="A974" s="2" t="s">
        <v>71</v>
      </c>
      <c r="B974" s="2" t="s">
        <v>72</v>
      </c>
      <c r="C974" s="2" t="s">
        <v>73</v>
      </c>
      <c r="E974" s="2" t="str">
        <f>"FES1162594164"</f>
        <v>FES1162594164</v>
      </c>
      <c r="F974" s="3">
        <v>43075</v>
      </c>
      <c r="G974" s="2">
        <v>201806</v>
      </c>
      <c r="H974" s="2" t="s">
        <v>74</v>
      </c>
      <c r="I974" s="2" t="s">
        <v>75</v>
      </c>
      <c r="J974" s="2" t="s">
        <v>97</v>
      </c>
      <c r="K974" s="2" t="s">
        <v>77</v>
      </c>
      <c r="L974" s="2" t="s">
        <v>136</v>
      </c>
      <c r="M974" s="2" t="s">
        <v>137</v>
      </c>
      <c r="N974" s="2" t="s">
        <v>1499</v>
      </c>
      <c r="O974" s="2" t="s">
        <v>101</v>
      </c>
      <c r="P974" s="2" t="str">
        <f>"2170603521                    "</f>
        <v xml:space="preserve">2170603521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6.43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45.93</v>
      </c>
      <c r="BM974" s="2">
        <v>6.43</v>
      </c>
      <c r="BN974" s="2">
        <v>52.36</v>
      </c>
      <c r="BO974" s="2">
        <v>52.36</v>
      </c>
      <c r="BR974" s="2" t="s">
        <v>103</v>
      </c>
      <c r="BS974" s="3">
        <v>43076</v>
      </c>
      <c r="BT974" s="4">
        <v>0.34375</v>
      </c>
      <c r="BU974" s="2" t="s">
        <v>1500</v>
      </c>
      <c r="BV974" s="2" t="s">
        <v>85</v>
      </c>
      <c r="BY974" s="2">
        <v>1200</v>
      </c>
      <c r="CA974" s="2" t="s">
        <v>180</v>
      </c>
      <c r="CC974" s="2" t="s">
        <v>137</v>
      </c>
      <c r="CD974" s="2">
        <v>6000</v>
      </c>
      <c r="CE974" s="2" t="s">
        <v>120</v>
      </c>
      <c r="CF974" s="3">
        <v>43080</v>
      </c>
      <c r="CI974" s="2">
        <v>1</v>
      </c>
      <c r="CJ974" s="2">
        <v>1</v>
      </c>
      <c r="CK974" s="2">
        <v>21</v>
      </c>
      <c r="CL974" s="2" t="s">
        <v>89</v>
      </c>
    </row>
    <row r="975" spans="1:90">
      <c r="A975" s="2" t="s">
        <v>71</v>
      </c>
      <c r="B975" s="2" t="s">
        <v>72</v>
      </c>
      <c r="C975" s="2" t="s">
        <v>73</v>
      </c>
      <c r="E975" s="2" t="str">
        <f>"FES1162594395"</f>
        <v>FES1162594395</v>
      </c>
      <c r="F975" s="3">
        <v>43075</v>
      </c>
      <c r="G975" s="2">
        <v>201806</v>
      </c>
      <c r="H975" s="2" t="s">
        <v>74</v>
      </c>
      <c r="I975" s="2" t="s">
        <v>75</v>
      </c>
      <c r="J975" s="2" t="s">
        <v>97</v>
      </c>
      <c r="K975" s="2" t="s">
        <v>77</v>
      </c>
      <c r="L975" s="2" t="s">
        <v>1021</v>
      </c>
      <c r="M975" s="2" t="s">
        <v>1022</v>
      </c>
      <c r="N975" s="2" t="s">
        <v>733</v>
      </c>
      <c r="O975" s="2" t="s">
        <v>101</v>
      </c>
      <c r="P975" s="2" t="str">
        <f>"2170602614                    "</f>
        <v xml:space="preserve">2170602614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12.47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89</v>
      </c>
      <c r="BM975" s="2">
        <v>12.46</v>
      </c>
      <c r="BN975" s="2">
        <v>101.46</v>
      </c>
      <c r="BO975" s="2">
        <v>101.46</v>
      </c>
      <c r="BQ975" s="2" t="s">
        <v>1023</v>
      </c>
      <c r="BR975" s="2" t="s">
        <v>103</v>
      </c>
      <c r="BS975" s="3">
        <v>43076</v>
      </c>
      <c r="BT975" s="4">
        <v>0.39583333333333331</v>
      </c>
      <c r="BU975" s="2" t="s">
        <v>954</v>
      </c>
      <c r="BV975" s="2" t="s">
        <v>85</v>
      </c>
      <c r="BY975" s="2">
        <v>1200</v>
      </c>
      <c r="CA975" s="2" t="s">
        <v>1103</v>
      </c>
      <c r="CC975" s="2" t="s">
        <v>1022</v>
      </c>
      <c r="CD975" s="2">
        <v>9880</v>
      </c>
      <c r="CE975" s="2" t="s">
        <v>120</v>
      </c>
      <c r="CF975" s="3">
        <v>43081</v>
      </c>
      <c r="CI975" s="2">
        <v>1</v>
      </c>
      <c r="CJ975" s="2">
        <v>1</v>
      </c>
      <c r="CK975" s="2">
        <v>23</v>
      </c>
      <c r="CL975" s="2" t="s">
        <v>89</v>
      </c>
    </row>
    <row r="976" spans="1:90">
      <c r="A976" s="2" t="s">
        <v>71</v>
      </c>
      <c r="B976" s="2" t="s">
        <v>72</v>
      </c>
      <c r="C976" s="2" t="s">
        <v>73</v>
      </c>
      <c r="E976" s="2" t="str">
        <f>"FES1162592774"</f>
        <v>FES1162592774</v>
      </c>
      <c r="F976" s="3">
        <v>43075</v>
      </c>
      <c r="G976" s="2">
        <v>201806</v>
      </c>
      <c r="H976" s="2" t="s">
        <v>74</v>
      </c>
      <c r="I976" s="2" t="s">
        <v>75</v>
      </c>
      <c r="J976" s="2" t="s">
        <v>97</v>
      </c>
      <c r="K976" s="2" t="s">
        <v>77</v>
      </c>
      <c r="L976" s="2" t="s">
        <v>106</v>
      </c>
      <c r="M976" s="2" t="s">
        <v>107</v>
      </c>
      <c r="N976" s="2" t="s">
        <v>108</v>
      </c>
      <c r="O976" s="2" t="s">
        <v>101</v>
      </c>
      <c r="P976" s="2" t="str">
        <f>"2170602175                    "</f>
        <v xml:space="preserve">2170602175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5.03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</v>
      </c>
      <c r="BJ976" s="2">
        <v>0.2</v>
      </c>
      <c r="BK976" s="2">
        <v>1</v>
      </c>
      <c r="BL976" s="2">
        <v>35.89</v>
      </c>
      <c r="BM976" s="2">
        <v>5.0199999999999996</v>
      </c>
      <c r="BN976" s="2">
        <v>40.909999999999997</v>
      </c>
      <c r="BO976" s="2">
        <v>40.909999999999997</v>
      </c>
      <c r="BQ976" s="2" t="s">
        <v>82</v>
      </c>
      <c r="BR976" s="2" t="s">
        <v>103</v>
      </c>
      <c r="BS976" s="3">
        <v>43076</v>
      </c>
      <c r="BT976" s="4">
        <v>0.45833333333333331</v>
      </c>
      <c r="BU976" s="2" t="s">
        <v>563</v>
      </c>
      <c r="BV976" s="2" t="s">
        <v>89</v>
      </c>
      <c r="BW976" s="2" t="s">
        <v>156</v>
      </c>
      <c r="BX976" s="2" t="s">
        <v>438</v>
      </c>
      <c r="BY976" s="2">
        <v>1200</v>
      </c>
      <c r="CA976" s="2" t="s">
        <v>110</v>
      </c>
      <c r="CC976" s="2" t="s">
        <v>107</v>
      </c>
      <c r="CD976" s="2">
        <v>2094</v>
      </c>
      <c r="CE976" s="2" t="s">
        <v>120</v>
      </c>
      <c r="CF976" s="3">
        <v>43080</v>
      </c>
      <c r="CI976" s="2">
        <v>1</v>
      </c>
      <c r="CJ976" s="2">
        <v>1</v>
      </c>
      <c r="CK976" s="2">
        <v>22</v>
      </c>
      <c r="CL976" s="2" t="s">
        <v>89</v>
      </c>
    </row>
    <row r="977" spans="1:90">
      <c r="A977" s="2" t="s">
        <v>71</v>
      </c>
      <c r="B977" s="2" t="s">
        <v>72</v>
      </c>
      <c r="C977" s="2" t="s">
        <v>73</v>
      </c>
      <c r="E977" s="2" t="str">
        <f>"FES1162594386"</f>
        <v>FES1162594386</v>
      </c>
      <c r="F977" s="3">
        <v>43075</v>
      </c>
      <c r="G977" s="2">
        <v>201806</v>
      </c>
      <c r="H977" s="2" t="s">
        <v>74</v>
      </c>
      <c r="I977" s="2" t="s">
        <v>75</v>
      </c>
      <c r="J977" s="2" t="s">
        <v>97</v>
      </c>
      <c r="K977" s="2" t="s">
        <v>77</v>
      </c>
      <c r="L977" s="2" t="s">
        <v>551</v>
      </c>
      <c r="M977" s="2" t="s">
        <v>552</v>
      </c>
      <c r="N977" s="2" t="s">
        <v>1501</v>
      </c>
      <c r="O977" s="2" t="s">
        <v>101</v>
      </c>
      <c r="P977" s="2" t="str">
        <f>"2170606200                    "</f>
        <v xml:space="preserve">2170606200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6.43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45.93</v>
      </c>
      <c r="BM977" s="2">
        <v>6.43</v>
      </c>
      <c r="BN977" s="2">
        <v>52.36</v>
      </c>
      <c r="BO977" s="2">
        <v>52.36</v>
      </c>
      <c r="BQ977" s="2" t="s">
        <v>128</v>
      </c>
      <c r="BR977" s="2" t="s">
        <v>103</v>
      </c>
      <c r="BS977" s="3">
        <v>43076</v>
      </c>
      <c r="BT977" s="4">
        <v>0.47569444444444442</v>
      </c>
      <c r="BU977" s="2" t="s">
        <v>1502</v>
      </c>
      <c r="BV977" s="2" t="s">
        <v>85</v>
      </c>
      <c r="BY977" s="2">
        <v>1200</v>
      </c>
      <c r="CA977" s="2" t="s">
        <v>555</v>
      </c>
      <c r="CC977" s="2" t="s">
        <v>552</v>
      </c>
      <c r="CD977" s="2">
        <v>3310</v>
      </c>
      <c r="CE977" s="2" t="s">
        <v>120</v>
      </c>
      <c r="CF977" s="3">
        <v>43077</v>
      </c>
      <c r="CI977" s="2">
        <v>1</v>
      </c>
      <c r="CJ977" s="2">
        <v>1</v>
      </c>
      <c r="CK977" s="2">
        <v>21</v>
      </c>
      <c r="CL977" s="2" t="s">
        <v>89</v>
      </c>
    </row>
    <row r="978" spans="1:90">
      <c r="A978" s="2" t="s">
        <v>71</v>
      </c>
      <c r="B978" s="2" t="s">
        <v>72</v>
      </c>
      <c r="C978" s="2" t="s">
        <v>73</v>
      </c>
      <c r="E978" s="2" t="str">
        <f>"FES1162594498"</f>
        <v>FES1162594498</v>
      </c>
      <c r="F978" s="3">
        <v>43075</v>
      </c>
      <c r="G978" s="2">
        <v>201806</v>
      </c>
      <c r="H978" s="2" t="s">
        <v>74</v>
      </c>
      <c r="I978" s="2" t="s">
        <v>75</v>
      </c>
      <c r="J978" s="2" t="s">
        <v>97</v>
      </c>
      <c r="K978" s="2" t="s">
        <v>77</v>
      </c>
      <c r="L978" s="2" t="s">
        <v>1503</v>
      </c>
      <c r="M978" s="2" t="s">
        <v>1504</v>
      </c>
      <c r="N978" s="2" t="s">
        <v>1505</v>
      </c>
      <c r="O978" s="2" t="s">
        <v>101</v>
      </c>
      <c r="P978" s="2" t="str">
        <f>"2170606361                    "</f>
        <v xml:space="preserve">2170606361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15.28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1.1000000000000001</v>
      </c>
      <c r="BJ978" s="2">
        <v>2.4</v>
      </c>
      <c r="BK978" s="2">
        <v>2.5</v>
      </c>
      <c r="BL978" s="2">
        <v>109.09</v>
      </c>
      <c r="BM978" s="2">
        <v>15.27</v>
      </c>
      <c r="BN978" s="2">
        <v>124.36</v>
      </c>
      <c r="BO978" s="2">
        <v>124.36</v>
      </c>
      <c r="BQ978" s="2" t="s">
        <v>1506</v>
      </c>
      <c r="BR978" s="2" t="s">
        <v>103</v>
      </c>
      <c r="BS978" s="3">
        <v>43076</v>
      </c>
      <c r="BT978" s="4">
        <v>0.71250000000000002</v>
      </c>
      <c r="BU978" s="2" t="s">
        <v>1507</v>
      </c>
      <c r="BV978" s="2" t="s">
        <v>85</v>
      </c>
      <c r="BY978" s="2">
        <v>11803.18</v>
      </c>
      <c r="CA978" s="2" t="s">
        <v>1508</v>
      </c>
      <c r="CC978" s="2" t="s">
        <v>1504</v>
      </c>
      <c r="CD978" s="2">
        <v>4252</v>
      </c>
      <c r="CE978" s="2" t="s">
        <v>120</v>
      </c>
      <c r="CF978" s="3">
        <v>43077</v>
      </c>
      <c r="CI978" s="2">
        <v>1</v>
      </c>
      <c r="CJ978" s="2">
        <v>1</v>
      </c>
      <c r="CK978" s="2">
        <v>23</v>
      </c>
      <c r="CL978" s="2" t="s">
        <v>89</v>
      </c>
    </row>
    <row r="979" spans="1:90">
      <c r="A979" s="2" t="s">
        <v>71</v>
      </c>
      <c r="B979" s="2" t="s">
        <v>72</v>
      </c>
      <c r="C979" s="2" t="s">
        <v>73</v>
      </c>
      <c r="E979" s="2" t="str">
        <f>"FES1162594341"</f>
        <v>FES1162594341</v>
      </c>
      <c r="F979" s="3">
        <v>43075</v>
      </c>
      <c r="G979" s="2">
        <v>201806</v>
      </c>
      <c r="H979" s="2" t="s">
        <v>74</v>
      </c>
      <c r="I979" s="2" t="s">
        <v>75</v>
      </c>
      <c r="J979" s="2" t="s">
        <v>97</v>
      </c>
      <c r="K979" s="2" t="s">
        <v>77</v>
      </c>
      <c r="L979" s="2" t="s">
        <v>152</v>
      </c>
      <c r="M979" s="2" t="s">
        <v>153</v>
      </c>
      <c r="N979" s="2" t="s">
        <v>1509</v>
      </c>
      <c r="O979" s="2" t="s">
        <v>101</v>
      </c>
      <c r="P979" s="2" t="str">
        <f>"2170606172                    "</f>
        <v xml:space="preserve">2170606172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6.23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9.6999999999999993</v>
      </c>
      <c r="BJ979" s="2">
        <v>5.0999999999999996</v>
      </c>
      <c r="BK979" s="2">
        <v>10</v>
      </c>
      <c r="BL979" s="2">
        <v>44.49</v>
      </c>
      <c r="BM979" s="2">
        <v>6.23</v>
      </c>
      <c r="BN979" s="2">
        <v>50.72</v>
      </c>
      <c r="BO979" s="2">
        <v>50.72</v>
      </c>
      <c r="BQ979" s="2" t="s">
        <v>102</v>
      </c>
      <c r="BR979" s="2" t="s">
        <v>103</v>
      </c>
      <c r="BS979" s="3">
        <v>43076</v>
      </c>
      <c r="BT979" s="4">
        <v>0.4368055555555555</v>
      </c>
      <c r="BU979" s="2" t="s">
        <v>1510</v>
      </c>
      <c r="BV979" s="2" t="s">
        <v>85</v>
      </c>
      <c r="BY979" s="2">
        <v>25546.75</v>
      </c>
      <c r="CA979" s="2" t="s">
        <v>1511</v>
      </c>
      <c r="CC979" s="2" t="s">
        <v>153</v>
      </c>
      <c r="CD979" s="2">
        <v>1401</v>
      </c>
      <c r="CE979" s="2" t="s">
        <v>87</v>
      </c>
      <c r="CF979" s="3">
        <v>43080</v>
      </c>
      <c r="CI979" s="2">
        <v>1</v>
      </c>
      <c r="CJ979" s="2">
        <v>1</v>
      </c>
      <c r="CK979" s="2">
        <v>22</v>
      </c>
      <c r="CL979" s="2" t="s">
        <v>89</v>
      </c>
    </row>
    <row r="980" spans="1:90">
      <c r="A980" s="2" t="s">
        <v>71</v>
      </c>
      <c r="B980" s="2" t="s">
        <v>72</v>
      </c>
      <c r="C980" s="2" t="s">
        <v>73</v>
      </c>
      <c r="E980" s="2" t="str">
        <f>"FES1162594370"</f>
        <v>FES1162594370</v>
      </c>
      <c r="F980" s="3">
        <v>43075</v>
      </c>
      <c r="G980" s="2">
        <v>201806</v>
      </c>
      <c r="H980" s="2" t="s">
        <v>74</v>
      </c>
      <c r="I980" s="2" t="s">
        <v>75</v>
      </c>
      <c r="J980" s="2" t="s">
        <v>97</v>
      </c>
      <c r="K980" s="2" t="s">
        <v>77</v>
      </c>
      <c r="L980" s="2" t="s">
        <v>1051</v>
      </c>
      <c r="M980" s="2" t="s">
        <v>1052</v>
      </c>
      <c r="N980" s="2" t="s">
        <v>1053</v>
      </c>
      <c r="O980" s="2" t="s">
        <v>101</v>
      </c>
      <c r="P980" s="2" t="str">
        <f>"2170606221                    "</f>
        <v xml:space="preserve">2170606221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23.73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4</v>
      </c>
      <c r="BJ980" s="2">
        <v>1.6</v>
      </c>
      <c r="BK980" s="2">
        <v>4</v>
      </c>
      <c r="BL980" s="2">
        <v>169.38</v>
      </c>
      <c r="BM980" s="2">
        <v>23.71</v>
      </c>
      <c r="BN980" s="2">
        <v>193.09</v>
      </c>
      <c r="BO980" s="2">
        <v>193.09</v>
      </c>
      <c r="BQ980" s="2" t="s">
        <v>82</v>
      </c>
      <c r="BR980" s="2" t="s">
        <v>103</v>
      </c>
      <c r="BS980" s="3">
        <v>43076</v>
      </c>
      <c r="BT980" s="4">
        <v>0.41666666666666669</v>
      </c>
      <c r="BU980" s="2" t="s">
        <v>1054</v>
      </c>
      <c r="BV980" s="2" t="s">
        <v>85</v>
      </c>
      <c r="BY980" s="2">
        <v>8208</v>
      </c>
      <c r="CC980" s="2" t="s">
        <v>1052</v>
      </c>
      <c r="CD980" s="2">
        <v>3370</v>
      </c>
      <c r="CE980" s="2" t="s">
        <v>87</v>
      </c>
      <c r="CF980" s="3">
        <v>43081</v>
      </c>
      <c r="CI980" s="2">
        <v>3</v>
      </c>
      <c r="CJ980" s="2">
        <v>1</v>
      </c>
      <c r="CK980" s="2">
        <v>23</v>
      </c>
      <c r="CL980" s="2" t="s">
        <v>89</v>
      </c>
    </row>
    <row r="981" spans="1:90">
      <c r="A981" s="2" t="s">
        <v>71</v>
      </c>
      <c r="B981" s="2" t="s">
        <v>72</v>
      </c>
      <c r="C981" s="2" t="s">
        <v>73</v>
      </c>
      <c r="E981" s="2" t="str">
        <f>"FES1162594468"</f>
        <v>FES1162594468</v>
      </c>
      <c r="F981" s="3">
        <v>43075</v>
      </c>
      <c r="G981" s="2">
        <v>201806</v>
      </c>
      <c r="H981" s="2" t="s">
        <v>74</v>
      </c>
      <c r="I981" s="2" t="s">
        <v>75</v>
      </c>
      <c r="J981" s="2" t="s">
        <v>97</v>
      </c>
      <c r="K981" s="2" t="s">
        <v>77</v>
      </c>
      <c r="L981" s="2" t="s">
        <v>115</v>
      </c>
      <c r="M981" s="2" t="s">
        <v>116</v>
      </c>
      <c r="N981" s="2" t="s">
        <v>283</v>
      </c>
      <c r="O981" s="2" t="s">
        <v>101</v>
      </c>
      <c r="P981" s="2" t="str">
        <f>"2170605210                    "</f>
        <v xml:space="preserve">2170605210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5.03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3.7</v>
      </c>
      <c r="BJ981" s="2">
        <v>3.5</v>
      </c>
      <c r="BK981" s="2">
        <v>4</v>
      </c>
      <c r="BL981" s="2">
        <v>35.89</v>
      </c>
      <c r="BM981" s="2">
        <v>5.0199999999999996</v>
      </c>
      <c r="BN981" s="2">
        <v>40.909999999999997</v>
      </c>
      <c r="BO981" s="2">
        <v>40.909999999999997</v>
      </c>
      <c r="BQ981" s="2" t="s">
        <v>102</v>
      </c>
      <c r="BR981" s="2" t="s">
        <v>103</v>
      </c>
      <c r="BS981" s="3">
        <v>43076</v>
      </c>
      <c r="BT981" s="4">
        <v>0.41666666666666669</v>
      </c>
      <c r="BU981" s="2" t="s">
        <v>1512</v>
      </c>
      <c r="BV981" s="2" t="s">
        <v>85</v>
      </c>
      <c r="BY981" s="2">
        <v>17453.18</v>
      </c>
      <c r="CC981" s="2" t="s">
        <v>116</v>
      </c>
      <c r="CD981" s="2">
        <v>1459</v>
      </c>
      <c r="CE981" s="2" t="s">
        <v>95</v>
      </c>
      <c r="CF981" s="3">
        <v>43080</v>
      </c>
      <c r="CI981" s="2">
        <v>1</v>
      </c>
      <c r="CJ981" s="2">
        <v>1</v>
      </c>
      <c r="CK981" s="2">
        <v>22</v>
      </c>
      <c r="CL981" s="2" t="s">
        <v>89</v>
      </c>
    </row>
    <row r="982" spans="1:90">
      <c r="A982" s="2" t="s">
        <v>71</v>
      </c>
      <c r="B982" s="2" t="s">
        <v>72</v>
      </c>
      <c r="C982" s="2" t="s">
        <v>73</v>
      </c>
      <c r="E982" s="2" t="str">
        <f>"FES1162594289"</f>
        <v>FES1162594289</v>
      </c>
      <c r="F982" s="3">
        <v>43075</v>
      </c>
      <c r="G982" s="2">
        <v>201806</v>
      </c>
      <c r="H982" s="2" t="s">
        <v>74</v>
      </c>
      <c r="I982" s="2" t="s">
        <v>75</v>
      </c>
      <c r="J982" s="2" t="s">
        <v>97</v>
      </c>
      <c r="K982" s="2" t="s">
        <v>77</v>
      </c>
      <c r="L982" s="2" t="s">
        <v>152</v>
      </c>
      <c r="M982" s="2" t="s">
        <v>153</v>
      </c>
      <c r="N982" s="2" t="s">
        <v>1131</v>
      </c>
      <c r="O982" s="2" t="s">
        <v>101</v>
      </c>
      <c r="P982" s="2" t="str">
        <f>"2170606023                    "</f>
        <v xml:space="preserve">2170606023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5.03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35.89</v>
      </c>
      <c r="BM982" s="2">
        <v>5.0199999999999996</v>
      </c>
      <c r="BN982" s="2">
        <v>40.909999999999997</v>
      </c>
      <c r="BO982" s="2">
        <v>40.909999999999997</v>
      </c>
      <c r="BQ982" s="2" t="s">
        <v>102</v>
      </c>
      <c r="BR982" s="2" t="s">
        <v>103</v>
      </c>
      <c r="BS982" s="3">
        <v>43076</v>
      </c>
      <c r="BT982" s="4">
        <v>0.38611111111111113</v>
      </c>
      <c r="BU982" s="2" t="s">
        <v>1132</v>
      </c>
      <c r="BV982" s="2" t="s">
        <v>85</v>
      </c>
      <c r="BY982" s="2">
        <v>1200</v>
      </c>
      <c r="CA982" s="2" t="s">
        <v>337</v>
      </c>
      <c r="CC982" s="2" t="s">
        <v>153</v>
      </c>
      <c r="CD982" s="2">
        <v>1401</v>
      </c>
      <c r="CE982" s="2" t="s">
        <v>120</v>
      </c>
      <c r="CF982" s="3">
        <v>43080</v>
      </c>
      <c r="CI982" s="2">
        <v>1</v>
      </c>
      <c r="CJ982" s="2">
        <v>1</v>
      </c>
      <c r="CK982" s="2">
        <v>22</v>
      </c>
      <c r="CL982" s="2" t="s">
        <v>89</v>
      </c>
    </row>
    <row r="983" spans="1:90">
      <c r="A983" s="2" t="s">
        <v>71</v>
      </c>
      <c r="B983" s="2" t="s">
        <v>72</v>
      </c>
      <c r="C983" s="2" t="s">
        <v>73</v>
      </c>
      <c r="E983" s="2" t="str">
        <f>"FES1162594151"</f>
        <v>FES1162594151</v>
      </c>
      <c r="F983" s="3">
        <v>43075</v>
      </c>
      <c r="G983" s="2">
        <v>201806</v>
      </c>
      <c r="H983" s="2" t="s">
        <v>74</v>
      </c>
      <c r="I983" s="2" t="s">
        <v>75</v>
      </c>
      <c r="J983" s="2" t="s">
        <v>97</v>
      </c>
      <c r="K983" s="2" t="s">
        <v>77</v>
      </c>
      <c r="L983" s="2" t="s">
        <v>173</v>
      </c>
      <c r="M983" s="2" t="s">
        <v>174</v>
      </c>
      <c r="N983" s="2" t="s">
        <v>376</v>
      </c>
      <c r="O983" s="2" t="s">
        <v>101</v>
      </c>
      <c r="P983" s="2" t="str">
        <f>"2170603384                    "</f>
        <v xml:space="preserve">2170603384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6.43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</v>
      </c>
      <c r="BJ983" s="2">
        <v>0.2</v>
      </c>
      <c r="BK983" s="2">
        <v>1</v>
      </c>
      <c r="BL983" s="2">
        <v>45.93</v>
      </c>
      <c r="BM983" s="2">
        <v>6.43</v>
      </c>
      <c r="BN983" s="2">
        <v>52.36</v>
      </c>
      <c r="BO983" s="2">
        <v>52.36</v>
      </c>
      <c r="BQ983" s="2" t="s">
        <v>102</v>
      </c>
      <c r="BR983" s="2" t="s">
        <v>103</v>
      </c>
      <c r="BS983" s="3">
        <v>43076</v>
      </c>
      <c r="BT983" s="4">
        <v>0.47847222222222219</v>
      </c>
      <c r="BU983" s="2" t="s">
        <v>536</v>
      </c>
      <c r="BV983" s="2" t="s">
        <v>89</v>
      </c>
      <c r="BW983" s="2" t="s">
        <v>149</v>
      </c>
      <c r="BX983" s="2" t="s">
        <v>246</v>
      </c>
      <c r="BY983" s="2">
        <v>1200</v>
      </c>
      <c r="CA983" s="2" t="s">
        <v>378</v>
      </c>
      <c r="CC983" s="2" t="s">
        <v>174</v>
      </c>
      <c r="CD983" s="2">
        <v>7490</v>
      </c>
      <c r="CE983" s="2" t="s">
        <v>120</v>
      </c>
      <c r="CF983" s="3">
        <v>43077</v>
      </c>
      <c r="CI983" s="2">
        <v>1</v>
      </c>
      <c r="CJ983" s="2">
        <v>1</v>
      </c>
      <c r="CK983" s="2">
        <v>21</v>
      </c>
      <c r="CL983" s="2" t="s">
        <v>89</v>
      </c>
    </row>
    <row r="984" spans="1:90">
      <c r="A984" s="2" t="s">
        <v>71</v>
      </c>
      <c r="B984" s="2" t="s">
        <v>72</v>
      </c>
      <c r="C984" s="2" t="s">
        <v>73</v>
      </c>
      <c r="E984" s="2" t="str">
        <f>"FES1162594262"</f>
        <v>FES1162594262</v>
      </c>
      <c r="F984" s="3">
        <v>43075</v>
      </c>
      <c r="G984" s="2">
        <v>201806</v>
      </c>
      <c r="H984" s="2" t="s">
        <v>74</v>
      </c>
      <c r="I984" s="2" t="s">
        <v>75</v>
      </c>
      <c r="J984" s="2" t="s">
        <v>97</v>
      </c>
      <c r="K984" s="2" t="s">
        <v>77</v>
      </c>
      <c r="L984" s="2" t="s">
        <v>168</v>
      </c>
      <c r="M984" s="2" t="s">
        <v>169</v>
      </c>
      <c r="N984" s="2" t="s">
        <v>170</v>
      </c>
      <c r="O984" s="2" t="s">
        <v>101</v>
      </c>
      <c r="P984" s="2" t="str">
        <f>"2170605669                    "</f>
        <v xml:space="preserve">2170605669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6.43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1.4</v>
      </c>
      <c r="BJ984" s="2">
        <v>1.6</v>
      </c>
      <c r="BK984" s="2">
        <v>2</v>
      </c>
      <c r="BL984" s="2">
        <v>45.93</v>
      </c>
      <c r="BM984" s="2">
        <v>6.43</v>
      </c>
      <c r="BN984" s="2">
        <v>52.36</v>
      </c>
      <c r="BO984" s="2">
        <v>52.36</v>
      </c>
      <c r="BQ984" s="2" t="s">
        <v>128</v>
      </c>
      <c r="BR984" s="2" t="s">
        <v>103</v>
      </c>
      <c r="BS984" s="3">
        <v>43076</v>
      </c>
      <c r="BT984" s="4">
        <v>0.375</v>
      </c>
      <c r="BU984" s="2" t="s">
        <v>171</v>
      </c>
      <c r="BV984" s="2" t="s">
        <v>85</v>
      </c>
      <c r="BY984" s="2">
        <v>8168.6</v>
      </c>
      <c r="CA984" s="2" t="s">
        <v>172</v>
      </c>
      <c r="CC984" s="2" t="s">
        <v>169</v>
      </c>
      <c r="CD984" s="2">
        <v>3610</v>
      </c>
      <c r="CE984" s="2" t="s">
        <v>120</v>
      </c>
      <c r="CF984" s="3">
        <v>43080</v>
      </c>
      <c r="CI984" s="2">
        <v>1</v>
      </c>
      <c r="CJ984" s="2">
        <v>1</v>
      </c>
      <c r="CK984" s="2">
        <v>21</v>
      </c>
      <c r="CL984" s="2" t="s">
        <v>89</v>
      </c>
    </row>
    <row r="985" spans="1:90">
      <c r="A985" s="2" t="s">
        <v>71</v>
      </c>
      <c r="B985" s="2" t="s">
        <v>72</v>
      </c>
      <c r="C985" s="2" t="s">
        <v>73</v>
      </c>
      <c r="E985" s="2" t="str">
        <f>"FES1162594207"</f>
        <v>FES1162594207</v>
      </c>
      <c r="F985" s="3">
        <v>43075</v>
      </c>
      <c r="G985" s="2">
        <v>201806</v>
      </c>
      <c r="H985" s="2" t="s">
        <v>74</v>
      </c>
      <c r="I985" s="2" t="s">
        <v>75</v>
      </c>
      <c r="J985" s="2" t="s">
        <v>97</v>
      </c>
      <c r="K985" s="2" t="s">
        <v>77</v>
      </c>
      <c r="L985" s="2" t="s">
        <v>145</v>
      </c>
      <c r="M985" s="2" t="s">
        <v>146</v>
      </c>
      <c r="N985" s="2" t="s">
        <v>709</v>
      </c>
      <c r="O985" s="2" t="s">
        <v>101</v>
      </c>
      <c r="P985" s="2" t="str">
        <f>"2170604075                    "</f>
        <v xml:space="preserve">2170604075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6.43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1</v>
      </c>
      <c r="BJ985" s="2">
        <v>0.2</v>
      </c>
      <c r="BK985" s="2">
        <v>1</v>
      </c>
      <c r="BL985" s="2">
        <v>45.93</v>
      </c>
      <c r="BM985" s="2">
        <v>6.43</v>
      </c>
      <c r="BN985" s="2">
        <v>52.36</v>
      </c>
      <c r="BO985" s="2">
        <v>52.36</v>
      </c>
      <c r="BQ985" s="2" t="s">
        <v>102</v>
      </c>
      <c r="BR985" s="2" t="s">
        <v>103</v>
      </c>
      <c r="BS985" s="3">
        <v>43076</v>
      </c>
      <c r="BT985" s="4">
        <v>0.41666666666666669</v>
      </c>
      <c r="BU985" s="2" t="s">
        <v>1482</v>
      </c>
      <c r="BV985" s="2" t="s">
        <v>85</v>
      </c>
      <c r="BY985" s="2">
        <v>1200</v>
      </c>
      <c r="CC985" s="2" t="s">
        <v>146</v>
      </c>
      <c r="CD985" s="2">
        <v>5201</v>
      </c>
      <c r="CE985" s="2" t="s">
        <v>120</v>
      </c>
      <c r="CF985" s="3">
        <v>43080</v>
      </c>
      <c r="CI985" s="2">
        <v>1</v>
      </c>
      <c r="CJ985" s="2">
        <v>1</v>
      </c>
      <c r="CK985" s="2">
        <v>21</v>
      </c>
      <c r="CL985" s="2" t="s">
        <v>89</v>
      </c>
    </row>
    <row r="986" spans="1:90">
      <c r="A986" s="2" t="s">
        <v>71</v>
      </c>
      <c r="B986" s="2" t="s">
        <v>72</v>
      </c>
      <c r="C986" s="2" t="s">
        <v>73</v>
      </c>
      <c r="E986" s="2" t="str">
        <f>"FES1162594313"</f>
        <v>FES1162594313</v>
      </c>
      <c r="F986" s="3">
        <v>43075</v>
      </c>
      <c r="G986" s="2">
        <v>201806</v>
      </c>
      <c r="H986" s="2" t="s">
        <v>74</v>
      </c>
      <c r="I986" s="2" t="s">
        <v>75</v>
      </c>
      <c r="J986" s="2" t="s">
        <v>97</v>
      </c>
      <c r="K986" s="2" t="s">
        <v>77</v>
      </c>
      <c r="L986" s="2" t="s">
        <v>490</v>
      </c>
      <c r="M986" s="2" t="s">
        <v>491</v>
      </c>
      <c r="N986" s="2" t="s">
        <v>1307</v>
      </c>
      <c r="O986" s="2" t="s">
        <v>101</v>
      </c>
      <c r="P986" s="2" t="str">
        <f>"2170605800                    "</f>
        <v xml:space="preserve">2170605800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20.9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2</v>
      </c>
      <c r="BI986" s="2">
        <v>6.4</v>
      </c>
      <c r="BJ986" s="2">
        <v>4.7</v>
      </c>
      <c r="BK986" s="2">
        <v>6.5</v>
      </c>
      <c r="BL986" s="2">
        <v>149.22999999999999</v>
      </c>
      <c r="BM986" s="2">
        <v>20.89</v>
      </c>
      <c r="BN986" s="2">
        <v>170.12</v>
      </c>
      <c r="BO986" s="2">
        <v>170.12</v>
      </c>
      <c r="BQ986" s="2" t="s">
        <v>1308</v>
      </c>
      <c r="BR986" s="2" t="s">
        <v>103</v>
      </c>
      <c r="BS986" s="3">
        <v>43076</v>
      </c>
      <c r="BT986" s="4">
        <v>0.44097222222222227</v>
      </c>
      <c r="BU986" s="2" t="s">
        <v>493</v>
      </c>
      <c r="BV986" s="2" t="s">
        <v>85</v>
      </c>
      <c r="BY986" s="2">
        <v>23387.3</v>
      </c>
      <c r="CA986" s="2" t="s">
        <v>494</v>
      </c>
      <c r="CC986" s="2" t="s">
        <v>491</v>
      </c>
      <c r="CD986" s="2">
        <v>3699</v>
      </c>
      <c r="CE986" s="2" t="s">
        <v>87</v>
      </c>
      <c r="CF986" s="3">
        <v>43077</v>
      </c>
      <c r="CI986" s="2">
        <v>1</v>
      </c>
      <c r="CJ986" s="2">
        <v>1</v>
      </c>
      <c r="CK986" s="2">
        <v>21</v>
      </c>
      <c r="CL986" s="2" t="s">
        <v>89</v>
      </c>
    </row>
    <row r="987" spans="1:90">
      <c r="A987" s="2" t="s">
        <v>71</v>
      </c>
      <c r="B987" s="2" t="s">
        <v>72</v>
      </c>
      <c r="C987" s="2" t="s">
        <v>73</v>
      </c>
      <c r="E987" s="2" t="str">
        <f>"FES1162594259"</f>
        <v>FES1162594259</v>
      </c>
      <c r="F987" s="3">
        <v>43075</v>
      </c>
      <c r="G987" s="2">
        <v>201806</v>
      </c>
      <c r="H987" s="2" t="s">
        <v>74</v>
      </c>
      <c r="I987" s="2" t="s">
        <v>75</v>
      </c>
      <c r="J987" s="2" t="s">
        <v>97</v>
      </c>
      <c r="K987" s="2" t="s">
        <v>77</v>
      </c>
      <c r="L987" s="2" t="s">
        <v>158</v>
      </c>
      <c r="M987" s="2" t="s">
        <v>159</v>
      </c>
      <c r="N987" s="2" t="s">
        <v>164</v>
      </c>
      <c r="O987" s="2" t="s">
        <v>101</v>
      </c>
      <c r="P987" s="2" t="str">
        <f>"2170605661                    "</f>
        <v xml:space="preserve">2170605661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6.43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</v>
      </c>
      <c r="BJ987" s="2">
        <v>0.2</v>
      </c>
      <c r="BK987" s="2">
        <v>1</v>
      </c>
      <c r="BL987" s="2">
        <v>45.93</v>
      </c>
      <c r="BM987" s="2">
        <v>6.43</v>
      </c>
      <c r="BN987" s="2">
        <v>52.36</v>
      </c>
      <c r="BO987" s="2">
        <v>52.36</v>
      </c>
      <c r="BQ987" s="2" t="s">
        <v>102</v>
      </c>
      <c r="BR987" s="2" t="s">
        <v>103</v>
      </c>
      <c r="BS987" s="3">
        <v>43076</v>
      </c>
      <c r="BT987" s="4">
        <v>0.53680555555555554</v>
      </c>
      <c r="BU987" s="2" t="s">
        <v>1513</v>
      </c>
      <c r="BV987" s="2" t="s">
        <v>89</v>
      </c>
      <c r="BW987" s="2" t="s">
        <v>156</v>
      </c>
      <c r="BX987" s="2" t="s">
        <v>668</v>
      </c>
      <c r="BY987" s="2">
        <v>1200</v>
      </c>
      <c r="CA987" s="2" t="s">
        <v>362</v>
      </c>
      <c r="CC987" s="2" t="s">
        <v>159</v>
      </c>
      <c r="CD987" s="2">
        <v>200</v>
      </c>
      <c r="CE987" s="2" t="s">
        <v>120</v>
      </c>
      <c r="CF987" s="3">
        <v>43080</v>
      </c>
      <c r="CI987" s="2">
        <v>1</v>
      </c>
      <c r="CJ987" s="2">
        <v>1</v>
      </c>
      <c r="CK987" s="2">
        <v>21</v>
      </c>
      <c r="CL987" s="2" t="s">
        <v>89</v>
      </c>
    </row>
    <row r="988" spans="1:90">
      <c r="A988" s="2" t="s">
        <v>71</v>
      </c>
      <c r="B988" s="2" t="s">
        <v>72</v>
      </c>
      <c r="C988" s="2" t="s">
        <v>73</v>
      </c>
      <c r="E988" s="2" t="str">
        <f>"FES1162592914"</f>
        <v>FES1162592914</v>
      </c>
      <c r="F988" s="3">
        <v>43075</v>
      </c>
      <c r="G988" s="2">
        <v>201806</v>
      </c>
      <c r="H988" s="2" t="s">
        <v>74</v>
      </c>
      <c r="I988" s="2" t="s">
        <v>75</v>
      </c>
      <c r="J988" s="2" t="s">
        <v>97</v>
      </c>
      <c r="K988" s="2" t="s">
        <v>77</v>
      </c>
      <c r="L988" s="2" t="s">
        <v>982</v>
      </c>
      <c r="M988" s="2" t="s">
        <v>983</v>
      </c>
      <c r="N988" s="2" t="s">
        <v>1514</v>
      </c>
      <c r="O988" s="2" t="s">
        <v>101</v>
      </c>
      <c r="P988" s="2" t="str">
        <f>"2170605294                    "</f>
        <v xml:space="preserve">2170605294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15.28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2.1</v>
      </c>
      <c r="BJ988" s="2">
        <v>1.4</v>
      </c>
      <c r="BK988" s="2">
        <v>2.5</v>
      </c>
      <c r="BL988" s="2">
        <v>109.09</v>
      </c>
      <c r="BM988" s="2">
        <v>15.27</v>
      </c>
      <c r="BN988" s="2">
        <v>124.36</v>
      </c>
      <c r="BO988" s="2">
        <v>124.36</v>
      </c>
      <c r="BQ988" s="2" t="s">
        <v>102</v>
      </c>
      <c r="BR988" s="2" t="s">
        <v>103</v>
      </c>
      <c r="BS988" s="3">
        <v>43080</v>
      </c>
      <c r="BT988" s="4">
        <v>0.4236111111111111</v>
      </c>
      <c r="BU988" s="2" t="s">
        <v>114</v>
      </c>
      <c r="BV988" s="2" t="s">
        <v>89</v>
      </c>
      <c r="BW988" s="2" t="s">
        <v>149</v>
      </c>
      <c r="BX988" s="2" t="s">
        <v>292</v>
      </c>
      <c r="BY988" s="2">
        <v>6904.3</v>
      </c>
      <c r="CC988" s="2" t="s">
        <v>983</v>
      </c>
      <c r="CD988" s="2">
        <v>2499</v>
      </c>
      <c r="CE988" s="2" t="s">
        <v>87</v>
      </c>
      <c r="CF988" s="3">
        <v>43081</v>
      </c>
      <c r="CI988" s="2">
        <v>1</v>
      </c>
      <c r="CJ988" s="2">
        <v>3</v>
      </c>
      <c r="CK988" s="2">
        <v>23</v>
      </c>
      <c r="CL988" s="2" t="s">
        <v>89</v>
      </c>
    </row>
    <row r="989" spans="1:90">
      <c r="A989" s="2" t="s">
        <v>71</v>
      </c>
      <c r="B989" s="2" t="s">
        <v>72</v>
      </c>
      <c r="C989" s="2" t="s">
        <v>73</v>
      </c>
      <c r="E989" s="2" t="str">
        <f>"FES1162594116"</f>
        <v>FES1162594116</v>
      </c>
      <c r="F989" s="3">
        <v>43075</v>
      </c>
      <c r="G989" s="2">
        <v>201806</v>
      </c>
      <c r="H989" s="2" t="s">
        <v>74</v>
      </c>
      <c r="I989" s="2" t="s">
        <v>75</v>
      </c>
      <c r="J989" s="2" t="s">
        <v>97</v>
      </c>
      <c r="K989" s="2" t="s">
        <v>77</v>
      </c>
      <c r="L989" s="2" t="s">
        <v>136</v>
      </c>
      <c r="M989" s="2" t="s">
        <v>137</v>
      </c>
      <c r="N989" s="2" t="s">
        <v>138</v>
      </c>
      <c r="O989" s="2" t="s">
        <v>101</v>
      </c>
      <c r="P989" s="2" t="str">
        <f>"21706098812                   "</f>
        <v xml:space="preserve">21706098812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6.43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</v>
      </c>
      <c r="BJ989" s="2">
        <v>0.2</v>
      </c>
      <c r="BK989" s="2">
        <v>1</v>
      </c>
      <c r="BL989" s="2">
        <v>45.93</v>
      </c>
      <c r="BM989" s="2">
        <v>6.43</v>
      </c>
      <c r="BN989" s="2">
        <v>52.36</v>
      </c>
      <c r="BO989" s="2">
        <v>52.36</v>
      </c>
      <c r="BQ989" s="2" t="s">
        <v>82</v>
      </c>
      <c r="BR989" s="2" t="s">
        <v>103</v>
      </c>
      <c r="BS989" s="3">
        <v>43076</v>
      </c>
      <c r="BT989" s="4">
        <v>0.35416666666666669</v>
      </c>
      <c r="BU989" s="2" t="s">
        <v>139</v>
      </c>
      <c r="BV989" s="2" t="s">
        <v>85</v>
      </c>
      <c r="BY989" s="2">
        <v>1200</v>
      </c>
      <c r="BZ989" s="2" t="s">
        <v>27</v>
      </c>
      <c r="CA989" s="2" t="s">
        <v>140</v>
      </c>
      <c r="CC989" s="2" t="s">
        <v>137</v>
      </c>
      <c r="CD989" s="2">
        <v>6001</v>
      </c>
      <c r="CE989" s="2" t="s">
        <v>120</v>
      </c>
      <c r="CF989" s="3">
        <v>43077</v>
      </c>
      <c r="CI989" s="2">
        <v>1</v>
      </c>
      <c r="CJ989" s="2">
        <v>1</v>
      </c>
      <c r="CK989" s="2">
        <v>21</v>
      </c>
      <c r="CL989" s="2" t="s">
        <v>89</v>
      </c>
    </row>
    <row r="990" spans="1:90">
      <c r="A990" s="2" t="s">
        <v>71</v>
      </c>
      <c r="B990" s="2" t="s">
        <v>72</v>
      </c>
      <c r="C990" s="2" t="s">
        <v>73</v>
      </c>
      <c r="E990" s="2" t="str">
        <f>"FES1162594323"</f>
        <v>FES1162594323</v>
      </c>
      <c r="F990" s="3">
        <v>43075</v>
      </c>
      <c r="G990" s="2">
        <v>201806</v>
      </c>
      <c r="H990" s="2" t="s">
        <v>74</v>
      </c>
      <c r="I990" s="2" t="s">
        <v>75</v>
      </c>
      <c r="J990" s="2" t="s">
        <v>97</v>
      </c>
      <c r="K990" s="2" t="s">
        <v>77</v>
      </c>
      <c r="L990" s="2" t="s">
        <v>162</v>
      </c>
      <c r="M990" s="2" t="s">
        <v>163</v>
      </c>
      <c r="N990" s="2" t="s">
        <v>1515</v>
      </c>
      <c r="O990" s="2" t="s">
        <v>101</v>
      </c>
      <c r="P990" s="2" t="str">
        <f>"2170602278                    "</f>
        <v xml:space="preserve">2170602278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5.03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1</v>
      </c>
      <c r="BJ990" s="2">
        <v>0.2</v>
      </c>
      <c r="BK990" s="2">
        <v>1</v>
      </c>
      <c r="BL990" s="2">
        <v>35.89</v>
      </c>
      <c r="BM990" s="2">
        <v>5.0199999999999996</v>
      </c>
      <c r="BN990" s="2">
        <v>40.909999999999997</v>
      </c>
      <c r="BO990" s="2">
        <v>40.909999999999997</v>
      </c>
      <c r="BQ990" s="2" t="s">
        <v>82</v>
      </c>
      <c r="BR990" s="2" t="s">
        <v>103</v>
      </c>
      <c r="BS990" s="3">
        <v>43081</v>
      </c>
      <c r="BT990" s="4">
        <v>0.33333333333333331</v>
      </c>
      <c r="BU990" s="2" t="s">
        <v>1516</v>
      </c>
      <c r="BV990" s="2" t="s">
        <v>89</v>
      </c>
      <c r="BW990" s="2" t="s">
        <v>1517</v>
      </c>
      <c r="BX990" s="2" t="s">
        <v>438</v>
      </c>
      <c r="BY990" s="2">
        <v>1200</v>
      </c>
      <c r="CA990" s="2" t="s">
        <v>1050</v>
      </c>
      <c r="CC990" s="2" t="s">
        <v>163</v>
      </c>
      <c r="CD990" s="2">
        <v>1451</v>
      </c>
      <c r="CE990" s="2" t="s">
        <v>120</v>
      </c>
      <c r="CF990" s="3">
        <v>43083</v>
      </c>
      <c r="CI990" s="2">
        <v>1</v>
      </c>
      <c r="CJ990" s="2">
        <v>4</v>
      </c>
      <c r="CK990" s="2">
        <v>22</v>
      </c>
      <c r="CL990" s="2" t="s">
        <v>89</v>
      </c>
    </row>
    <row r="991" spans="1:90">
      <c r="A991" s="2" t="s">
        <v>71</v>
      </c>
      <c r="B991" s="2" t="s">
        <v>72</v>
      </c>
      <c r="C991" s="2" t="s">
        <v>73</v>
      </c>
      <c r="E991" s="2" t="str">
        <f>"FES1162593331"</f>
        <v>FES1162593331</v>
      </c>
      <c r="F991" s="3">
        <v>43075</v>
      </c>
      <c r="G991" s="2">
        <v>201806</v>
      </c>
      <c r="H991" s="2" t="s">
        <v>74</v>
      </c>
      <c r="I991" s="2" t="s">
        <v>75</v>
      </c>
      <c r="J991" s="2" t="s">
        <v>97</v>
      </c>
      <c r="K991" s="2" t="s">
        <v>77</v>
      </c>
      <c r="L991" s="2" t="s">
        <v>136</v>
      </c>
      <c r="M991" s="2" t="s">
        <v>137</v>
      </c>
      <c r="N991" s="2" t="s">
        <v>138</v>
      </c>
      <c r="O991" s="2" t="s">
        <v>101</v>
      </c>
      <c r="P991" s="2" t="str">
        <f>"217060302                     "</f>
        <v xml:space="preserve">217060302 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6.43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</v>
      </c>
      <c r="BJ991" s="2">
        <v>0.2</v>
      </c>
      <c r="BK991" s="2">
        <v>1</v>
      </c>
      <c r="BL991" s="2">
        <v>45.93</v>
      </c>
      <c r="BM991" s="2">
        <v>6.43</v>
      </c>
      <c r="BN991" s="2">
        <v>52.36</v>
      </c>
      <c r="BO991" s="2">
        <v>52.36</v>
      </c>
      <c r="BQ991" s="2" t="s">
        <v>82</v>
      </c>
      <c r="BR991" s="2" t="s">
        <v>103</v>
      </c>
      <c r="BS991" s="3">
        <v>43076</v>
      </c>
      <c r="BT991" s="4">
        <v>0.35416666666666669</v>
      </c>
      <c r="BU991" s="2" t="s">
        <v>139</v>
      </c>
      <c r="BV991" s="2" t="s">
        <v>85</v>
      </c>
      <c r="BY991" s="2">
        <v>1200</v>
      </c>
      <c r="BZ991" s="2" t="s">
        <v>27</v>
      </c>
      <c r="CA991" s="2" t="s">
        <v>140</v>
      </c>
      <c r="CC991" s="2" t="s">
        <v>137</v>
      </c>
      <c r="CD991" s="2">
        <v>6001</v>
      </c>
      <c r="CE991" s="2" t="s">
        <v>120</v>
      </c>
      <c r="CF991" s="3">
        <v>43077</v>
      </c>
      <c r="CI991" s="2">
        <v>1</v>
      </c>
      <c r="CJ991" s="2">
        <v>1</v>
      </c>
      <c r="CK991" s="2">
        <v>21</v>
      </c>
      <c r="CL991" s="2" t="s">
        <v>89</v>
      </c>
    </row>
    <row r="992" spans="1:90">
      <c r="A992" s="2" t="s">
        <v>71</v>
      </c>
      <c r="B992" s="2" t="s">
        <v>72</v>
      </c>
      <c r="C992" s="2" t="s">
        <v>73</v>
      </c>
      <c r="E992" s="2" t="str">
        <f>"FES1162594195"</f>
        <v>FES1162594195</v>
      </c>
      <c r="F992" s="3">
        <v>43075</v>
      </c>
      <c r="G992" s="2">
        <v>201806</v>
      </c>
      <c r="H992" s="2" t="s">
        <v>74</v>
      </c>
      <c r="I992" s="2" t="s">
        <v>75</v>
      </c>
      <c r="J992" s="2" t="s">
        <v>97</v>
      </c>
      <c r="K992" s="2" t="s">
        <v>77</v>
      </c>
      <c r="L992" s="2" t="s">
        <v>551</v>
      </c>
      <c r="M992" s="2" t="s">
        <v>552</v>
      </c>
      <c r="N992" s="2" t="s">
        <v>1501</v>
      </c>
      <c r="O992" s="2" t="s">
        <v>101</v>
      </c>
      <c r="P992" s="2" t="str">
        <f>"2170603780                    "</f>
        <v xml:space="preserve">2170603780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6.43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1</v>
      </c>
      <c r="BJ992" s="2">
        <v>0.2</v>
      </c>
      <c r="BK992" s="2">
        <v>1</v>
      </c>
      <c r="BL992" s="2">
        <v>45.93</v>
      </c>
      <c r="BM992" s="2">
        <v>6.43</v>
      </c>
      <c r="BN992" s="2">
        <v>52.36</v>
      </c>
      <c r="BO992" s="2">
        <v>52.36</v>
      </c>
      <c r="BQ992" s="2" t="s">
        <v>128</v>
      </c>
      <c r="BR992" s="2" t="s">
        <v>103</v>
      </c>
      <c r="BS992" s="3">
        <v>43076</v>
      </c>
      <c r="BT992" s="4">
        <v>0.47569444444444442</v>
      </c>
      <c r="BU992" s="2" t="s">
        <v>1502</v>
      </c>
      <c r="BV992" s="2" t="s">
        <v>85</v>
      </c>
      <c r="BY992" s="2">
        <v>1200</v>
      </c>
      <c r="CA992" s="2" t="s">
        <v>555</v>
      </c>
      <c r="CC992" s="2" t="s">
        <v>552</v>
      </c>
      <c r="CD992" s="2">
        <v>3310</v>
      </c>
      <c r="CE992" s="2" t="s">
        <v>120</v>
      </c>
      <c r="CF992" s="3">
        <v>43077</v>
      </c>
      <c r="CI992" s="2">
        <v>1</v>
      </c>
      <c r="CJ992" s="2">
        <v>1</v>
      </c>
      <c r="CK992" s="2">
        <v>21</v>
      </c>
      <c r="CL992" s="2" t="s">
        <v>89</v>
      </c>
    </row>
    <row r="993" spans="1:90">
      <c r="A993" s="2" t="s">
        <v>71</v>
      </c>
      <c r="B993" s="2" t="s">
        <v>72</v>
      </c>
      <c r="C993" s="2" t="s">
        <v>73</v>
      </c>
      <c r="E993" s="2" t="str">
        <f>"FES1162594335"</f>
        <v>FES1162594335</v>
      </c>
      <c r="F993" s="3">
        <v>43075</v>
      </c>
      <c r="G993" s="2">
        <v>201806</v>
      </c>
      <c r="H993" s="2" t="s">
        <v>74</v>
      </c>
      <c r="I993" s="2" t="s">
        <v>75</v>
      </c>
      <c r="J993" s="2" t="s">
        <v>97</v>
      </c>
      <c r="K993" s="2" t="s">
        <v>77</v>
      </c>
      <c r="L993" s="2" t="s">
        <v>136</v>
      </c>
      <c r="M993" s="2" t="s">
        <v>137</v>
      </c>
      <c r="N993" s="2" t="s">
        <v>1518</v>
      </c>
      <c r="O993" s="2" t="s">
        <v>101</v>
      </c>
      <c r="P993" s="2" t="str">
        <f>"2170606164                    "</f>
        <v xml:space="preserve">2170606164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6.43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45.93</v>
      </c>
      <c r="BM993" s="2">
        <v>6.43</v>
      </c>
      <c r="BN993" s="2">
        <v>52.36</v>
      </c>
      <c r="BO993" s="2">
        <v>52.36</v>
      </c>
      <c r="BQ993" s="2" t="s">
        <v>82</v>
      </c>
      <c r="BR993" s="2" t="s">
        <v>103</v>
      </c>
      <c r="BS993" s="3">
        <v>43076</v>
      </c>
      <c r="BT993" s="4">
        <v>0.3125</v>
      </c>
      <c r="BU993" s="2" t="s">
        <v>1519</v>
      </c>
      <c r="BV993" s="2" t="s">
        <v>85</v>
      </c>
      <c r="BY993" s="2">
        <v>1200</v>
      </c>
      <c r="CC993" s="2" t="s">
        <v>137</v>
      </c>
      <c r="CD993" s="2">
        <v>6210</v>
      </c>
      <c r="CE993" s="2" t="s">
        <v>120</v>
      </c>
      <c r="CF993" s="3">
        <v>43077</v>
      </c>
      <c r="CI993" s="2">
        <v>1</v>
      </c>
      <c r="CJ993" s="2">
        <v>1</v>
      </c>
      <c r="CK993" s="2">
        <v>21</v>
      </c>
      <c r="CL993" s="2" t="s">
        <v>89</v>
      </c>
    </row>
    <row r="994" spans="1:90">
      <c r="A994" s="2" t="s">
        <v>71</v>
      </c>
      <c r="B994" s="2" t="s">
        <v>72</v>
      </c>
      <c r="C994" s="2" t="s">
        <v>73</v>
      </c>
      <c r="E994" s="2" t="str">
        <f>"FES1162594295"</f>
        <v>FES1162594295</v>
      </c>
      <c r="F994" s="3">
        <v>43075</v>
      </c>
      <c r="G994" s="2">
        <v>201806</v>
      </c>
      <c r="H994" s="2" t="s">
        <v>74</v>
      </c>
      <c r="I994" s="2" t="s">
        <v>75</v>
      </c>
      <c r="J994" s="2" t="s">
        <v>97</v>
      </c>
      <c r="K994" s="2" t="s">
        <v>77</v>
      </c>
      <c r="L994" s="2" t="s">
        <v>98</v>
      </c>
      <c r="M994" s="2" t="s">
        <v>99</v>
      </c>
      <c r="N994" s="2" t="s">
        <v>1520</v>
      </c>
      <c r="O994" s="2" t="s">
        <v>101</v>
      </c>
      <c r="P994" s="2" t="str">
        <f>"2170606136                    "</f>
        <v xml:space="preserve">2170606136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6.43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1</v>
      </c>
      <c r="BJ994" s="2">
        <v>0.2</v>
      </c>
      <c r="BK994" s="2">
        <v>1</v>
      </c>
      <c r="BL994" s="2">
        <v>45.93</v>
      </c>
      <c r="BM994" s="2">
        <v>6.43</v>
      </c>
      <c r="BN994" s="2">
        <v>52.36</v>
      </c>
      <c r="BO994" s="2">
        <v>52.36</v>
      </c>
      <c r="BQ994" s="2" t="s">
        <v>142</v>
      </c>
      <c r="BR994" s="2" t="s">
        <v>103</v>
      </c>
      <c r="BS994" s="3">
        <v>43076</v>
      </c>
      <c r="BT994" s="4">
        <v>0.40972222222222227</v>
      </c>
      <c r="BU994" s="2" t="s">
        <v>1521</v>
      </c>
      <c r="BV994" s="2" t="s">
        <v>85</v>
      </c>
      <c r="BY994" s="2">
        <v>1200</v>
      </c>
      <c r="CA994" s="2" t="s">
        <v>497</v>
      </c>
      <c r="CC994" s="2" t="s">
        <v>99</v>
      </c>
      <c r="CD994" s="2">
        <v>3201</v>
      </c>
      <c r="CE994" s="2" t="s">
        <v>120</v>
      </c>
      <c r="CF994" s="3">
        <v>43080</v>
      </c>
      <c r="CI994" s="2">
        <v>1</v>
      </c>
      <c r="CJ994" s="2">
        <v>1</v>
      </c>
      <c r="CK994" s="2">
        <v>21</v>
      </c>
      <c r="CL994" s="2" t="s">
        <v>89</v>
      </c>
    </row>
    <row r="995" spans="1:90">
      <c r="A995" s="2" t="s">
        <v>71</v>
      </c>
      <c r="B995" s="2" t="s">
        <v>72</v>
      </c>
      <c r="C995" s="2" t="s">
        <v>73</v>
      </c>
      <c r="E995" s="2" t="str">
        <f>"FES1162594365"</f>
        <v>FES1162594365</v>
      </c>
      <c r="F995" s="3">
        <v>43075</v>
      </c>
      <c r="G995" s="2">
        <v>201806</v>
      </c>
      <c r="H995" s="2" t="s">
        <v>74</v>
      </c>
      <c r="I995" s="2" t="s">
        <v>75</v>
      </c>
      <c r="J995" s="2" t="s">
        <v>97</v>
      </c>
      <c r="K995" s="2" t="s">
        <v>77</v>
      </c>
      <c r="L995" s="2" t="s">
        <v>136</v>
      </c>
      <c r="M995" s="2" t="s">
        <v>137</v>
      </c>
      <c r="N995" s="2" t="s">
        <v>1042</v>
      </c>
      <c r="O995" s="2" t="s">
        <v>101</v>
      </c>
      <c r="P995" s="2" t="str">
        <f>"2170606213                    "</f>
        <v xml:space="preserve">2170606213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6.43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1</v>
      </c>
      <c r="BJ995" s="2">
        <v>0.2</v>
      </c>
      <c r="BK995" s="2">
        <v>1</v>
      </c>
      <c r="BL995" s="2">
        <v>45.93</v>
      </c>
      <c r="BM995" s="2">
        <v>6.43</v>
      </c>
      <c r="BN995" s="2">
        <v>52.36</v>
      </c>
      <c r="BO995" s="2">
        <v>52.36</v>
      </c>
      <c r="BQ995" s="2" t="s">
        <v>1043</v>
      </c>
      <c r="BR995" s="2" t="s">
        <v>103</v>
      </c>
      <c r="BS995" s="3">
        <v>43076</v>
      </c>
      <c r="BT995" s="4">
        <v>0.29791666666666666</v>
      </c>
      <c r="BU995" s="2" t="s">
        <v>1522</v>
      </c>
      <c r="BV995" s="2" t="s">
        <v>85</v>
      </c>
      <c r="BY995" s="2">
        <v>1200</v>
      </c>
      <c r="BZ995" s="2" t="s">
        <v>27</v>
      </c>
      <c r="CA995" s="2" t="s">
        <v>140</v>
      </c>
      <c r="CC995" s="2" t="s">
        <v>137</v>
      </c>
      <c r="CD995" s="2">
        <v>6012</v>
      </c>
      <c r="CE995" s="2" t="s">
        <v>120</v>
      </c>
      <c r="CF995" s="3">
        <v>43077</v>
      </c>
      <c r="CI995" s="2">
        <v>1</v>
      </c>
      <c r="CJ995" s="2">
        <v>1</v>
      </c>
      <c r="CK995" s="2">
        <v>21</v>
      </c>
      <c r="CL995" s="2" t="s">
        <v>89</v>
      </c>
    </row>
    <row r="996" spans="1:90">
      <c r="A996" s="2" t="s">
        <v>71</v>
      </c>
      <c r="B996" s="2" t="s">
        <v>72</v>
      </c>
      <c r="C996" s="2" t="s">
        <v>73</v>
      </c>
      <c r="E996" s="2" t="str">
        <f>"FES1162594560"</f>
        <v>FES1162594560</v>
      </c>
      <c r="F996" s="3">
        <v>43075</v>
      </c>
      <c r="G996" s="2">
        <v>201806</v>
      </c>
      <c r="H996" s="2" t="s">
        <v>74</v>
      </c>
      <c r="I996" s="2" t="s">
        <v>75</v>
      </c>
      <c r="J996" s="2" t="s">
        <v>97</v>
      </c>
      <c r="K996" s="2" t="s">
        <v>77</v>
      </c>
      <c r="L996" s="2" t="s">
        <v>173</v>
      </c>
      <c r="M996" s="2" t="s">
        <v>174</v>
      </c>
      <c r="N996" s="2" t="s">
        <v>175</v>
      </c>
      <c r="O996" s="2" t="s">
        <v>101</v>
      </c>
      <c r="P996" s="2" t="str">
        <f>"2170605875                    "</f>
        <v xml:space="preserve">2170605875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6.43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45.93</v>
      </c>
      <c r="BM996" s="2">
        <v>6.43</v>
      </c>
      <c r="BN996" s="2">
        <v>52.36</v>
      </c>
      <c r="BO996" s="2">
        <v>52.36</v>
      </c>
      <c r="BQ996" s="2" t="s">
        <v>102</v>
      </c>
      <c r="BR996" s="2" t="s">
        <v>103</v>
      </c>
      <c r="BS996" s="3">
        <v>43077</v>
      </c>
      <c r="BT996" s="4">
        <v>0.44861111111111113</v>
      </c>
      <c r="BU996" s="2" t="s">
        <v>176</v>
      </c>
      <c r="BV996" s="2" t="s">
        <v>89</v>
      </c>
      <c r="BW996" s="2" t="s">
        <v>149</v>
      </c>
      <c r="BX996" s="2" t="s">
        <v>368</v>
      </c>
      <c r="BY996" s="2">
        <v>1200</v>
      </c>
      <c r="CA996" s="2" t="s">
        <v>177</v>
      </c>
      <c r="CC996" s="2" t="s">
        <v>174</v>
      </c>
      <c r="CD996" s="2">
        <v>7405</v>
      </c>
      <c r="CE996" s="2" t="s">
        <v>120</v>
      </c>
      <c r="CF996" s="3">
        <v>43080</v>
      </c>
      <c r="CI996" s="2">
        <v>1</v>
      </c>
      <c r="CJ996" s="2">
        <v>2</v>
      </c>
      <c r="CK996" s="2">
        <v>21</v>
      </c>
      <c r="CL996" s="2" t="s">
        <v>89</v>
      </c>
    </row>
    <row r="997" spans="1:90">
      <c r="A997" s="2" t="s">
        <v>71</v>
      </c>
      <c r="B997" s="2" t="s">
        <v>72</v>
      </c>
      <c r="C997" s="2" t="s">
        <v>73</v>
      </c>
      <c r="E997" s="2" t="str">
        <f>"FES1162594442"</f>
        <v>FES1162594442</v>
      </c>
      <c r="F997" s="3">
        <v>43075</v>
      </c>
      <c r="G997" s="2">
        <v>201806</v>
      </c>
      <c r="H997" s="2" t="s">
        <v>74</v>
      </c>
      <c r="I997" s="2" t="s">
        <v>75</v>
      </c>
      <c r="J997" s="2" t="s">
        <v>97</v>
      </c>
      <c r="K997" s="2" t="s">
        <v>77</v>
      </c>
      <c r="L997" s="2" t="s">
        <v>106</v>
      </c>
      <c r="M997" s="2" t="s">
        <v>107</v>
      </c>
      <c r="N997" s="2" t="s">
        <v>108</v>
      </c>
      <c r="O997" s="2" t="s">
        <v>101</v>
      </c>
      <c r="P997" s="2" t="str">
        <f>"2170606287                    "</f>
        <v xml:space="preserve">2170606287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5.03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2.5</v>
      </c>
      <c r="BJ997" s="2">
        <v>1.7</v>
      </c>
      <c r="BK997" s="2">
        <v>3</v>
      </c>
      <c r="BL997" s="2">
        <v>35.89</v>
      </c>
      <c r="BM997" s="2">
        <v>5.0199999999999996</v>
      </c>
      <c r="BN997" s="2">
        <v>40.909999999999997</v>
      </c>
      <c r="BO997" s="2">
        <v>40.909999999999997</v>
      </c>
      <c r="BQ997" s="2" t="s">
        <v>82</v>
      </c>
      <c r="BR997" s="2" t="s">
        <v>103</v>
      </c>
      <c r="BS997" s="3">
        <v>43076</v>
      </c>
      <c r="BT997" s="4">
        <v>0.45833333333333331</v>
      </c>
      <c r="BU997" s="2" t="s">
        <v>328</v>
      </c>
      <c r="BV997" s="2" t="s">
        <v>89</v>
      </c>
      <c r="BW997" s="2" t="s">
        <v>156</v>
      </c>
      <c r="BX997" s="2" t="s">
        <v>438</v>
      </c>
      <c r="BY997" s="2">
        <v>8445.2900000000009</v>
      </c>
      <c r="CA997" s="2" t="s">
        <v>110</v>
      </c>
      <c r="CC997" s="2" t="s">
        <v>107</v>
      </c>
      <c r="CD997" s="2">
        <v>2094</v>
      </c>
      <c r="CE997" s="2" t="s">
        <v>95</v>
      </c>
      <c r="CF997" s="3">
        <v>43080</v>
      </c>
      <c r="CI997" s="2">
        <v>1</v>
      </c>
      <c r="CJ997" s="2">
        <v>1</v>
      </c>
      <c r="CK997" s="2">
        <v>22</v>
      </c>
      <c r="CL997" s="2" t="s">
        <v>89</v>
      </c>
    </row>
    <row r="998" spans="1:90">
      <c r="A998" s="2" t="s">
        <v>71</v>
      </c>
      <c r="B998" s="2" t="s">
        <v>72</v>
      </c>
      <c r="C998" s="2" t="s">
        <v>73</v>
      </c>
      <c r="E998" s="2" t="str">
        <f>"FES1162594024"</f>
        <v>FES1162594024</v>
      </c>
      <c r="F998" s="3">
        <v>43075</v>
      </c>
      <c r="G998" s="2">
        <v>201806</v>
      </c>
      <c r="H998" s="2" t="s">
        <v>74</v>
      </c>
      <c r="I998" s="2" t="s">
        <v>75</v>
      </c>
      <c r="J998" s="2" t="s">
        <v>97</v>
      </c>
      <c r="K998" s="2" t="s">
        <v>77</v>
      </c>
      <c r="L998" s="2" t="s">
        <v>1523</v>
      </c>
      <c r="M998" s="2" t="s">
        <v>1524</v>
      </c>
      <c r="N998" s="2" t="s">
        <v>1525</v>
      </c>
      <c r="O998" s="2" t="s">
        <v>101</v>
      </c>
      <c r="P998" s="2" t="str">
        <f>"2170596578                    "</f>
        <v xml:space="preserve">2170596578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9.0500000000000007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2</v>
      </c>
      <c r="BJ998" s="2">
        <v>1.7</v>
      </c>
      <c r="BK998" s="2">
        <v>2</v>
      </c>
      <c r="BL998" s="2">
        <v>64.599999999999994</v>
      </c>
      <c r="BM998" s="2">
        <v>9.0399999999999991</v>
      </c>
      <c r="BN998" s="2">
        <v>73.64</v>
      </c>
      <c r="BO998" s="2">
        <v>73.64</v>
      </c>
      <c r="BQ998" s="2" t="s">
        <v>1526</v>
      </c>
      <c r="BR998" s="2" t="s">
        <v>103</v>
      </c>
      <c r="BS998" s="3">
        <v>43076</v>
      </c>
      <c r="BT998" s="4">
        <v>0.42708333333333331</v>
      </c>
      <c r="BU998" s="2" t="s">
        <v>1527</v>
      </c>
      <c r="BV998" s="2" t="s">
        <v>85</v>
      </c>
      <c r="BY998" s="2">
        <v>8650.7000000000007</v>
      </c>
      <c r="CA998" s="2" t="s">
        <v>1528</v>
      </c>
      <c r="CC998" s="2" t="s">
        <v>1524</v>
      </c>
      <c r="CD998" s="2">
        <v>1055</v>
      </c>
      <c r="CE998" s="2" t="s">
        <v>95</v>
      </c>
      <c r="CF998" s="3">
        <v>43081</v>
      </c>
      <c r="CI998" s="2">
        <v>1</v>
      </c>
      <c r="CJ998" s="2">
        <v>1</v>
      </c>
      <c r="CK998" s="2">
        <v>24</v>
      </c>
      <c r="CL998" s="2" t="s">
        <v>89</v>
      </c>
    </row>
    <row r="999" spans="1:90">
      <c r="A999" s="2" t="s">
        <v>71</v>
      </c>
      <c r="B999" s="2" t="s">
        <v>72</v>
      </c>
      <c r="C999" s="2" t="s">
        <v>73</v>
      </c>
      <c r="E999" s="2" t="str">
        <f>"FES1162594264"</f>
        <v>FES1162594264</v>
      </c>
      <c r="F999" s="3">
        <v>43075</v>
      </c>
      <c r="G999" s="2">
        <v>201806</v>
      </c>
      <c r="H999" s="2" t="s">
        <v>74</v>
      </c>
      <c r="I999" s="2" t="s">
        <v>75</v>
      </c>
      <c r="J999" s="2" t="s">
        <v>97</v>
      </c>
      <c r="K999" s="2" t="s">
        <v>77</v>
      </c>
      <c r="L999" s="2" t="s">
        <v>136</v>
      </c>
      <c r="M999" s="2" t="s">
        <v>137</v>
      </c>
      <c r="N999" s="2" t="s">
        <v>138</v>
      </c>
      <c r="O999" s="2" t="s">
        <v>101</v>
      </c>
      <c r="P999" s="2" t="str">
        <f>"2170605711                    "</f>
        <v xml:space="preserve">2170605711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6.43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</v>
      </c>
      <c r="BJ999" s="2">
        <v>0.2</v>
      </c>
      <c r="BK999" s="2">
        <v>1</v>
      </c>
      <c r="BL999" s="2">
        <v>45.93</v>
      </c>
      <c r="BM999" s="2">
        <v>6.43</v>
      </c>
      <c r="BN999" s="2">
        <v>52.36</v>
      </c>
      <c r="BO999" s="2">
        <v>52.36</v>
      </c>
      <c r="BQ999" s="2" t="s">
        <v>82</v>
      </c>
      <c r="BR999" s="2" t="s">
        <v>103</v>
      </c>
      <c r="BS999" s="3">
        <v>43076</v>
      </c>
      <c r="BT999" s="4">
        <v>0.35416666666666669</v>
      </c>
      <c r="BU999" s="2" t="s">
        <v>139</v>
      </c>
      <c r="BV999" s="2" t="s">
        <v>85</v>
      </c>
      <c r="BY999" s="2">
        <v>1200</v>
      </c>
      <c r="BZ999" s="2" t="s">
        <v>27</v>
      </c>
      <c r="CA999" s="2" t="s">
        <v>140</v>
      </c>
      <c r="CC999" s="2" t="s">
        <v>137</v>
      </c>
      <c r="CD999" s="2">
        <v>6001</v>
      </c>
      <c r="CE999" s="2" t="s">
        <v>120</v>
      </c>
      <c r="CF999" s="3">
        <v>43077</v>
      </c>
      <c r="CI999" s="2">
        <v>1</v>
      </c>
      <c r="CJ999" s="2">
        <v>1</v>
      </c>
      <c r="CK999" s="2">
        <v>21</v>
      </c>
      <c r="CL999" s="2" t="s">
        <v>89</v>
      </c>
    </row>
    <row r="1000" spans="1:90">
      <c r="A1000" s="2" t="s">
        <v>71</v>
      </c>
      <c r="B1000" s="2" t="s">
        <v>72</v>
      </c>
      <c r="C1000" s="2" t="s">
        <v>73</v>
      </c>
      <c r="E1000" s="2" t="str">
        <f>"FES1162594447"</f>
        <v>FES1162594447</v>
      </c>
      <c r="F1000" s="3">
        <v>43075</v>
      </c>
      <c r="G1000" s="2">
        <v>201806</v>
      </c>
      <c r="H1000" s="2" t="s">
        <v>74</v>
      </c>
      <c r="I1000" s="2" t="s">
        <v>75</v>
      </c>
      <c r="J1000" s="2" t="s">
        <v>97</v>
      </c>
      <c r="K1000" s="2" t="s">
        <v>77</v>
      </c>
      <c r="L1000" s="2" t="s">
        <v>221</v>
      </c>
      <c r="M1000" s="2" t="s">
        <v>222</v>
      </c>
      <c r="N1000" s="2" t="s">
        <v>1443</v>
      </c>
      <c r="O1000" s="2" t="s">
        <v>101</v>
      </c>
      <c r="P1000" s="2" t="str">
        <f>"2170606296                    "</f>
        <v xml:space="preserve">2170606296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6.43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45.93</v>
      </c>
      <c r="BM1000" s="2">
        <v>6.43</v>
      </c>
      <c r="BN1000" s="2">
        <v>52.36</v>
      </c>
      <c r="BO1000" s="2">
        <v>52.36</v>
      </c>
      <c r="BQ1000" s="2" t="s">
        <v>128</v>
      </c>
      <c r="BR1000" s="2" t="s">
        <v>103</v>
      </c>
      <c r="BS1000" s="3">
        <v>43076</v>
      </c>
      <c r="BT1000" s="4">
        <v>0.41666666666666669</v>
      </c>
      <c r="BU1000" s="2" t="s">
        <v>1444</v>
      </c>
      <c r="BV1000" s="2" t="s">
        <v>85</v>
      </c>
      <c r="BY1000" s="2">
        <v>1200</v>
      </c>
      <c r="CC1000" s="2" t="s">
        <v>222</v>
      </c>
      <c r="CD1000" s="2">
        <v>4133</v>
      </c>
      <c r="CE1000" s="2" t="s">
        <v>120</v>
      </c>
      <c r="CF1000" s="3">
        <v>43077</v>
      </c>
      <c r="CI1000" s="2">
        <v>1</v>
      </c>
      <c r="CJ1000" s="2">
        <v>1</v>
      </c>
      <c r="CK1000" s="2">
        <v>21</v>
      </c>
      <c r="CL1000" s="2" t="s">
        <v>89</v>
      </c>
    </row>
    <row r="1001" spans="1:90">
      <c r="A1001" s="2" t="s">
        <v>71</v>
      </c>
      <c r="B1001" s="2" t="s">
        <v>72</v>
      </c>
      <c r="C1001" s="2" t="s">
        <v>73</v>
      </c>
      <c r="E1001" s="2" t="str">
        <f>"FES1162594369"</f>
        <v>FES1162594369</v>
      </c>
      <c r="F1001" s="3">
        <v>43075</v>
      </c>
      <c r="G1001" s="2">
        <v>201806</v>
      </c>
      <c r="H1001" s="2" t="s">
        <v>74</v>
      </c>
      <c r="I1001" s="2" t="s">
        <v>75</v>
      </c>
      <c r="J1001" s="2" t="s">
        <v>97</v>
      </c>
      <c r="K1001" s="2" t="s">
        <v>77</v>
      </c>
      <c r="L1001" s="2" t="s">
        <v>136</v>
      </c>
      <c r="M1001" s="2" t="s">
        <v>137</v>
      </c>
      <c r="N1001" s="2" t="s">
        <v>1529</v>
      </c>
      <c r="O1001" s="2" t="s">
        <v>101</v>
      </c>
      <c r="P1001" s="2" t="str">
        <f>"2170606217                    "</f>
        <v xml:space="preserve">2170606217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6.43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45.93</v>
      </c>
      <c r="BM1001" s="2">
        <v>6.43</v>
      </c>
      <c r="BN1001" s="2">
        <v>52.36</v>
      </c>
      <c r="BO1001" s="2">
        <v>52.36</v>
      </c>
      <c r="BR1001" s="2" t="s">
        <v>103</v>
      </c>
      <c r="BS1001" s="3">
        <v>43076</v>
      </c>
      <c r="BT1001" s="4">
        <v>0.29166666666666669</v>
      </c>
      <c r="BU1001" s="2" t="s">
        <v>1530</v>
      </c>
      <c r="BV1001" s="2" t="s">
        <v>85</v>
      </c>
      <c r="BY1001" s="2">
        <v>1200</v>
      </c>
      <c r="CA1001" s="2" t="s">
        <v>180</v>
      </c>
      <c r="CC1001" s="2" t="s">
        <v>137</v>
      </c>
      <c r="CD1001" s="2">
        <v>6001</v>
      </c>
      <c r="CE1001" s="2" t="s">
        <v>120</v>
      </c>
      <c r="CF1001" s="3">
        <v>43080</v>
      </c>
      <c r="CI1001" s="2">
        <v>1</v>
      </c>
      <c r="CJ1001" s="2">
        <v>1</v>
      </c>
      <c r="CK1001" s="2">
        <v>21</v>
      </c>
      <c r="CL1001" s="2" t="s">
        <v>89</v>
      </c>
    </row>
    <row r="1002" spans="1:90">
      <c r="A1002" s="2" t="s">
        <v>71</v>
      </c>
      <c r="B1002" s="2" t="s">
        <v>72</v>
      </c>
      <c r="C1002" s="2" t="s">
        <v>73</v>
      </c>
      <c r="E1002" s="2" t="str">
        <f>"FES1162594402"</f>
        <v>FES1162594402</v>
      </c>
      <c r="F1002" s="3">
        <v>43075</v>
      </c>
      <c r="G1002" s="2">
        <v>201806</v>
      </c>
      <c r="H1002" s="2" t="s">
        <v>74</v>
      </c>
      <c r="I1002" s="2" t="s">
        <v>75</v>
      </c>
      <c r="J1002" s="2" t="s">
        <v>97</v>
      </c>
      <c r="K1002" s="2" t="s">
        <v>77</v>
      </c>
      <c r="L1002" s="2" t="s">
        <v>272</v>
      </c>
      <c r="M1002" s="2" t="s">
        <v>272</v>
      </c>
      <c r="N1002" s="2" t="s">
        <v>1185</v>
      </c>
      <c r="O1002" s="2" t="s">
        <v>101</v>
      </c>
      <c r="P1002" s="2" t="str">
        <f>"2170606249                    "</f>
        <v xml:space="preserve">2170606249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9.0500000000000007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64.599999999999994</v>
      </c>
      <c r="BM1002" s="2">
        <v>9.0399999999999991</v>
      </c>
      <c r="BN1002" s="2">
        <v>73.64</v>
      </c>
      <c r="BO1002" s="2">
        <v>73.64</v>
      </c>
      <c r="BQ1002" s="2" t="s">
        <v>82</v>
      </c>
      <c r="BR1002" s="2" t="s">
        <v>103</v>
      </c>
      <c r="BS1002" s="3">
        <v>43076</v>
      </c>
      <c r="BT1002" s="4">
        <v>0.42708333333333331</v>
      </c>
      <c r="BU1002" s="2" t="s">
        <v>512</v>
      </c>
      <c r="BV1002" s="2" t="s">
        <v>85</v>
      </c>
      <c r="BY1002" s="2">
        <v>1200</v>
      </c>
      <c r="CC1002" s="2" t="s">
        <v>272</v>
      </c>
      <c r="CD1002" s="2">
        <v>1491</v>
      </c>
      <c r="CE1002" s="2" t="s">
        <v>120</v>
      </c>
      <c r="CF1002" s="3">
        <v>43081</v>
      </c>
      <c r="CI1002" s="2">
        <v>1</v>
      </c>
      <c r="CJ1002" s="2">
        <v>1</v>
      </c>
      <c r="CK1002" s="2">
        <v>24</v>
      </c>
      <c r="CL1002" s="2" t="s">
        <v>89</v>
      </c>
    </row>
    <row r="1003" spans="1:90">
      <c r="A1003" s="2" t="s">
        <v>71</v>
      </c>
      <c r="B1003" s="2" t="s">
        <v>72</v>
      </c>
      <c r="C1003" s="2" t="s">
        <v>73</v>
      </c>
      <c r="E1003" s="2" t="str">
        <f>"FES1162594200"</f>
        <v>FES1162594200</v>
      </c>
      <c r="F1003" s="3">
        <v>43075</v>
      </c>
      <c r="G1003" s="2">
        <v>201806</v>
      </c>
      <c r="H1003" s="2" t="s">
        <v>74</v>
      </c>
      <c r="I1003" s="2" t="s">
        <v>75</v>
      </c>
      <c r="J1003" s="2" t="s">
        <v>97</v>
      </c>
      <c r="K1003" s="2" t="s">
        <v>77</v>
      </c>
      <c r="L1003" s="2" t="s">
        <v>325</v>
      </c>
      <c r="M1003" s="2" t="s">
        <v>326</v>
      </c>
      <c r="N1003" s="2" t="s">
        <v>1531</v>
      </c>
      <c r="O1003" s="2" t="s">
        <v>101</v>
      </c>
      <c r="P1003" s="2" t="str">
        <f>"2170603854                    "</f>
        <v xml:space="preserve">2170603854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6.43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45.93</v>
      </c>
      <c r="BM1003" s="2">
        <v>6.43</v>
      </c>
      <c r="BN1003" s="2">
        <v>52.36</v>
      </c>
      <c r="BO1003" s="2">
        <v>52.36</v>
      </c>
      <c r="BQ1003" s="2" t="s">
        <v>128</v>
      </c>
      <c r="BR1003" s="2" t="s">
        <v>103</v>
      </c>
      <c r="BS1003" s="3">
        <v>43076</v>
      </c>
      <c r="BT1003" s="4">
        <v>0.60069444444444442</v>
      </c>
      <c r="BU1003" s="2" t="s">
        <v>1532</v>
      </c>
      <c r="BV1003" s="2" t="s">
        <v>89</v>
      </c>
      <c r="BY1003" s="2">
        <v>1200</v>
      </c>
      <c r="CC1003" s="2" t="s">
        <v>326</v>
      </c>
      <c r="CD1003" s="2">
        <v>1961</v>
      </c>
      <c r="CE1003" s="2" t="s">
        <v>120</v>
      </c>
      <c r="CF1003" s="3">
        <v>43080</v>
      </c>
      <c r="CI1003" s="2">
        <v>1</v>
      </c>
      <c r="CJ1003" s="2">
        <v>1</v>
      </c>
      <c r="CK1003" s="2">
        <v>21</v>
      </c>
      <c r="CL1003" s="2" t="s">
        <v>89</v>
      </c>
    </row>
    <row r="1004" spans="1:90">
      <c r="A1004" s="2" t="s">
        <v>71</v>
      </c>
      <c r="B1004" s="2" t="s">
        <v>72</v>
      </c>
      <c r="C1004" s="2" t="s">
        <v>73</v>
      </c>
      <c r="E1004" s="2" t="str">
        <f>"FES1162594521"</f>
        <v>FES1162594521</v>
      </c>
      <c r="F1004" s="3">
        <v>43075</v>
      </c>
      <c r="G1004" s="2">
        <v>201806</v>
      </c>
      <c r="H1004" s="2" t="s">
        <v>74</v>
      </c>
      <c r="I1004" s="2" t="s">
        <v>75</v>
      </c>
      <c r="J1004" s="2" t="s">
        <v>97</v>
      </c>
      <c r="K1004" s="2" t="s">
        <v>77</v>
      </c>
      <c r="L1004" s="2" t="s">
        <v>145</v>
      </c>
      <c r="M1004" s="2" t="s">
        <v>146</v>
      </c>
      <c r="N1004" s="2" t="s">
        <v>1533</v>
      </c>
      <c r="O1004" s="2" t="s">
        <v>101</v>
      </c>
      <c r="P1004" s="2" t="str">
        <f>"2170605769                    "</f>
        <v xml:space="preserve">2170605769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6.43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1.2</v>
      </c>
      <c r="BJ1004" s="2">
        <v>1.8</v>
      </c>
      <c r="BK1004" s="2">
        <v>2</v>
      </c>
      <c r="BL1004" s="2">
        <v>45.93</v>
      </c>
      <c r="BM1004" s="2">
        <v>6.43</v>
      </c>
      <c r="BN1004" s="2">
        <v>52.36</v>
      </c>
      <c r="BO1004" s="2">
        <v>52.36</v>
      </c>
      <c r="BQ1004" s="2" t="s">
        <v>1534</v>
      </c>
      <c r="BR1004" s="2" t="s">
        <v>103</v>
      </c>
      <c r="BS1004" s="3">
        <v>43076</v>
      </c>
      <c r="BT1004" s="4">
        <v>0.39583333333333331</v>
      </c>
      <c r="BU1004" s="2" t="s">
        <v>1535</v>
      </c>
      <c r="BV1004" s="2" t="s">
        <v>85</v>
      </c>
      <c r="BY1004" s="2">
        <v>9041.8700000000008</v>
      </c>
      <c r="CA1004" s="2" t="s">
        <v>629</v>
      </c>
      <c r="CC1004" s="2" t="s">
        <v>146</v>
      </c>
      <c r="CD1004" s="2">
        <v>5201</v>
      </c>
      <c r="CE1004" s="2" t="s">
        <v>120</v>
      </c>
      <c r="CF1004" s="3">
        <v>43080</v>
      </c>
      <c r="CI1004" s="2">
        <v>1</v>
      </c>
      <c r="CJ1004" s="2">
        <v>1</v>
      </c>
      <c r="CK1004" s="2">
        <v>21</v>
      </c>
      <c r="CL1004" s="2" t="s">
        <v>89</v>
      </c>
    </row>
    <row r="1005" spans="1:90">
      <c r="A1005" s="2" t="s">
        <v>71</v>
      </c>
      <c r="B1005" s="2" t="s">
        <v>72</v>
      </c>
      <c r="C1005" s="2" t="s">
        <v>73</v>
      </c>
      <c r="E1005" s="2" t="str">
        <f>"FES1162594117"</f>
        <v>FES1162594117</v>
      </c>
      <c r="F1005" s="3">
        <v>43075</v>
      </c>
      <c r="G1005" s="2">
        <v>201806</v>
      </c>
      <c r="H1005" s="2" t="s">
        <v>74</v>
      </c>
      <c r="I1005" s="2" t="s">
        <v>75</v>
      </c>
      <c r="J1005" s="2" t="s">
        <v>97</v>
      </c>
      <c r="K1005" s="2" t="s">
        <v>77</v>
      </c>
      <c r="L1005" s="2" t="s">
        <v>136</v>
      </c>
      <c r="M1005" s="2" t="s">
        <v>137</v>
      </c>
      <c r="N1005" s="2" t="s">
        <v>138</v>
      </c>
      <c r="O1005" s="2" t="s">
        <v>101</v>
      </c>
      <c r="P1005" s="2" t="str">
        <f>"2170598950                    "</f>
        <v xml:space="preserve">2170598950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6.43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45.93</v>
      </c>
      <c r="BM1005" s="2">
        <v>6.43</v>
      </c>
      <c r="BN1005" s="2">
        <v>52.36</v>
      </c>
      <c r="BO1005" s="2">
        <v>52.36</v>
      </c>
      <c r="BQ1005" s="2" t="s">
        <v>82</v>
      </c>
      <c r="BR1005" s="2" t="s">
        <v>103</v>
      </c>
      <c r="BS1005" s="3">
        <v>43076</v>
      </c>
      <c r="BT1005" s="4">
        <v>0.35416666666666669</v>
      </c>
      <c r="BU1005" s="2" t="s">
        <v>139</v>
      </c>
      <c r="BV1005" s="2" t="s">
        <v>85</v>
      </c>
      <c r="BY1005" s="2">
        <v>1200</v>
      </c>
      <c r="CA1005" s="2" t="s">
        <v>140</v>
      </c>
      <c r="CC1005" s="2" t="s">
        <v>137</v>
      </c>
      <c r="CD1005" s="2">
        <v>6001</v>
      </c>
      <c r="CE1005" s="2" t="s">
        <v>120</v>
      </c>
      <c r="CF1005" s="3">
        <v>43080</v>
      </c>
      <c r="CI1005" s="2">
        <v>1</v>
      </c>
      <c r="CJ1005" s="2">
        <v>1</v>
      </c>
      <c r="CK1005" s="2">
        <v>21</v>
      </c>
      <c r="CL1005" s="2" t="s">
        <v>89</v>
      </c>
    </row>
    <row r="1006" spans="1:90">
      <c r="A1006" s="2" t="s">
        <v>71</v>
      </c>
      <c r="B1006" s="2" t="s">
        <v>72</v>
      </c>
      <c r="C1006" s="2" t="s">
        <v>73</v>
      </c>
      <c r="E1006" s="2" t="str">
        <f>"FES1162594187"</f>
        <v>FES1162594187</v>
      </c>
      <c r="F1006" s="3">
        <v>43075</v>
      </c>
      <c r="G1006" s="2">
        <v>201806</v>
      </c>
      <c r="H1006" s="2" t="s">
        <v>74</v>
      </c>
      <c r="I1006" s="2" t="s">
        <v>75</v>
      </c>
      <c r="J1006" s="2" t="s">
        <v>97</v>
      </c>
      <c r="K1006" s="2" t="s">
        <v>77</v>
      </c>
      <c r="L1006" s="2" t="s">
        <v>152</v>
      </c>
      <c r="M1006" s="2" t="s">
        <v>153</v>
      </c>
      <c r="N1006" s="2" t="s">
        <v>1536</v>
      </c>
      <c r="O1006" s="2" t="s">
        <v>101</v>
      </c>
      <c r="P1006" s="2" t="str">
        <f>"2170603713                    "</f>
        <v xml:space="preserve">2170603713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5.03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35.89</v>
      </c>
      <c r="BM1006" s="2">
        <v>5.0199999999999996</v>
      </c>
      <c r="BN1006" s="2">
        <v>40.909999999999997</v>
      </c>
      <c r="BO1006" s="2">
        <v>40.909999999999997</v>
      </c>
      <c r="BQ1006" s="2" t="s">
        <v>82</v>
      </c>
      <c r="BR1006" s="2" t="s">
        <v>103</v>
      </c>
      <c r="BS1006" s="3">
        <v>43076</v>
      </c>
      <c r="BT1006" s="4">
        <v>0.43055555555555558</v>
      </c>
      <c r="BU1006" s="2" t="s">
        <v>1537</v>
      </c>
      <c r="BV1006" s="2" t="s">
        <v>85</v>
      </c>
      <c r="BY1006" s="2">
        <v>1200</v>
      </c>
      <c r="CA1006" s="2" t="s">
        <v>439</v>
      </c>
      <c r="CC1006" s="2" t="s">
        <v>153</v>
      </c>
      <c r="CD1006" s="2">
        <v>1422</v>
      </c>
      <c r="CE1006" s="2" t="s">
        <v>120</v>
      </c>
      <c r="CF1006" s="3">
        <v>43089</v>
      </c>
      <c r="CI1006" s="2">
        <v>1</v>
      </c>
      <c r="CJ1006" s="2">
        <v>1</v>
      </c>
      <c r="CK1006" s="2">
        <v>22</v>
      </c>
      <c r="CL1006" s="2" t="s">
        <v>89</v>
      </c>
    </row>
    <row r="1007" spans="1:90">
      <c r="A1007" s="2" t="s">
        <v>71</v>
      </c>
      <c r="B1007" s="2" t="s">
        <v>72</v>
      </c>
      <c r="C1007" s="2" t="s">
        <v>73</v>
      </c>
      <c r="E1007" s="2" t="str">
        <f>"FES1162594219"</f>
        <v>FES1162594219</v>
      </c>
      <c r="F1007" s="3">
        <v>43075</v>
      </c>
      <c r="G1007" s="2">
        <v>201806</v>
      </c>
      <c r="H1007" s="2" t="s">
        <v>74</v>
      </c>
      <c r="I1007" s="2" t="s">
        <v>75</v>
      </c>
      <c r="J1007" s="2" t="s">
        <v>97</v>
      </c>
      <c r="K1007" s="2" t="s">
        <v>77</v>
      </c>
      <c r="L1007" s="2" t="s">
        <v>189</v>
      </c>
      <c r="M1007" s="2" t="s">
        <v>190</v>
      </c>
      <c r="N1007" s="2" t="s">
        <v>199</v>
      </c>
      <c r="O1007" s="2" t="s">
        <v>101</v>
      </c>
      <c r="P1007" s="2" t="str">
        <f>"2170604398                    "</f>
        <v xml:space="preserve">2170604398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6.43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45.93</v>
      </c>
      <c r="BM1007" s="2">
        <v>6.43</v>
      </c>
      <c r="BN1007" s="2">
        <v>52.36</v>
      </c>
      <c r="BO1007" s="2">
        <v>52.36</v>
      </c>
      <c r="BQ1007" s="2" t="s">
        <v>102</v>
      </c>
      <c r="BR1007" s="2" t="s">
        <v>103</v>
      </c>
      <c r="BS1007" s="3">
        <v>43076</v>
      </c>
      <c r="BT1007" s="4">
        <v>0.41666666666666669</v>
      </c>
      <c r="BU1007" s="2" t="s">
        <v>667</v>
      </c>
      <c r="BV1007" s="2" t="s">
        <v>85</v>
      </c>
      <c r="BY1007" s="2">
        <v>1200</v>
      </c>
      <c r="CA1007" s="2" t="s">
        <v>669</v>
      </c>
      <c r="CC1007" s="2" t="s">
        <v>190</v>
      </c>
      <c r="CD1007" s="2">
        <v>157</v>
      </c>
      <c r="CE1007" s="2" t="s">
        <v>120</v>
      </c>
      <c r="CF1007" s="3">
        <v>43080</v>
      </c>
      <c r="CI1007" s="2">
        <v>1</v>
      </c>
      <c r="CJ1007" s="2">
        <v>1</v>
      </c>
      <c r="CK1007" s="2">
        <v>21</v>
      </c>
      <c r="CL1007" s="2" t="s">
        <v>89</v>
      </c>
    </row>
    <row r="1008" spans="1:90">
      <c r="A1008" s="2" t="s">
        <v>71</v>
      </c>
      <c r="B1008" s="2" t="s">
        <v>72</v>
      </c>
      <c r="C1008" s="2" t="s">
        <v>73</v>
      </c>
      <c r="E1008" s="2" t="str">
        <f>"FES1162594221"</f>
        <v>FES1162594221</v>
      </c>
      <c r="F1008" s="3">
        <v>43075</v>
      </c>
      <c r="G1008" s="2">
        <v>201806</v>
      </c>
      <c r="H1008" s="2" t="s">
        <v>74</v>
      </c>
      <c r="I1008" s="2" t="s">
        <v>75</v>
      </c>
      <c r="J1008" s="2" t="s">
        <v>97</v>
      </c>
      <c r="K1008" s="2" t="s">
        <v>77</v>
      </c>
      <c r="L1008" s="2" t="s">
        <v>168</v>
      </c>
      <c r="M1008" s="2" t="s">
        <v>169</v>
      </c>
      <c r="N1008" s="2" t="s">
        <v>1538</v>
      </c>
      <c r="O1008" s="2" t="s">
        <v>101</v>
      </c>
      <c r="P1008" s="2" t="str">
        <f>"2170604532                    "</f>
        <v xml:space="preserve">2170604532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6.43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45.93</v>
      </c>
      <c r="BM1008" s="2">
        <v>6.43</v>
      </c>
      <c r="BN1008" s="2">
        <v>52.36</v>
      </c>
      <c r="BO1008" s="2">
        <v>52.36</v>
      </c>
      <c r="BQ1008" s="2" t="s">
        <v>82</v>
      </c>
      <c r="BR1008" s="2" t="s">
        <v>103</v>
      </c>
      <c r="BS1008" s="3">
        <v>43076</v>
      </c>
      <c r="BT1008" s="4">
        <v>0.55902777777777779</v>
      </c>
      <c r="BU1008" s="2" t="s">
        <v>1539</v>
      </c>
      <c r="BV1008" s="2" t="s">
        <v>85</v>
      </c>
      <c r="BY1008" s="2">
        <v>1200</v>
      </c>
      <c r="CA1008" s="2" t="s">
        <v>1235</v>
      </c>
      <c r="CC1008" s="2" t="s">
        <v>169</v>
      </c>
      <c r="CD1008" s="2">
        <v>3610</v>
      </c>
      <c r="CE1008" s="2" t="s">
        <v>120</v>
      </c>
      <c r="CF1008" s="3">
        <v>43080</v>
      </c>
      <c r="CI1008" s="2">
        <v>1</v>
      </c>
      <c r="CJ1008" s="2">
        <v>1</v>
      </c>
      <c r="CK1008" s="2">
        <v>21</v>
      </c>
      <c r="CL1008" s="2" t="s">
        <v>89</v>
      </c>
    </row>
    <row r="1009" spans="1:90">
      <c r="A1009" s="2" t="s">
        <v>71</v>
      </c>
      <c r="B1009" s="2" t="s">
        <v>72</v>
      </c>
      <c r="C1009" s="2" t="s">
        <v>73</v>
      </c>
      <c r="E1009" s="2" t="str">
        <f>"FES1162594174"</f>
        <v>FES1162594174</v>
      </c>
      <c r="F1009" s="3">
        <v>43075</v>
      </c>
      <c r="G1009" s="2">
        <v>201806</v>
      </c>
      <c r="H1009" s="2" t="s">
        <v>74</v>
      </c>
      <c r="I1009" s="2" t="s">
        <v>75</v>
      </c>
      <c r="J1009" s="2" t="s">
        <v>97</v>
      </c>
      <c r="K1009" s="2" t="s">
        <v>77</v>
      </c>
      <c r="L1009" s="2" t="s">
        <v>651</v>
      </c>
      <c r="M1009" s="2" t="s">
        <v>652</v>
      </c>
      <c r="N1009" s="2" t="s">
        <v>653</v>
      </c>
      <c r="O1009" s="2" t="s">
        <v>101</v>
      </c>
      <c r="P1009" s="2" t="str">
        <f>"2170603581                    "</f>
        <v xml:space="preserve">2170603581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9.0500000000000007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0.2</v>
      </c>
      <c r="BK1009" s="2">
        <v>1</v>
      </c>
      <c r="BL1009" s="2">
        <v>64.599999999999994</v>
      </c>
      <c r="BM1009" s="2">
        <v>9.0399999999999991</v>
      </c>
      <c r="BN1009" s="2">
        <v>73.64</v>
      </c>
      <c r="BO1009" s="2">
        <v>73.64</v>
      </c>
      <c r="BQ1009" s="2" t="s">
        <v>654</v>
      </c>
      <c r="BR1009" s="2" t="s">
        <v>103</v>
      </c>
      <c r="BS1009" s="3">
        <v>43076</v>
      </c>
      <c r="BT1009" s="4">
        <v>0.46180555555555558</v>
      </c>
      <c r="BU1009" s="2" t="s">
        <v>1540</v>
      </c>
      <c r="BV1009" s="2" t="s">
        <v>85</v>
      </c>
      <c r="BY1009" s="2">
        <v>1200</v>
      </c>
      <c r="CA1009" s="2" t="s">
        <v>1541</v>
      </c>
      <c r="CC1009" s="2" t="s">
        <v>652</v>
      </c>
      <c r="CD1009" s="2">
        <v>250</v>
      </c>
      <c r="CE1009" s="2" t="s">
        <v>120</v>
      </c>
      <c r="CF1009" s="3">
        <v>43080</v>
      </c>
      <c r="CI1009" s="2">
        <v>1</v>
      </c>
      <c r="CJ1009" s="2">
        <v>1</v>
      </c>
      <c r="CK1009" s="2">
        <v>24</v>
      </c>
      <c r="CL1009" s="2" t="s">
        <v>89</v>
      </c>
    </row>
    <row r="1010" spans="1:90">
      <c r="A1010" s="2" t="s">
        <v>71</v>
      </c>
      <c r="B1010" s="2" t="s">
        <v>72</v>
      </c>
      <c r="C1010" s="2" t="s">
        <v>73</v>
      </c>
      <c r="E1010" s="2" t="str">
        <f>"FES1162594471"</f>
        <v>FES1162594471</v>
      </c>
      <c r="F1010" s="3">
        <v>43075</v>
      </c>
      <c r="G1010" s="2">
        <v>201806</v>
      </c>
      <c r="H1010" s="2" t="s">
        <v>74</v>
      </c>
      <c r="I1010" s="2" t="s">
        <v>75</v>
      </c>
      <c r="J1010" s="2" t="s">
        <v>97</v>
      </c>
      <c r="K1010" s="2" t="s">
        <v>77</v>
      </c>
      <c r="L1010" s="2" t="s">
        <v>131</v>
      </c>
      <c r="M1010" s="2" t="s">
        <v>132</v>
      </c>
      <c r="N1010" s="2" t="s">
        <v>228</v>
      </c>
      <c r="O1010" s="2" t="s">
        <v>101</v>
      </c>
      <c r="P1010" s="2" t="str">
        <f>"2170606321                    "</f>
        <v xml:space="preserve">2170606321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6.43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1</v>
      </c>
      <c r="BJ1010" s="2">
        <v>0.2</v>
      </c>
      <c r="BK1010" s="2">
        <v>1</v>
      </c>
      <c r="BL1010" s="2">
        <v>45.93</v>
      </c>
      <c r="BM1010" s="2">
        <v>6.43</v>
      </c>
      <c r="BN1010" s="2">
        <v>52.36</v>
      </c>
      <c r="BO1010" s="2">
        <v>52.36</v>
      </c>
      <c r="BQ1010" s="2" t="s">
        <v>229</v>
      </c>
      <c r="BR1010" s="2" t="s">
        <v>103</v>
      </c>
      <c r="BS1010" s="3">
        <v>43076</v>
      </c>
      <c r="BT1010" s="4">
        <v>0.43055555555555558</v>
      </c>
      <c r="BU1010" s="2" t="s">
        <v>230</v>
      </c>
      <c r="BV1010" s="2" t="s">
        <v>85</v>
      </c>
      <c r="BY1010" s="2">
        <v>1200</v>
      </c>
      <c r="CA1010" s="2" t="s">
        <v>231</v>
      </c>
      <c r="CC1010" s="2" t="s">
        <v>132</v>
      </c>
      <c r="CD1010" s="2">
        <v>4300</v>
      </c>
      <c r="CE1010" s="2" t="s">
        <v>120</v>
      </c>
      <c r="CF1010" s="3">
        <v>43080</v>
      </c>
      <c r="CI1010" s="2">
        <v>1</v>
      </c>
      <c r="CJ1010" s="2">
        <v>1</v>
      </c>
      <c r="CK1010" s="2">
        <v>21</v>
      </c>
      <c r="CL1010" s="2" t="s">
        <v>89</v>
      </c>
    </row>
    <row r="1011" spans="1:90">
      <c r="A1011" s="2" t="s">
        <v>71</v>
      </c>
      <c r="B1011" s="2" t="s">
        <v>72</v>
      </c>
      <c r="C1011" s="2" t="s">
        <v>73</v>
      </c>
      <c r="E1011" s="2" t="str">
        <f>"FES1162594285"</f>
        <v>FES1162594285</v>
      </c>
      <c r="F1011" s="3">
        <v>43075</v>
      </c>
      <c r="G1011" s="2">
        <v>201806</v>
      </c>
      <c r="H1011" s="2" t="s">
        <v>74</v>
      </c>
      <c r="I1011" s="2" t="s">
        <v>75</v>
      </c>
      <c r="J1011" s="2" t="s">
        <v>97</v>
      </c>
      <c r="K1011" s="2" t="s">
        <v>77</v>
      </c>
      <c r="L1011" s="2" t="s">
        <v>145</v>
      </c>
      <c r="M1011" s="2" t="s">
        <v>146</v>
      </c>
      <c r="N1011" s="2" t="s">
        <v>709</v>
      </c>
      <c r="O1011" s="2" t="s">
        <v>101</v>
      </c>
      <c r="P1011" s="2" t="str">
        <f>"2170605970                    "</f>
        <v xml:space="preserve">2170605970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6.43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1</v>
      </c>
      <c r="BJ1011" s="2">
        <v>0.2</v>
      </c>
      <c r="BK1011" s="2">
        <v>1</v>
      </c>
      <c r="BL1011" s="2">
        <v>45.93</v>
      </c>
      <c r="BM1011" s="2">
        <v>6.43</v>
      </c>
      <c r="BN1011" s="2">
        <v>52.36</v>
      </c>
      <c r="BO1011" s="2">
        <v>52.36</v>
      </c>
      <c r="BQ1011" s="2" t="s">
        <v>102</v>
      </c>
      <c r="BR1011" s="2" t="s">
        <v>103</v>
      </c>
      <c r="BS1011" s="3">
        <v>43076</v>
      </c>
      <c r="BT1011" s="4">
        <v>0.41666666666666669</v>
      </c>
      <c r="BU1011" s="2" t="s">
        <v>1482</v>
      </c>
      <c r="BV1011" s="2" t="s">
        <v>85</v>
      </c>
      <c r="BY1011" s="2">
        <v>1200</v>
      </c>
      <c r="CC1011" s="2" t="s">
        <v>146</v>
      </c>
      <c r="CD1011" s="2">
        <v>5201</v>
      </c>
      <c r="CE1011" s="2" t="s">
        <v>120</v>
      </c>
      <c r="CF1011" s="3">
        <v>43080</v>
      </c>
      <c r="CI1011" s="2">
        <v>1</v>
      </c>
      <c r="CJ1011" s="2">
        <v>1</v>
      </c>
      <c r="CK1011" s="2">
        <v>21</v>
      </c>
      <c r="CL1011" s="2" t="s">
        <v>89</v>
      </c>
    </row>
    <row r="1012" spans="1:90">
      <c r="A1012" s="2" t="s">
        <v>71</v>
      </c>
      <c r="B1012" s="2" t="s">
        <v>72</v>
      </c>
      <c r="C1012" s="2" t="s">
        <v>73</v>
      </c>
      <c r="E1012" s="2" t="str">
        <f>"FES1162594491"</f>
        <v>FES1162594491</v>
      </c>
      <c r="F1012" s="3">
        <v>43075</v>
      </c>
      <c r="G1012" s="2">
        <v>201806</v>
      </c>
      <c r="H1012" s="2" t="s">
        <v>74</v>
      </c>
      <c r="I1012" s="2" t="s">
        <v>75</v>
      </c>
      <c r="J1012" s="2" t="s">
        <v>97</v>
      </c>
      <c r="K1012" s="2" t="s">
        <v>77</v>
      </c>
      <c r="L1012" s="2" t="s">
        <v>136</v>
      </c>
      <c r="M1012" s="2" t="s">
        <v>137</v>
      </c>
      <c r="N1012" s="2" t="s">
        <v>1542</v>
      </c>
      <c r="O1012" s="2" t="s">
        <v>101</v>
      </c>
      <c r="P1012" s="2" t="str">
        <f>"2170606346                    "</f>
        <v xml:space="preserve">2170606346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9.65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1.4</v>
      </c>
      <c r="BJ1012" s="2">
        <v>2.7</v>
      </c>
      <c r="BK1012" s="2">
        <v>3</v>
      </c>
      <c r="BL1012" s="2">
        <v>68.89</v>
      </c>
      <c r="BM1012" s="2">
        <v>9.64</v>
      </c>
      <c r="BN1012" s="2">
        <v>78.53</v>
      </c>
      <c r="BO1012" s="2">
        <v>78.53</v>
      </c>
      <c r="BQ1012" s="2" t="s">
        <v>128</v>
      </c>
      <c r="BR1012" s="2" t="s">
        <v>103</v>
      </c>
      <c r="BS1012" s="3">
        <v>43076</v>
      </c>
      <c r="BT1012" s="4">
        <v>0.34791666666666665</v>
      </c>
      <c r="BU1012" s="2" t="s">
        <v>1543</v>
      </c>
      <c r="BV1012" s="2" t="s">
        <v>85</v>
      </c>
      <c r="BY1012" s="2">
        <v>13456.29</v>
      </c>
      <c r="BZ1012" s="2" t="s">
        <v>27</v>
      </c>
      <c r="CA1012" s="2" t="s">
        <v>140</v>
      </c>
      <c r="CC1012" s="2" t="s">
        <v>137</v>
      </c>
      <c r="CD1012" s="2">
        <v>6001</v>
      </c>
      <c r="CE1012" s="2" t="s">
        <v>120</v>
      </c>
      <c r="CF1012" s="3">
        <v>43077</v>
      </c>
      <c r="CI1012" s="2">
        <v>1</v>
      </c>
      <c r="CJ1012" s="2">
        <v>1</v>
      </c>
      <c r="CK1012" s="2">
        <v>21</v>
      </c>
      <c r="CL1012" s="2" t="s">
        <v>89</v>
      </c>
    </row>
    <row r="1013" spans="1:90">
      <c r="A1013" s="2" t="s">
        <v>71</v>
      </c>
      <c r="B1013" s="2" t="s">
        <v>72</v>
      </c>
      <c r="C1013" s="2" t="s">
        <v>73</v>
      </c>
      <c r="E1013" s="2" t="str">
        <f>"FES1162594389"</f>
        <v>FES1162594389</v>
      </c>
      <c r="F1013" s="3">
        <v>43075</v>
      </c>
      <c r="G1013" s="2">
        <v>201806</v>
      </c>
      <c r="H1013" s="2" t="s">
        <v>74</v>
      </c>
      <c r="I1013" s="2" t="s">
        <v>75</v>
      </c>
      <c r="J1013" s="2" t="s">
        <v>97</v>
      </c>
      <c r="K1013" s="2" t="s">
        <v>77</v>
      </c>
      <c r="L1013" s="2" t="s">
        <v>136</v>
      </c>
      <c r="M1013" s="2" t="s">
        <v>137</v>
      </c>
      <c r="N1013" s="2" t="s">
        <v>1544</v>
      </c>
      <c r="O1013" s="2" t="s">
        <v>101</v>
      </c>
      <c r="P1013" s="2" t="str">
        <f>"2170606143                    "</f>
        <v xml:space="preserve">2170606143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6.43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</v>
      </c>
      <c r="BJ1013" s="2">
        <v>0.2</v>
      </c>
      <c r="BK1013" s="2">
        <v>1</v>
      </c>
      <c r="BL1013" s="2">
        <v>45.93</v>
      </c>
      <c r="BM1013" s="2">
        <v>6.43</v>
      </c>
      <c r="BN1013" s="2">
        <v>52.36</v>
      </c>
      <c r="BO1013" s="2">
        <v>52.36</v>
      </c>
      <c r="BQ1013" s="2" t="s">
        <v>128</v>
      </c>
      <c r="BR1013" s="2" t="s">
        <v>103</v>
      </c>
      <c r="BS1013" s="3">
        <v>43076</v>
      </c>
      <c r="BT1013" s="4">
        <v>0.40069444444444446</v>
      </c>
      <c r="BU1013" s="2" t="s">
        <v>1545</v>
      </c>
      <c r="BV1013" s="2" t="s">
        <v>85</v>
      </c>
      <c r="BY1013" s="2">
        <v>1200</v>
      </c>
      <c r="CA1013" s="2" t="s">
        <v>261</v>
      </c>
      <c r="CC1013" s="2" t="s">
        <v>137</v>
      </c>
      <c r="CD1013" s="2">
        <v>6070</v>
      </c>
      <c r="CE1013" s="2" t="s">
        <v>120</v>
      </c>
      <c r="CF1013" s="3">
        <v>43080</v>
      </c>
      <c r="CI1013" s="2">
        <v>1</v>
      </c>
      <c r="CJ1013" s="2">
        <v>1</v>
      </c>
      <c r="CK1013" s="2">
        <v>21</v>
      </c>
      <c r="CL1013" s="2" t="s">
        <v>89</v>
      </c>
    </row>
    <row r="1014" spans="1:90">
      <c r="A1014" s="2" t="s">
        <v>71</v>
      </c>
      <c r="B1014" s="2" t="s">
        <v>72</v>
      </c>
      <c r="C1014" s="2" t="s">
        <v>73</v>
      </c>
      <c r="E1014" s="2" t="str">
        <f>"FES1162594509"</f>
        <v>FES1162594509</v>
      </c>
      <c r="F1014" s="3">
        <v>43075</v>
      </c>
      <c r="G1014" s="2">
        <v>201806</v>
      </c>
      <c r="H1014" s="2" t="s">
        <v>74</v>
      </c>
      <c r="I1014" s="2" t="s">
        <v>75</v>
      </c>
      <c r="J1014" s="2" t="s">
        <v>97</v>
      </c>
      <c r="K1014" s="2" t="s">
        <v>77</v>
      </c>
      <c r="L1014" s="2" t="s">
        <v>212</v>
      </c>
      <c r="M1014" s="2" t="s">
        <v>212</v>
      </c>
      <c r="N1014" s="2" t="s">
        <v>370</v>
      </c>
      <c r="O1014" s="2" t="s">
        <v>101</v>
      </c>
      <c r="P1014" s="2" t="str">
        <f>"2170606229                    "</f>
        <v xml:space="preserve">2170606229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11.26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3.4</v>
      </c>
      <c r="BJ1014" s="2">
        <v>3.4</v>
      </c>
      <c r="BK1014" s="2">
        <v>3.5</v>
      </c>
      <c r="BL1014" s="2">
        <v>80.37</v>
      </c>
      <c r="BM1014" s="2">
        <v>11.25</v>
      </c>
      <c r="BN1014" s="2">
        <v>91.62</v>
      </c>
      <c r="BO1014" s="2">
        <v>91.62</v>
      </c>
      <c r="BQ1014" s="2" t="s">
        <v>102</v>
      </c>
      <c r="BR1014" s="2" t="s">
        <v>103</v>
      </c>
      <c r="BS1014" s="3">
        <v>43076</v>
      </c>
      <c r="BT1014" s="4">
        <v>0.61111111111111105</v>
      </c>
      <c r="BU1014" s="2" t="s">
        <v>538</v>
      </c>
      <c r="BV1014" s="2" t="s">
        <v>89</v>
      </c>
      <c r="BW1014" s="2" t="s">
        <v>149</v>
      </c>
      <c r="BX1014" s="2" t="s">
        <v>1413</v>
      </c>
      <c r="BY1014" s="2">
        <v>17087.990000000002</v>
      </c>
      <c r="CC1014" s="2" t="s">
        <v>212</v>
      </c>
      <c r="CD1014" s="2">
        <v>7646</v>
      </c>
      <c r="CE1014" s="2" t="s">
        <v>95</v>
      </c>
      <c r="CF1014" s="3">
        <v>43076</v>
      </c>
      <c r="CI1014" s="2">
        <v>1</v>
      </c>
      <c r="CJ1014" s="2">
        <v>1</v>
      </c>
      <c r="CK1014" s="2">
        <v>21</v>
      </c>
      <c r="CL1014" s="2" t="s">
        <v>89</v>
      </c>
    </row>
    <row r="1015" spans="1:90">
      <c r="A1015" s="2" t="s">
        <v>71</v>
      </c>
      <c r="B1015" s="2" t="s">
        <v>72</v>
      </c>
      <c r="C1015" s="2" t="s">
        <v>73</v>
      </c>
      <c r="E1015" s="2" t="str">
        <f>"FES1162594171"</f>
        <v>FES1162594171</v>
      </c>
      <c r="F1015" s="3">
        <v>43075</v>
      </c>
      <c r="G1015" s="2">
        <v>201806</v>
      </c>
      <c r="H1015" s="2" t="s">
        <v>74</v>
      </c>
      <c r="I1015" s="2" t="s">
        <v>75</v>
      </c>
      <c r="J1015" s="2" t="s">
        <v>97</v>
      </c>
      <c r="K1015" s="2" t="s">
        <v>77</v>
      </c>
      <c r="L1015" s="2" t="s">
        <v>547</v>
      </c>
      <c r="M1015" s="2" t="s">
        <v>548</v>
      </c>
      <c r="N1015" s="2" t="s">
        <v>1546</v>
      </c>
      <c r="O1015" s="2" t="s">
        <v>101</v>
      </c>
      <c r="P1015" s="2" t="str">
        <f>"2170603552                    "</f>
        <v xml:space="preserve">2170603552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5.03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1</v>
      </c>
      <c r="BJ1015" s="2">
        <v>0.2</v>
      </c>
      <c r="BK1015" s="2">
        <v>1</v>
      </c>
      <c r="BL1015" s="2">
        <v>35.89</v>
      </c>
      <c r="BM1015" s="2">
        <v>5.0199999999999996</v>
      </c>
      <c r="BN1015" s="2">
        <v>40.909999999999997</v>
      </c>
      <c r="BO1015" s="2">
        <v>40.909999999999997</v>
      </c>
      <c r="BQ1015" s="2" t="s">
        <v>102</v>
      </c>
      <c r="BR1015" s="2" t="s">
        <v>103</v>
      </c>
      <c r="BS1015" s="3">
        <v>43076</v>
      </c>
      <c r="BT1015" s="4">
        <v>0.40277777777777773</v>
      </c>
      <c r="BU1015" s="2" t="s">
        <v>1547</v>
      </c>
      <c r="BV1015" s="2" t="s">
        <v>85</v>
      </c>
      <c r="BY1015" s="2">
        <v>1200</v>
      </c>
      <c r="CA1015" s="2" t="s">
        <v>119</v>
      </c>
      <c r="CC1015" s="2" t="s">
        <v>548</v>
      </c>
      <c r="CD1015" s="2">
        <v>1501</v>
      </c>
      <c r="CE1015" s="2" t="s">
        <v>120</v>
      </c>
      <c r="CF1015" s="3">
        <v>43080</v>
      </c>
      <c r="CI1015" s="2">
        <v>1</v>
      </c>
      <c r="CJ1015" s="2">
        <v>1</v>
      </c>
      <c r="CK1015" s="2">
        <v>22</v>
      </c>
      <c r="CL1015" s="2" t="s">
        <v>89</v>
      </c>
    </row>
    <row r="1016" spans="1:90">
      <c r="A1016" s="2" t="s">
        <v>71</v>
      </c>
      <c r="B1016" s="2" t="s">
        <v>72</v>
      </c>
      <c r="C1016" s="2" t="s">
        <v>73</v>
      </c>
      <c r="E1016" s="2" t="str">
        <f>"FES1162594418"</f>
        <v>FES1162594418</v>
      </c>
      <c r="F1016" s="3">
        <v>43075</v>
      </c>
      <c r="G1016" s="2">
        <v>201806</v>
      </c>
      <c r="H1016" s="2" t="s">
        <v>74</v>
      </c>
      <c r="I1016" s="2" t="s">
        <v>75</v>
      </c>
      <c r="J1016" s="2" t="s">
        <v>97</v>
      </c>
      <c r="K1016" s="2" t="s">
        <v>77</v>
      </c>
      <c r="L1016" s="2" t="s">
        <v>1548</v>
      </c>
      <c r="M1016" s="2" t="s">
        <v>1549</v>
      </c>
      <c r="N1016" s="2" t="s">
        <v>1550</v>
      </c>
      <c r="O1016" s="2" t="s">
        <v>101</v>
      </c>
      <c r="P1016" s="2" t="str">
        <f>"2170606273                    "</f>
        <v xml:space="preserve">2170606273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12.47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</v>
      </c>
      <c r="BJ1016" s="2">
        <v>0.2</v>
      </c>
      <c r="BK1016" s="2">
        <v>1</v>
      </c>
      <c r="BL1016" s="2">
        <v>89</v>
      </c>
      <c r="BM1016" s="2">
        <v>12.46</v>
      </c>
      <c r="BN1016" s="2">
        <v>101.46</v>
      </c>
      <c r="BO1016" s="2">
        <v>101.46</v>
      </c>
      <c r="BQ1016" s="2" t="s">
        <v>128</v>
      </c>
      <c r="BR1016" s="2" t="s">
        <v>103</v>
      </c>
      <c r="BS1016" s="3">
        <v>43080</v>
      </c>
      <c r="BT1016" s="4">
        <v>0.41666666666666669</v>
      </c>
      <c r="BU1016" s="2" t="s">
        <v>1551</v>
      </c>
      <c r="BV1016" s="2" t="s">
        <v>85</v>
      </c>
      <c r="BY1016" s="2">
        <v>1200</v>
      </c>
      <c r="CC1016" s="2" t="s">
        <v>1549</v>
      </c>
      <c r="CD1016" s="2">
        <v>7380</v>
      </c>
      <c r="CE1016" s="2" t="s">
        <v>120</v>
      </c>
      <c r="CF1016" s="3">
        <v>43082</v>
      </c>
      <c r="CI1016" s="2">
        <v>3</v>
      </c>
      <c r="CJ1016" s="2">
        <v>3</v>
      </c>
      <c r="CK1016" s="2">
        <v>23</v>
      </c>
      <c r="CL1016" s="2" t="s">
        <v>89</v>
      </c>
    </row>
    <row r="1017" spans="1:90">
      <c r="A1017" s="2" t="s">
        <v>71</v>
      </c>
      <c r="B1017" s="2" t="s">
        <v>72</v>
      </c>
      <c r="C1017" s="2" t="s">
        <v>73</v>
      </c>
      <c r="E1017" s="2" t="str">
        <f>"FES1162594393"</f>
        <v>FES1162594393</v>
      </c>
      <c r="F1017" s="3">
        <v>43075</v>
      </c>
      <c r="G1017" s="2">
        <v>201806</v>
      </c>
      <c r="H1017" s="2" t="s">
        <v>74</v>
      </c>
      <c r="I1017" s="2" t="s">
        <v>75</v>
      </c>
      <c r="J1017" s="2" t="s">
        <v>97</v>
      </c>
      <c r="K1017" s="2" t="s">
        <v>77</v>
      </c>
      <c r="L1017" s="2" t="s">
        <v>145</v>
      </c>
      <c r="M1017" s="2" t="s">
        <v>146</v>
      </c>
      <c r="N1017" s="2" t="s">
        <v>1552</v>
      </c>
      <c r="O1017" s="2" t="s">
        <v>101</v>
      </c>
      <c r="P1017" s="2" t="str">
        <f>"2170601083                    "</f>
        <v xml:space="preserve">2170601083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6.43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</v>
      </c>
      <c r="BJ1017" s="2">
        <v>0.2</v>
      </c>
      <c r="BK1017" s="2">
        <v>1</v>
      </c>
      <c r="BL1017" s="2">
        <v>45.93</v>
      </c>
      <c r="BM1017" s="2">
        <v>6.43</v>
      </c>
      <c r="BN1017" s="2">
        <v>52.36</v>
      </c>
      <c r="BO1017" s="2">
        <v>52.36</v>
      </c>
      <c r="BQ1017" s="2" t="s">
        <v>1553</v>
      </c>
      <c r="BR1017" s="2" t="s">
        <v>103</v>
      </c>
      <c r="BS1017" s="3">
        <v>43076</v>
      </c>
      <c r="BT1017" s="4">
        <v>0.40972222222222227</v>
      </c>
      <c r="BU1017" s="2" t="s">
        <v>1554</v>
      </c>
      <c r="BV1017" s="2" t="s">
        <v>85</v>
      </c>
      <c r="BY1017" s="2">
        <v>1200</v>
      </c>
      <c r="CA1017" s="2" t="s">
        <v>754</v>
      </c>
      <c r="CC1017" s="2" t="s">
        <v>146</v>
      </c>
      <c r="CD1017" s="2">
        <v>5201</v>
      </c>
      <c r="CE1017" s="2" t="s">
        <v>120</v>
      </c>
      <c r="CF1017" s="3">
        <v>43077</v>
      </c>
      <c r="CI1017" s="2">
        <v>1</v>
      </c>
      <c r="CJ1017" s="2">
        <v>1</v>
      </c>
      <c r="CK1017" s="2">
        <v>21</v>
      </c>
      <c r="CL1017" s="2" t="s">
        <v>89</v>
      </c>
    </row>
    <row r="1018" spans="1:90">
      <c r="A1018" s="2" t="s">
        <v>71</v>
      </c>
      <c r="B1018" s="2" t="s">
        <v>72</v>
      </c>
      <c r="C1018" s="2" t="s">
        <v>73</v>
      </c>
      <c r="E1018" s="2" t="str">
        <f>"FES1162594484"</f>
        <v>FES1162594484</v>
      </c>
      <c r="F1018" s="3">
        <v>43075</v>
      </c>
      <c r="G1018" s="2">
        <v>201806</v>
      </c>
      <c r="H1018" s="2" t="s">
        <v>74</v>
      </c>
      <c r="I1018" s="2" t="s">
        <v>75</v>
      </c>
      <c r="J1018" s="2" t="s">
        <v>97</v>
      </c>
      <c r="K1018" s="2" t="s">
        <v>77</v>
      </c>
      <c r="L1018" s="2" t="s">
        <v>106</v>
      </c>
      <c r="M1018" s="2" t="s">
        <v>107</v>
      </c>
      <c r="N1018" s="2" t="s">
        <v>1555</v>
      </c>
      <c r="O1018" s="2" t="s">
        <v>101</v>
      </c>
      <c r="P1018" s="2" t="str">
        <f>"2170606339                    "</f>
        <v xml:space="preserve">2170606339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6.84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10.7</v>
      </c>
      <c r="BJ1018" s="2">
        <v>3.5</v>
      </c>
      <c r="BK1018" s="2">
        <v>11</v>
      </c>
      <c r="BL1018" s="2">
        <v>48.8</v>
      </c>
      <c r="BM1018" s="2">
        <v>6.83</v>
      </c>
      <c r="BN1018" s="2">
        <v>55.63</v>
      </c>
      <c r="BO1018" s="2">
        <v>55.63</v>
      </c>
      <c r="BR1018" s="2" t="s">
        <v>103</v>
      </c>
      <c r="BS1018" s="3">
        <v>43076</v>
      </c>
      <c r="BT1018" s="4">
        <v>0.42708333333333331</v>
      </c>
      <c r="BU1018" s="2" t="s">
        <v>1556</v>
      </c>
      <c r="BV1018" s="2" t="s">
        <v>85</v>
      </c>
      <c r="BY1018" s="2">
        <v>17393.66</v>
      </c>
      <c r="CA1018" s="2" t="s">
        <v>110</v>
      </c>
      <c r="CC1018" s="2" t="s">
        <v>107</v>
      </c>
      <c r="CD1018" s="2">
        <v>2011</v>
      </c>
      <c r="CE1018" s="2" t="s">
        <v>95</v>
      </c>
      <c r="CF1018" s="3">
        <v>43080</v>
      </c>
      <c r="CI1018" s="2">
        <v>1</v>
      </c>
      <c r="CJ1018" s="2">
        <v>1</v>
      </c>
      <c r="CK1018" s="2">
        <v>22</v>
      </c>
      <c r="CL1018" s="2" t="s">
        <v>89</v>
      </c>
    </row>
    <row r="1019" spans="1:90">
      <c r="A1019" s="2" t="s">
        <v>71</v>
      </c>
      <c r="B1019" s="2" t="s">
        <v>72</v>
      </c>
      <c r="C1019" s="2" t="s">
        <v>73</v>
      </c>
      <c r="E1019" s="2" t="str">
        <f>"FES1162594146"</f>
        <v>FES1162594146</v>
      </c>
      <c r="F1019" s="3">
        <v>43075</v>
      </c>
      <c r="G1019" s="2">
        <v>201806</v>
      </c>
      <c r="H1019" s="2" t="s">
        <v>74</v>
      </c>
      <c r="I1019" s="2" t="s">
        <v>75</v>
      </c>
      <c r="J1019" s="2" t="s">
        <v>97</v>
      </c>
      <c r="K1019" s="2" t="s">
        <v>77</v>
      </c>
      <c r="L1019" s="2" t="s">
        <v>145</v>
      </c>
      <c r="M1019" s="2" t="s">
        <v>146</v>
      </c>
      <c r="N1019" s="2" t="s">
        <v>1557</v>
      </c>
      <c r="O1019" s="2" t="s">
        <v>101</v>
      </c>
      <c r="P1019" s="2" t="str">
        <f>"2170603218                    "</f>
        <v xml:space="preserve">2170603218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6.43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45.93</v>
      </c>
      <c r="BM1019" s="2">
        <v>6.43</v>
      </c>
      <c r="BN1019" s="2">
        <v>52.36</v>
      </c>
      <c r="BO1019" s="2">
        <v>52.36</v>
      </c>
      <c r="BR1019" s="2" t="s">
        <v>103</v>
      </c>
      <c r="BS1019" s="3">
        <v>43083</v>
      </c>
      <c r="BT1019" s="4">
        <v>0.53055555555555556</v>
      </c>
      <c r="BU1019" s="2" t="s">
        <v>1558</v>
      </c>
      <c r="BV1019" s="2" t="s">
        <v>89</v>
      </c>
      <c r="BW1019" s="2" t="s">
        <v>149</v>
      </c>
      <c r="BX1019" s="2" t="s">
        <v>513</v>
      </c>
      <c r="BY1019" s="2">
        <v>1200</v>
      </c>
      <c r="CC1019" s="2" t="s">
        <v>146</v>
      </c>
      <c r="CD1019" s="2">
        <v>5200</v>
      </c>
      <c r="CE1019" s="2" t="s">
        <v>120</v>
      </c>
      <c r="CF1019" s="3">
        <v>43082</v>
      </c>
      <c r="CI1019" s="2">
        <v>1</v>
      </c>
      <c r="CJ1019" s="2">
        <v>6</v>
      </c>
      <c r="CK1019" s="2">
        <v>21</v>
      </c>
      <c r="CL1019" s="2" t="s">
        <v>89</v>
      </c>
    </row>
    <row r="1020" spans="1:90">
      <c r="A1020" s="2" t="s">
        <v>71</v>
      </c>
      <c r="B1020" s="2" t="s">
        <v>72</v>
      </c>
      <c r="C1020" s="2" t="s">
        <v>73</v>
      </c>
      <c r="E1020" s="2" t="str">
        <f>"FES1162594208"</f>
        <v>FES1162594208</v>
      </c>
      <c r="F1020" s="3">
        <v>43075</v>
      </c>
      <c r="G1020" s="2">
        <v>201806</v>
      </c>
      <c r="H1020" s="2" t="s">
        <v>74</v>
      </c>
      <c r="I1020" s="2" t="s">
        <v>75</v>
      </c>
      <c r="J1020" s="2" t="s">
        <v>97</v>
      </c>
      <c r="K1020" s="2" t="s">
        <v>77</v>
      </c>
      <c r="L1020" s="2" t="s">
        <v>98</v>
      </c>
      <c r="M1020" s="2" t="s">
        <v>99</v>
      </c>
      <c r="N1020" s="2" t="s">
        <v>670</v>
      </c>
      <c r="O1020" s="2" t="s">
        <v>101</v>
      </c>
      <c r="P1020" s="2" t="str">
        <f>"2170604079                    "</f>
        <v xml:space="preserve">2170604079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6.43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1.2</v>
      </c>
      <c r="BJ1020" s="2">
        <v>2</v>
      </c>
      <c r="BK1020" s="2">
        <v>2</v>
      </c>
      <c r="BL1020" s="2">
        <v>45.93</v>
      </c>
      <c r="BM1020" s="2">
        <v>6.43</v>
      </c>
      <c r="BN1020" s="2">
        <v>52.36</v>
      </c>
      <c r="BO1020" s="2">
        <v>52.36</v>
      </c>
      <c r="BQ1020" s="2" t="s">
        <v>102</v>
      </c>
      <c r="BR1020" s="2" t="s">
        <v>103</v>
      </c>
      <c r="BS1020" s="3">
        <v>43076</v>
      </c>
      <c r="BT1020" s="4">
        <v>0.66666666666666663</v>
      </c>
      <c r="BU1020" s="2" t="s">
        <v>1425</v>
      </c>
      <c r="BV1020" s="2" t="s">
        <v>89</v>
      </c>
      <c r="BY1020" s="2">
        <v>9960.84</v>
      </c>
      <c r="CA1020" s="2" t="s">
        <v>1426</v>
      </c>
      <c r="CC1020" s="2" t="s">
        <v>99</v>
      </c>
      <c r="CD1020" s="2">
        <v>3200</v>
      </c>
      <c r="CE1020" s="2" t="s">
        <v>120</v>
      </c>
      <c r="CF1020" s="3">
        <v>43080</v>
      </c>
      <c r="CI1020" s="2">
        <v>1</v>
      </c>
      <c r="CJ1020" s="2">
        <v>1</v>
      </c>
      <c r="CK1020" s="2">
        <v>21</v>
      </c>
      <c r="CL1020" s="2" t="s">
        <v>89</v>
      </c>
    </row>
    <row r="1021" spans="1:90">
      <c r="A1021" s="2" t="s">
        <v>71</v>
      </c>
      <c r="B1021" s="2" t="s">
        <v>72</v>
      </c>
      <c r="C1021" s="2" t="s">
        <v>73</v>
      </c>
      <c r="E1021" s="2" t="str">
        <f>"FES1162594229"</f>
        <v>FES1162594229</v>
      </c>
      <c r="F1021" s="3">
        <v>43075</v>
      </c>
      <c r="G1021" s="2">
        <v>201806</v>
      </c>
      <c r="H1021" s="2" t="s">
        <v>74</v>
      </c>
      <c r="I1021" s="2" t="s">
        <v>75</v>
      </c>
      <c r="J1021" s="2" t="s">
        <v>97</v>
      </c>
      <c r="K1021" s="2" t="s">
        <v>77</v>
      </c>
      <c r="L1021" s="2" t="s">
        <v>651</v>
      </c>
      <c r="M1021" s="2" t="s">
        <v>652</v>
      </c>
      <c r="N1021" s="2" t="s">
        <v>653</v>
      </c>
      <c r="O1021" s="2" t="s">
        <v>101</v>
      </c>
      <c r="P1021" s="2" t="str">
        <f>"2170604736                    "</f>
        <v xml:space="preserve">2170604736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9.0500000000000007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64.599999999999994</v>
      </c>
      <c r="BM1021" s="2">
        <v>9.0399999999999991</v>
      </c>
      <c r="BN1021" s="2">
        <v>73.64</v>
      </c>
      <c r="BO1021" s="2">
        <v>73.64</v>
      </c>
      <c r="BQ1021" s="2" t="s">
        <v>102</v>
      </c>
      <c r="BR1021" s="2" t="s">
        <v>103</v>
      </c>
      <c r="BS1021" s="3">
        <v>43076</v>
      </c>
      <c r="BT1021" s="4">
        <v>0.46180555555555558</v>
      </c>
      <c r="BU1021" s="2" t="s">
        <v>1540</v>
      </c>
      <c r="BV1021" s="2" t="s">
        <v>85</v>
      </c>
      <c r="BY1021" s="2">
        <v>1200</v>
      </c>
      <c r="CA1021" s="2" t="s">
        <v>1541</v>
      </c>
      <c r="CC1021" s="2" t="s">
        <v>652</v>
      </c>
      <c r="CD1021" s="2">
        <v>250</v>
      </c>
      <c r="CE1021" s="2" t="s">
        <v>120</v>
      </c>
      <c r="CF1021" s="3">
        <v>43080</v>
      </c>
      <c r="CI1021" s="2">
        <v>1</v>
      </c>
      <c r="CJ1021" s="2">
        <v>1</v>
      </c>
      <c r="CK1021" s="2">
        <v>24</v>
      </c>
      <c r="CL1021" s="2" t="s">
        <v>89</v>
      </c>
    </row>
    <row r="1022" spans="1:90">
      <c r="A1022" s="2" t="s">
        <v>71</v>
      </c>
      <c r="B1022" s="2" t="s">
        <v>72</v>
      </c>
      <c r="C1022" s="2" t="s">
        <v>73</v>
      </c>
      <c r="E1022" s="2" t="str">
        <f>"FES1162594462"</f>
        <v>FES1162594462</v>
      </c>
      <c r="F1022" s="3">
        <v>43075</v>
      </c>
      <c r="G1022" s="2">
        <v>201806</v>
      </c>
      <c r="H1022" s="2" t="s">
        <v>74</v>
      </c>
      <c r="I1022" s="2" t="s">
        <v>75</v>
      </c>
      <c r="J1022" s="2" t="s">
        <v>97</v>
      </c>
      <c r="K1022" s="2" t="s">
        <v>77</v>
      </c>
      <c r="L1022" s="2" t="s">
        <v>212</v>
      </c>
      <c r="M1022" s="2" t="s">
        <v>212</v>
      </c>
      <c r="N1022" s="2" t="s">
        <v>370</v>
      </c>
      <c r="O1022" s="2" t="s">
        <v>101</v>
      </c>
      <c r="P1022" s="2" t="str">
        <f>"2170606313                    "</f>
        <v xml:space="preserve">2170606313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6.43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45.93</v>
      </c>
      <c r="BM1022" s="2">
        <v>6.43</v>
      </c>
      <c r="BN1022" s="2">
        <v>52.36</v>
      </c>
      <c r="BO1022" s="2">
        <v>52.36</v>
      </c>
      <c r="BQ1022" s="2" t="s">
        <v>102</v>
      </c>
      <c r="BR1022" s="2" t="s">
        <v>103</v>
      </c>
      <c r="BS1022" s="3">
        <v>43077</v>
      </c>
      <c r="BT1022" s="4">
        <v>0.62361111111111112</v>
      </c>
      <c r="BU1022" s="2" t="s">
        <v>538</v>
      </c>
      <c r="BV1022" s="2" t="s">
        <v>89</v>
      </c>
      <c r="BW1022" s="2" t="s">
        <v>471</v>
      </c>
      <c r="BX1022" s="2" t="s">
        <v>246</v>
      </c>
      <c r="BY1022" s="2">
        <v>1200</v>
      </c>
      <c r="CA1022" s="2" t="s">
        <v>532</v>
      </c>
      <c r="CC1022" s="2" t="s">
        <v>212</v>
      </c>
      <c r="CD1022" s="2">
        <v>7646</v>
      </c>
      <c r="CE1022" s="2" t="s">
        <v>120</v>
      </c>
      <c r="CF1022" s="3">
        <v>43077</v>
      </c>
      <c r="CI1022" s="2">
        <v>1</v>
      </c>
      <c r="CJ1022" s="2">
        <v>2</v>
      </c>
      <c r="CK1022" s="2">
        <v>21</v>
      </c>
      <c r="CL1022" s="2" t="s">
        <v>89</v>
      </c>
    </row>
    <row r="1023" spans="1:90">
      <c r="A1023" s="2" t="s">
        <v>71</v>
      </c>
      <c r="B1023" s="2" t="s">
        <v>72</v>
      </c>
      <c r="C1023" s="2" t="s">
        <v>73</v>
      </c>
      <c r="E1023" s="2" t="str">
        <f>"FES1162594196"</f>
        <v>FES1162594196</v>
      </c>
      <c r="F1023" s="3">
        <v>43075</v>
      </c>
      <c r="G1023" s="2">
        <v>201806</v>
      </c>
      <c r="H1023" s="2" t="s">
        <v>74</v>
      </c>
      <c r="I1023" s="2" t="s">
        <v>75</v>
      </c>
      <c r="J1023" s="2" t="s">
        <v>97</v>
      </c>
      <c r="K1023" s="2" t="s">
        <v>77</v>
      </c>
      <c r="L1023" s="2" t="s">
        <v>189</v>
      </c>
      <c r="M1023" s="2" t="s">
        <v>190</v>
      </c>
      <c r="N1023" s="2" t="s">
        <v>1559</v>
      </c>
      <c r="O1023" s="2" t="s">
        <v>101</v>
      </c>
      <c r="P1023" s="2" t="str">
        <f>"2170603796                    "</f>
        <v xml:space="preserve">2170603796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6.43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0.2</v>
      </c>
      <c r="BK1023" s="2">
        <v>1</v>
      </c>
      <c r="BL1023" s="2">
        <v>45.93</v>
      </c>
      <c r="BM1023" s="2">
        <v>6.43</v>
      </c>
      <c r="BN1023" s="2">
        <v>52.36</v>
      </c>
      <c r="BO1023" s="2">
        <v>52.36</v>
      </c>
      <c r="BQ1023" s="2" t="s">
        <v>102</v>
      </c>
      <c r="BR1023" s="2" t="s">
        <v>103</v>
      </c>
      <c r="BS1023" s="3">
        <v>43076</v>
      </c>
      <c r="BT1023" s="4">
        <v>0.54166666666666663</v>
      </c>
      <c r="BU1023" s="2" t="s">
        <v>1560</v>
      </c>
      <c r="BV1023" s="2" t="s">
        <v>89</v>
      </c>
      <c r="BW1023" s="2" t="s">
        <v>156</v>
      </c>
      <c r="BX1023" s="2" t="s">
        <v>565</v>
      </c>
      <c r="BY1023" s="2">
        <v>1200</v>
      </c>
      <c r="CC1023" s="2" t="s">
        <v>190</v>
      </c>
      <c r="CD1023" s="2">
        <v>157</v>
      </c>
      <c r="CE1023" s="2" t="s">
        <v>120</v>
      </c>
      <c r="CF1023" s="3">
        <v>43080</v>
      </c>
      <c r="CI1023" s="2">
        <v>1</v>
      </c>
      <c r="CJ1023" s="2">
        <v>1</v>
      </c>
      <c r="CK1023" s="2">
        <v>21</v>
      </c>
      <c r="CL1023" s="2" t="s">
        <v>89</v>
      </c>
    </row>
    <row r="1024" spans="1:90">
      <c r="A1024" s="2" t="s">
        <v>71</v>
      </c>
      <c r="B1024" s="2" t="s">
        <v>72</v>
      </c>
      <c r="C1024" s="2" t="s">
        <v>73</v>
      </c>
      <c r="E1024" s="2" t="str">
        <f>"FES1162594494"</f>
        <v>FES1162594494</v>
      </c>
      <c r="F1024" s="3">
        <v>43075</v>
      </c>
      <c r="G1024" s="2">
        <v>201806</v>
      </c>
      <c r="H1024" s="2" t="s">
        <v>74</v>
      </c>
      <c r="I1024" s="2" t="s">
        <v>75</v>
      </c>
      <c r="J1024" s="2" t="s">
        <v>97</v>
      </c>
      <c r="K1024" s="2" t="s">
        <v>77</v>
      </c>
      <c r="L1024" s="2" t="s">
        <v>106</v>
      </c>
      <c r="M1024" s="2" t="s">
        <v>107</v>
      </c>
      <c r="N1024" s="2" t="s">
        <v>1561</v>
      </c>
      <c r="O1024" s="2" t="s">
        <v>101</v>
      </c>
      <c r="P1024" s="2" t="str">
        <f>"2170606353                    "</f>
        <v xml:space="preserve">2170606353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5.03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3.1</v>
      </c>
      <c r="BJ1024" s="2">
        <v>4.7</v>
      </c>
      <c r="BK1024" s="2">
        <v>5</v>
      </c>
      <c r="BL1024" s="2">
        <v>35.89</v>
      </c>
      <c r="BM1024" s="2">
        <v>5.0199999999999996</v>
      </c>
      <c r="BN1024" s="2">
        <v>40.909999999999997</v>
      </c>
      <c r="BO1024" s="2">
        <v>40.909999999999997</v>
      </c>
      <c r="BQ1024" s="2" t="s">
        <v>102</v>
      </c>
      <c r="BR1024" s="2" t="s">
        <v>103</v>
      </c>
      <c r="BS1024" s="3">
        <v>43076</v>
      </c>
      <c r="BT1024" s="4">
        <v>0.60069444444444442</v>
      </c>
      <c r="BU1024" s="2" t="s">
        <v>1562</v>
      </c>
      <c r="BV1024" s="2" t="s">
        <v>89</v>
      </c>
      <c r="BY1024" s="2">
        <v>23524.66</v>
      </c>
      <c r="CC1024" s="2" t="s">
        <v>107</v>
      </c>
      <c r="CD1024" s="2">
        <v>1723</v>
      </c>
      <c r="CE1024" s="2" t="s">
        <v>95</v>
      </c>
      <c r="CF1024" s="3">
        <v>43081</v>
      </c>
      <c r="CI1024" s="2">
        <v>1</v>
      </c>
      <c r="CJ1024" s="2">
        <v>1</v>
      </c>
      <c r="CK1024" s="2">
        <v>22</v>
      </c>
      <c r="CL1024" s="2" t="s">
        <v>89</v>
      </c>
    </row>
    <row r="1025" spans="1:90">
      <c r="A1025" s="2" t="s">
        <v>71</v>
      </c>
      <c r="B1025" s="2" t="s">
        <v>72</v>
      </c>
      <c r="C1025" s="2" t="s">
        <v>73</v>
      </c>
      <c r="E1025" s="2" t="str">
        <f>"FES1162594149"</f>
        <v>FES1162594149</v>
      </c>
      <c r="F1025" s="3">
        <v>43075</v>
      </c>
      <c r="G1025" s="2">
        <v>201806</v>
      </c>
      <c r="H1025" s="2" t="s">
        <v>74</v>
      </c>
      <c r="I1025" s="2" t="s">
        <v>75</v>
      </c>
      <c r="J1025" s="2" t="s">
        <v>97</v>
      </c>
      <c r="K1025" s="2" t="s">
        <v>77</v>
      </c>
      <c r="L1025" s="2" t="s">
        <v>158</v>
      </c>
      <c r="M1025" s="2" t="s">
        <v>159</v>
      </c>
      <c r="N1025" s="2" t="s">
        <v>738</v>
      </c>
      <c r="O1025" s="2" t="s">
        <v>101</v>
      </c>
      <c r="P1025" s="2" t="str">
        <f>"2170603297                    "</f>
        <v xml:space="preserve">2170603297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6.43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</v>
      </c>
      <c r="BJ1025" s="2">
        <v>0.2</v>
      </c>
      <c r="BK1025" s="2">
        <v>1</v>
      </c>
      <c r="BL1025" s="2">
        <v>45.93</v>
      </c>
      <c r="BM1025" s="2">
        <v>6.43</v>
      </c>
      <c r="BN1025" s="2">
        <v>52.36</v>
      </c>
      <c r="BO1025" s="2">
        <v>52.36</v>
      </c>
      <c r="BQ1025" s="2" t="s">
        <v>739</v>
      </c>
      <c r="BR1025" s="2" t="s">
        <v>103</v>
      </c>
      <c r="BS1025" s="3">
        <v>43076</v>
      </c>
      <c r="BT1025" s="4">
        <v>0.70416666666666661</v>
      </c>
      <c r="BU1025" s="2" t="s">
        <v>1563</v>
      </c>
      <c r="BV1025" s="2" t="s">
        <v>89</v>
      </c>
      <c r="BW1025" s="2" t="s">
        <v>149</v>
      </c>
      <c r="BX1025" s="2" t="s">
        <v>276</v>
      </c>
      <c r="BY1025" s="2">
        <v>1200</v>
      </c>
      <c r="CA1025" s="2" t="s">
        <v>1564</v>
      </c>
      <c r="CC1025" s="2" t="s">
        <v>159</v>
      </c>
      <c r="CD1025" s="2">
        <v>117</v>
      </c>
      <c r="CE1025" s="2" t="s">
        <v>120</v>
      </c>
      <c r="CF1025" s="3">
        <v>43081</v>
      </c>
      <c r="CI1025" s="2">
        <v>1</v>
      </c>
      <c r="CJ1025" s="2">
        <v>1</v>
      </c>
      <c r="CK1025" s="2">
        <v>21</v>
      </c>
      <c r="CL1025" s="2" t="s">
        <v>89</v>
      </c>
    </row>
    <row r="1026" spans="1:90">
      <c r="A1026" s="2" t="s">
        <v>71</v>
      </c>
      <c r="B1026" s="2" t="s">
        <v>72</v>
      </c>
      <c r="C1026" s="2" t="s">
        <v>73</v>
      </c>
      <c r="E1026" s="2" t="str">
        <f>"FES1162594403"</f>
        <v>FES1162594403</v>
      </c>
      <c r="F1026" s="3">
        <v>43075</v>
      </c>
      <c r="G1026" s="2">
        <v>201806</v>
      </c>
      <c r="H1026" s="2" t="s">
        <v>74</v>
      </c>
      <c r="I1026" s="2" t="s">
        <v>75</v>
      </c>
      <c r="J1026" s="2" t="s">
        <v>97</v>
      </c>
      <c r="K1026" s="2" t="s">
        <v>77</v>
      </c>
      <c r="L1026" s="2" t="s">
        <v>98</v>
      </c>
      <c r="M1026" s="2" t="s">
        <v>99</v>
      </c>
      <c r="N1026" s="2" t="s">
        <v>670</v>
      </c>
      <c r="O1026" s="2" t="s">
        <v>101</v>
      </c>
      <c r="P1026" s="2" t="str">
        <f>"2170606254                    "</f>
        <v xml:space="preserve">2170606254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9.65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3</v>
      </c>
      <c r="BJ1026" s="2">
        <v>0.6</v>
      </c>
      <c r="BK1026" s="2">
        <v>3</v>
      </c>
      <c r="BL1026" s="2">
        <v>68.89</v>
      </c>
      <c r="BM1026" s="2">
        <v>9.64</v>
      </c>
      <c r="BN1026" s="2">
        <v>78.53</v>
      </c>
      <c r="BO1026" s="2">
        <v>78.53</v>
      </c>
      <c r="BQ1026" s="2" t="s">
        <v>102</v>
      </c>
      <c r="BR1026" s="2" t="s">
        <v>103</v>
      </c>
      <c r="BS1026" s="3">
        <v>43076</v>
      </c>
      <c r="BT1026" s="4">
        <v>0.66597222222222219</v>
      </c>
      <c r="BU1026" s="2" t="s">
        <v>1425</v>
      </c>
      <c r="BV1026" s="2" t="s">
        <v>89</v>
      </c>
      <c r="BY1026" s="2">
        <v>3000</v>
      </c>
      <c r="CA1026" s="2" t="s">
        <v>1426</v>
      </c>
      <c r="CC1026" s="2" t="s">
        <v>99</v>
      </c>
      <c r="CD1026" s="2">
        <v>3200</v>
      </c>
      <c r="CE1026" s="2" t="s">
        <v>87</v>
      </c>
      <c r="CF1026" s="3">
        <v>43080</v>
      </c>
      <c r="CI1026" s="2">
        <v>1</v>
      </c>
      <c r="CJ1026" s="2">
        <v>1</v>
      </c>
      <c r="CK1026" s="2">
        <v>21</v>
      </c>
      <c r="CL1026" s="2" t="s">
        <v>89</v>
      </c>
    </row>
    <row r="1027" spans="1:90">
      <c r="A1027" s="2" t="s">
        <v>71</v>
      </c>
      <c r="B1027" s="2" t="s">
        <v>72</v>
      </c>
      <c r="C1027" s="2" t="s">
        <v>73</v>
      </c>
      <c r="E1027" s="2" t="str">
        <f>"FES1162594121"</f>
        <v>FES1162594121</v>
      </c>
      <c r="F1027" s="3">
        <v>43075</v>
      </c>
      <c r="G1027" s="2">
        <v>201806</v>
      </c>
      <c r="H1027" s="2" t="s">
        <v>74</v>
      </c>
      <c r="I1027" s="2" t="s">
        <v>75</v>
      </c>
      <c r="J1027" s="2" t="s">
        <v>97</v>
      </c>
      <c r="K1027" s="2" t="s">
        <v>77</v>
      </c>
      <c r="L1027" s="2" t="s">
        <v>158</v>
      </c>
      <c r="M1027" s="2" t="s">
        <v>159</v>
      </c>
      <c r="N1027" s="2" t="s">
        <v>786</v>
      </c>
      <c r="O1027" s="2" t="s">
        <v>101</v>
      </c>
      <c r="P1027" s="2" t="str">
        <f>"2170601399                    "</f>
        <v xml:space="preserve">2170601399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6.43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</v>
      </c>
      <c r="BJ1027" s="2">
        <v>0.2</v>
      </c>
      <c r="BK1027" s="2">
        <v>1</v>
      </c>
      <c r="BL1027" s="2">
        <v>45.93</v>
      </c>
      <c r="BM1027" s="2">
        <v>6.43</v>
      </c>
      <c r="BN1027" s="2">
        <v>52.36</v>
      </c>
      <c r="BO1027" s="2">
        <v>52.36</v>
      </c>
      <c r="BR1027" s="2" t="s">
        <v>103</v>
      </c>
      <c r="BS1027" s="3">
        <v>43077</v>
      </c>
      <c r="BT1027" s="4">
        <v>0.54861111111111105</v>
      </c>
      <c r="BU1027" s="2" t="s">
        <v>1070</v>
      </c>
      <c r="BV1027" s="2" t="s">
        <v>89</v>
      </c>
      <c r="BY1027" s="2">
        <v>1200</v>
      </c>
      <c r="CC1027" s="2" t="s">
        <v>159</v>
      </c>
      <c r="CD1027" s="2">
        <v>82</v>
      </c>
      <c r="CE1027" s="2" t="s">
        <v>120</v>
      </c>
      <c r="CF1027" s="3">
        <v>43080</v>
      </c>
      <c r="CI1027" s="2">
        <v>1</v>
      </c>
      <c r="CJ1027" s="2">
        <v>2</v>
      </c>
      <c r="CK1027" s="2">
        <v>21</v>
      </c>
      <c r="CL1027" s="2" t="s">
        <v>89</v>
      </c>
    </row>
    <row r="1028" spans="1:90">
      <c r="A1028" s="2" t="s">
        <v>71</v>
      </c>
      <c r="B1028" s="2" t="s">
        <v>72</v>
      </c>
      <c r="C1028" s="2" t="s">
        <v>73</v>
      </c>
      <c r="E1028" s="2" t="str">
        <f>"FES1162594204"</f>
        <v>FES1162594204</v>
      </c>
      <c r="F1028" s="3">
        <v>43075</v>
      </c>
      <c r="G1028" s="2">
        <v>201806</v>
      </c>
      <c r="H1028" s="2" t="s">
        <v>74</v>
      </c>
      <c r="I1028" s="2" t="s">
        <v>75</v>
      </c>
      <c r="J1028" s="2" t="s">
        <v>97</v>
      </c>
      <c r="K1028" s="2" t="s">
        <v>77</v>
      </c>
      <c r="L1028" s="2" t="s">
        <v>131</v>
      </c>
      <c r="M1028" s="2" t="s">
        <v>132</v>
      </c>
      <c r="N1028" s="2" t="s">
        <v>228</v>
      </c>
      <c r="O1028" s="2" t="s">
        <v>101</v>
      </c>
      <c r="P1028" s="2" t="str">
        <f>"2170603999                    "</f>
        <v xml:space="preserve">2170603999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6.43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1.2</v>
      </c>
      <c r="BJ1028" s="2">
        <v>1.5</v>
      </c>
      <c r="BK1028" s="2">
        <v>1.5</v>
      </c>
      <c r="BL1028" s="2">
        <v>45.93</v>
      </c>
      <c r="BM1028" s="2">
        <v>6.43</v>
      </c>
      <c r="BN1028" s="2">
        <v>52.36</v>
      </c>
      <c r="BO1028" s="2">
        <v>52.36</v>
      </c>
      <c r="BQ1028" s="2" t="s">
        <v>229</v>
      </c>
      <c r="BR1028" s="2" t="s">
        <v>103</v>
      </c>
      <c r="BS1028" s="3">
        <v>43076</v>
      </c>
      <c r="BT1028" s="4">
        <v>0.4236111111111111</v>
      </c>
      <c r="BU1028" s="2" t="s">
        <v>230</v>
      </c>
      <c r="BV1028" s="2" t="s">
        <v>85</v>
      </c>
      <c r="BY1028" s="2">
        <v>7611.07</v>
      </c>
      <c r="CA1028" s="2" t="s">
        <v>231</v>
      </c>
      <c r="CC1028" s="2" t="s">
        <v>132</v>
      </c>
      <c r="CD1028" s="2">
        <v>4300</v>
      </c>
      <c r="CE1028" s="2" t="s">
        <v>120</v>
      </c>
      <c r="CF1028" s="3">
        <v>43080</v>
      </c>
      <c r="CI1028" s="2">
        <v>1</v>
      </c>
      <c r="CJ1028" s="2">
        <v>1</v>
      </c>
      <c r="CK1028" s="2">
        <v>21</v>
      </c>
      <c r="CL1028" s="2" t="s">
        <v>89</v>
      </c>
    </row>
    <row r="1029" spans="1:90">
      <c r="A1029" s="2" t="s">
        <v>71</v>
      </c>
      <c r="B1029" s="2" t="s">
        <v>72</v>
      </c>
      <c r="C1029" s="2" t="s">
        <v>73</v>
      </c>
      <c r="E1029" s="2" t="str">
        <f>"FES1162594346"</f>
        <v>FES1162594346</v>
      </c>
      <c r="F1029" s="3">
        <v>43075</v>
      </c>
      <c r="G1029" s="2">
        <v>201806</v>
      </c>
      <c r="H1029" s="2" t="s">
        <v>74</v>
      </c>
      <c r="I1029" s="2" t="s">
        <v>75</v>
      </c>
      <c r="J1029" s="2" t="s">
        <v>97</v>
      </c>
      <c r="K1029" s="2" t="s">
        <v>77</v>
      </c>
      <c r="L1029" s="2" t="s">
        <v>173</v>
      </c>
      <c r="M1029" s="2" t="s">
        <v>174</v>
      </c>
      <c r="N1029" s="2" t="s">
        <v>376</v>
      </c>
      <c r="O1029" s="2" t="s">
        <v>101</v>
      </c>
      <c r="P1029" s="2" t="str">
        <f>"2170606179                    "</f>
        <v xml:space="preserve">2170606179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6.43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1.8</v>
      </c>
      <c r="BJ1029" s="2">
        <v>1.7</v>
      </c>
      <c r="BK1029" s="2">
        <v>2</v>
      </c>
      <c r="BL1029" s="2">
        <v>45.93</v>
      </c>
      <c r="BM1029" s="2">
        <v>6.43</v>
      </c>
      <c r="BN1029" s="2">
        <v>52.36</v>
      </c>
      <c r="BO1029" s="2">
        <v>52.36</v>
      </c>
      <c r="BQ1029" s="2" t="s">
        <v>102</v>
      </c>
      <c r="BR1029" s="2" t="s">
        <v>103</v>
      </c>
      <c r="BS1029" s="3">
        <v>43076</v>
      </c>
      <c r="BT1029" s="4">
        <v>0.47847222222222219</v>
      </c>
      <c r="BU1029" s="2" t="s">
        <v>536</v>
      </c>
      <c r="BV1029" s="2" t="s">
        <v>89</v>
      </c>
      <c r="BW1029" s="2" t="s">
        <v>149</v>
      </c>
      <c r="BX1029" s="2" t="s">
        <v>246</v>
      </c>
      <c r="BY1029" s="2">
        <v>8273.66</v>
      </c>
      <c r="CA1029" s="2" t="s">
        <v>378</v>
      </c>
      <c r="CC1029" s="2" t="s">
        <v>174</v>
      </c>
      <c r="CD1029" s="2">
        <v>7490</v>
      </c>
      <c r="CE1029" s="2" t="s">
        <v>95</v>
      </c>
      <c r="CF1029" s="3">
        <v>43077</v>
      </c>
      <c r="CI1029" s="2">
        <v>1</v>
      </c>
      <c r="CJ1029" s="2">
        <v>1</v>
      </c>
      <c r="CK1029" s="2">
        <v>21</v>
      </c>
      <c r="CL1029" s="2" t="s">
        <v>89</v>
      </c>
    </row>
    <row r="1030" spans="1:90">
      <c r="A1030" s="2" t="s">
        <v>71</v>
      </c>
      <c r="B1030" s="2" t="s">
        <v>72</v>
      </c>
      <c r="C1030" s="2" t="s">
        <v>73</v>
      </c>
      <c r="E1030" s="2" t="str">
        <f>"FES1162594415"</f>
        <v>FES1162594415</v>
      </c>
      <c r="F1030" s="3">
        <v>43075</v>
      </c>
      <c r="G1030" s="2">
        <v>201806</v>
      </c>
      <c r="H1030" s="2" t="s">
        <v>74</v>
      </c>
      <c r="I1030" s="2" t="s">
        <v>75</v>
      </c>
      <c r="J1030" s="2" t="s">
        <v>97</v>
      </c>
      <c r="K1030" s="2" t="s">
        <v>77</v>
      </c>
      <c r="L1030" s="2" t="s">
        <v>521</v>
      </c>
      <c r="M1030" s="2" t="s">
        <v>522</v>
      </c>
      <c r="N1030" s="2" t="s">
        <v>523</v>
      </c>
      <c r="O1030" s="2" t="s">
        <v>101</v>
      </c>
      <c r="P1030" s="2" t="str">
        <f>"2170606269                    "</f>
        <v xml:space="preserve">2170606269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6.43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</v>
      </c>
      <c r="BJ1030" s="2">
        <v>0.2</v>
      </c>
      <c r="BK1030" s="2">
        <v>1</v>
      </c>
      <c r="BL1030" s="2">
        <v>45.93</v>
      </c>
      <c r="BM1030" s="2">
        <v>6.43</v>
      </c>
      <c r="BN1030" s="2">
        <v>52.36</v>
      </c>
      <c r="BO1030" s="2">
        <v>52.36</v>
      </c>
      <c r="BQ1030" s="2" t="s">
        <v>102</v>
      </c>
      <c r="BR1030" s="2" t="s">
        <v>103</v>
      </c>
      <c r="BS1030" s="3">
        <v>43076</v>
      </c>
      <c r="BT1030" s="4">
        <v>0.41666666666666669</v>
      </c>
      <c r="BU1030" s="2" t="s">
        <v>1565</v>
      </c>
      <c r="BV1030" s="2" t="s">
        <v>85</v>
      </c>
      <c r="BY1030" s="2">
        <v>1200</v>
      </c>
      <c r="CA1030" s="2" t="s">
        <v>293</v>
      </c>
      <c r="CC1030" s="2" t="s">
        <v>522</v>
      </c>
      <c r="CD1030" s="2">
        <v>6536</v>
      </c>
      <c r="CE1030" s="2" t="s">
        <v>120</v>
      </c>
      <c r="CF1030" s="3">
        <v>43080</v>
      </c>
      <c r="CI1030" s="2">
        <v>1</v>
      </c>
      <c r="CJ1030" s="2">
        <v>1</v>
      </c>
      <c r="CK1030" s="2">
        <v>21</v>
      </c>
      <c r="CL1030" s="2" t="s">
        <v>89</v>
      </c>
    </row>
    <row r="1031" spans="1:90">
      <c r="A1031" s="2" t="s">
        <v>71</v>
      </c>
      <c r="B1031" s="2" t="s">
        <v>72</v>
      </c>
      <c r="C1031" s="2" t="s">
        <v>73</v>
      </c>
      <c r="E1031" s="2" t="str">
        <f>"FES1162594210"</f>
        <v>FES1162594210</v>
      </c>
      <c r="F1031" s="3">
        <v>43075</v>
      </c>
      <c r="G1031" s="2">
        <v>201806</v>
      </c>
      <c r="H1031" s="2" t="s">
        <v>74</v>
      </c>
      <c r="I1031" s="2" t="s">
        <v>75</v>
      </c>
      <c r="J1031" s="2" t="s">
        <v>97</v>
      </c>
      <c r="K1031" s="2" t="s">
        <v>77</v>
      </c>
      <c r="L1031" s="2" t="s">
        <v>111</v>
      </c>
      <c r="M1031" s="2" t="s">
        <v>112</v>
      </c>
      <c r="N1031" s="2" t="s">
        <v>113</v>
      </c>
      <c r="O1031" s="2" t="s">
        <v>101</v>
      </c>
      <c r="P1031" s="2" t="str">
        <f>"2170604105                    "</f>
        <v xml:space="preserve">2170604105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6.43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1</v>
      </c>
      <c r="BJ1031" s="2">
        <v>0.2</v>
      </c>
      <c r="BK1031" s="2">
        <v>1</v>
      </c>
      <c r="BL1031" s="2">
        <v>45.93</v>
      </c>
      <c r="BM1031" s="2">
        <v>6.43</v>
      </c>
      <c r="BN1031" s="2">
        <v>52.36</v>
      </c>
      <c r="BO1031" s="2">
        <v>52.36</v>
      </c>
      <c r="BQ1031" s="2" t="s">
        <v>82</v>
      </c>
      <c r="BR1031" s="2" t="s">
        <v>103</v>
      </c>
      <c r="BS1031" s="3">
        <v>43076</v>
      </c>
      <c r="BT1031" s="4">
        <v>0.33680555555555558</v>
      </c>
      <c r="BU1031" s="2" t="s">
        <v>1566</v>
      </c>
      <c r="BV1031" s="2" t="s">
        <v>85</v>
      </c>
      <c r="BY1031" s="2">
        <v>1200</v>
      </c>
      <c r="CC1031" s="2" t="s">
        <v>112</v>
      </c>
      <c r="CD1031" s="2">
        <v>6220</v>
      </c>
      <c r="CE1031" s="2" t="s">
        <v>120</v>
      </c>
      <c r="CF1031" s="3">
        <v>43077</v>
      </c>
      <c r="CI1031" s="2">
        <v>1</v>
      </c>
      <c r="CJ1031" s="2">
        <v>1</v>
      </c>
      <c r="CK1031" s="2">
        <v>21</v>
      </c>
      <c r="CL1031" s="2" t="s">
        <v>89</v>
      </c>
    </row>
    <row r="1032" spans="1:90">
      <c r="A1032" s="2" t="s">
        <v>71</v>
      </c>
      <c r="B1032" s="2" t="s">
        <v>72</v>
      </c>
      <c r="C1032" s="2" t="s">
        <v>73</v>
      </c>
      <c r="E1032" s="2" t="str">
        <f>"FES1162594107"</f>
        <v>FES1162594107</v>
      </c>
      <c r="F1032" s="3">
        <v>43075</v>
      </c>
      <c r="G1032" s="2">
        <v>201806</v>
      </c>
      <c r="H1032" s="2" t="s">
        <v>74</v>
      </c>
      <c r="I1032" s="2" t="s">
        <v>75</v>
      </c>
      <c r="J1032" s="2" t="s">
        <v>97</v>
      </c>
      <c r="K1032" s="2" t="s">
        <v>77</v>
      </c>
      <c r="L1032" s="2" t="s">
        <v>759</v>
      </c>
      <c r="M1032" s="2" t="s">
        <v>760</v>
      </c>
      <c r="N1032" s="2" t="s">
        <v>761</v>
      </c>
      <c r="O1032" s="2" t="s">
        <v>101</v>
      </c>
      <c r="P1032" s="2" t="str">
        <f>"2170606106                    "</f>
        <v xml:space="preserve">2170606106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6.43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2</v>
      </c>
      <c r="BJ1032" s="2">
        <v>0.8</v>
      </c>
      <c r="BK1032" s="2">
        <v>2</v>
      </c>
      <c r="BL1032" s="2">
        <v>45.93</v>
      </c>
      <c r="BM1032" s="2">
        <v>6.43</v>
      </c>
      <c r="BN1032" s="2">
        <v>52.36</v>
      </c>
      <c r="BO1032" s="2">
        <v>52.36</v>
      </c>
      <c r="BQ1032" s="2" t="s">
        <v>82</v>
      </c>
      <c r="BR1032" s="2" t="s">
        <v>103</v>
      </c>
      <c r="BS1032" s="3">
        <v>43076</v>
      </c>
      <c r="BT1032" s="4">
        <v>0.3430555555555555</v>
      </c>
      <c r="BU1032" s="2" t="s">
        <v>1284</v>
      </c>
      <c r="BV1032" s="2" t="s">
        <v>85</v>
      </c>
      <c r="BY1032" s="2">
        <v>3844</v>
      </c>
      <c r="CA1032" s="2" t="s">
        <v>578</v>
      </c>
      <c r="CC1032" s="2" t="s">
        <v>760</v>
      </c>
      <c r="CD1032" s="2">
        <v>4026</v>
      </c>
      <c r="CE1032" s="2" t="s">
        <v>87</v>
      </c>
      <c r="CF1032" s="3">
        <v>43080</v>
      </c>
      <c r="CI1032" s="2">
        <v>1</v>
      </c>
      <c r="CJ1032" s="2">
        <v>1</v>
      </c>
      <c r="CK1032" s="2">
        <v>21</v>
      </c>
      <c r="CL1032" s="2" t="s">
        <v>89</v>
      </c>
    </row>
    <row r="1033" spans="1:90">
      <c r="A1033" s="2" t="s">
        <v>71</v>
      </c>
      <c r="B1033" s="2" t="s">
        <v>72</v>
      </c>
      <c r="C1033" s="2" t="s">
        <v>73</v>
      </c>
      <c r="E1033" s="2" t="str">
        <f>"FES1162594148"</f>
        <v>FES1162594148</v>
      </c>
      <c r="F1033" s="3">
        <v>43075</v>
      </c>
      <c r="G1033" s="2">
        <v>201806</v>
      </c>
      <c r="H1033" s="2" t="s">
        <v>74</v>
      </c>
      <c r="I1033" s="2" t="s">
        <v>75</v>
      </c>
      <c r="J1033" s="2" t="s">
        <v>97</v>
      </c>
      <c r="K1033" s="2" t="s">
        <v>77</v>
      </c>
      <c r="L1033" s="2" t="s">
        <v>262</v>
      </c>
      <c r="M1033" s="2" t="s">
        <v>263</v>
      </c>
      <c r="N1033" s="2" t="s">
        <v>1567</v>
      </c>
      <c r="O1033" s="2" t="s">
        <v>101</v>
      </c>
      <c r="P1033" s="2" t="str">
        <f>"2170603251                    "</f>
        <v xml:space="preserve">2170603251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6.43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1</v>
      </c>
      <c r="BJ1033" s="2">
        <v>0.2</v>
      </c>
      <c r="BK1033" s="2">
        <v>1</v>
      </c>
      <c r="BL1033" s="2">
        <v>45.93</v>
      </c>
      <c r="BM1033" s="2">
        <v>6.43</v>
      </c>
      <c r="BN1033" s="2">
        <v>52.36</v>
      </c>
      <c r="BO1033" s="2">
        <v>52.36</v>
      </c>
      <c r="BQ1033" s="2" t="s">
        <v>128</v>
      </c>
      <c r="BR1033" s="2" t="s">
        <v>103</v>
      </c>
      <c r="BS1033" s="3">
        <v>43076</v>
      </c>
      <c r="BT1033" s="4">
        <v>0.38194444444444442</v>
      </c>
      <c r="BU1033" s="2" t="s">
        <v>1568</v>
      </c>
      <c r="BV1033" s="2" t="s">
        <v>85</v>
      </c>
      <c r="BY1033" s="2">
        <v>1200</v>
      </c>
      <c r="BZ1033" s="2" t="s">
        <v>27</v>
      </c>
      <c r="CA1033" s="2" t="s">
        <v>1171</v>
      </c>
      <c r="CC1033" s="2" t="s">
        <v>263</v>
      </c>
      <c r="CD1033" s="2">
        <v>6229</v>
      </c>
      <c r="CE1033" s="2" t="s">
        <v>120</v>
      </c>
      <c r="CF1033" s="3">
        <v>43077</v>
      </c>
      <c r="CI1033" s="2">
        <v>1</v>
      </c>
      <c r="CJ1033" s="2">
        <v>1</v>
      </c>
      <c r="CK1033" s="2">
        <v>21</v>
      </c>
      <c r="CL1033" s="2" t="s">
        <v>89</v>
      </c>
    </row>
    <row r="1034" spans="1:90">
      <c r="A1034" s="2" t="s">
        <v>71</v>
      </c>
      <c r="B1034" s="2" t="s">
        <v>72</v>
      </c>
      <c r="C1034" s="2" t="s">
        <v>73</v>
      </c>
      <c r="E1034" s="2" t="str">
        <f>"FES1162591391"</f>
        <v>FES1162591391</v>
      </c>
      <c r="F1034" s="3">
        <v>43075</v>
      </c>
      <c r="G1034" s="2">
        <v>201806</v>
      </c>
      <c r="H1034" s="2" t="s">
        <v>74</v>
      </c>
      <c r="I1034" s="2" t="s">
        <v>75</v>
      </c>
      <c r="J1034" s="2" t="s">
        <v>97</v>
      </c>
      <c r="K1034" s="2" t="s">
        <v>77</v>
      </c>
      <c r="L1034" s="2" t="s">
        <v>106</v>
      </c>
      <c r="M1034" s="2" t="s">
        <v>107</v>
      </c>
      <c r="N1034" s="2" t="s">
        <v>108</v>
      </c>
      <c r="O1034" s="2" t="s">
        <v>101</v>
      </c>
      <c r="P1034" s="2" t="str">
        <f>"2170604068                    "</f>
        <v xml:space="preserve">2170604068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5.03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1</v>
      </c>
      <c r="BJ1034" s="2">
        <v>0.2</v>
      </c>
      <c r="BK1034" s="2">
        <v>1</v>
      </c>
      <c r="BL1034" s="2">
        <v>35.89</v>
      </c>
      <c r="BM1034" s="2">
        <v>5.0199999999999996</v>
      </c>
      <c r="BN1034" s="2">
        <v>40.909999999999997</v>
      </c>
      <c r="BO1034" s="2">
        <v>40.909999999999997</v>
      </c>
      <c r="BQ1034" s="2" t="s">
        <v>82</v>
      </c>
      <c r="BR1034" s="2" t="s">
        <v>103</v>
      </c>
      <c r="BS1034" s="3">
        <v>43076</v>
      </c>
      <c r="BT1034" s="4">
        <v>0.45833333333333331</v>
      </c>
      <c r="BU1034" s="2" t="s">
        <v>563</v>
      </c>
      <c r="BV1034" s="2" t="s">
        <v>89</v>
      </c>
      <c r="BW1034" s="2" t="s">
        <v>156</v>
      </c>
      <c r="BX1034" s="2" t="s">
        <v>438</v>
      </c>
      <c r="BY1034" s="2">
        <v>1200</v>
      </c>
      <c r="CA1034" s="2" t="s">
        <v>110</v>
      </c>
      <c r="CC1034" s="2" t="s">
        <v>107</v>
      </c>
      <c r="CD1034" s="2">
        <v>2094</v>
      </c>
      <c r="CE1034" s="2" t="s">
        <v>120</v>
      </c>
      <c r="CF1034" s="3">
        <v>43080</v>
      </c>
      <c r="CI1034" s="2">
        <v>1</v>
      </c>
      <c r="CJ1034" s="2">
        <v>1</v>
      </c>
      <c r="CK1034" s="2">
        <v>22</v>
      </c>
      <c r="CL1034" s="2" t="s">
        <v>89</v>
      </c>
    </row>
    <row r="1035" spans="1:90">
      <c r="A1035" s="2" t="s">
        <v>71</v>
      </c>
      <c r="B1035" s="2" t="s">
        <v>72</v>
      </c>
      <c r="C1035" s="2" t="s">
        <v>73</v>
      </c>
      <c r="E1035" s="2" t="str">
        <f>"FES1162594319"</f>
        <v>FES1162594319</v>
      </c>
      <c r="F1035" s="3">
        <v>43075</v>
      </c>
      <c r="G1035" s="2">
        <v>201806</v>
      </c>
      <c r="H1035" s="2" t="s">
        <v>74</v>
      </c>
      <c r="I1035" s="2" t="s">
        <v>75</v>
      </c>
      <c r="J1035" s="2" t="s">
        <v>97</v>
      </c>
      <c r="K1035" s="2" t="s">
        <v>77</v>
      </c>
      <c r="L1035" s="2" t="s">
        <v>136</v>
      </c>
      <c r="M1035" s="2" t="s">
        <v>137</v>
      </c>
      <c r="N1035" s="2" t="s">
        <v>138</v>
      </c>
      <c r="O1035" s="2" t="s">
        <v>101</v>
      </c>
      <c r="P1035" s="2" t="str">
        <f>"21706059954                   "</f>
        <v xml:space="preserve">21706059954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6.43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1</v>
      </c>
      <c r="BJ1035" s="2">
        <v>0.2</v>
      </c>
      <c r="BK1035" s="2">
        <v>1</v>
      </c>
      <c r="BL1035" s="2">
        <v>45.93</v>
      </c>
      <c r="BM1035" s="2">
        <v>6.43</v>
      </c>
      <c r="BN1035" s="2">
        <v>52.36</v>
      </c>
      <c r="BO1035" s="2">
        <v>52.36</v>
      </c>
      <c r="BQ1035" s="2" t="s">
        <v>82</v>
      </c>
      <c r="BR1035" s="2" t="s">
        <v>103</v>
      </c>
      <c r="BS1035" s="3">
        <v>43076</v>
      </c>
      <c r="BT1035" s="4">
        <v>0.35416666666666669</v>
      </c>
      <c r="BU1035" s="2" t="s">
        <v>139</v>
      </c>
      <c r="BV1035" s="2" t="s">
        <v>85</v>
      </c>
      <c r="BY1035" s="2">
        <v>1200</v>
      </c>
      <c r="BZ1035" s="2" t="s">
        <v>27</v>
      </c>
      <c r="CA1035" s="2" t="s">
        <v>140</v>
      </c>
      <c r="CC1035" s="2" t="s">
        <v>137</v>
      </c>
      <c r="CD1035" s="2">
        <v>6001</v>
      </c>
      <c r="CE1035" s="2" t="s">
        <v>120</v>
      </c>
      <c r="CF1035" s="3">
        <v>43077</v>
      </c>
      <c r="CI1035" s="2">
        <v>1</v>
      </c>
      <c r="CJ1035" s="2">
        <v>1</v>
      </c>
      <c r="CK1035" s="2">
        <v>21</v>
      </c>
      <c r="CL1035" s="2" t="s">
        <v>89</v>
      </c>
    </row>
    <row r="1036" spans="1:90">
      <c r="A1036" s="2" t="s">
        <v>71</v>
      </c>
      <c r="B1036" s="2" t="s">
        <v>72</v>
      </c>
      <c r="C1036" s="2" t="s">
        <v>73</v>
      </c>
      <c r="E1036" s="2" t="str">
        <f>"FES1162594550"</f>
        <v>FES1162594550</v>
      </c>
      <c r="F1036" s="3">
        <v>43075</v>
      </c>
      <c r="G1036" s="2">
        <v>201806</v>
      </c>
      <c r="H1036" s="2" t="s">
        <v>74</v>
      </c>
      <c r="I1036" s="2" t="s">
        <v>75</v>
      </c>
      <c r="J1036" s="2" t="s">
        <v>97</v>
      </c>
      <c r="K1036" s="2" t="s">
        <v>77</v>
      </c>
      <c r="L1036" s="2" t="s">
        <v>212</v>
      </c>
      <c r="M1036" s="2" t="s">
        <v>212</v>
      </c>
      <c r="N1036" s="2" t="s">
        <v>904</v>
      </c>
      <c r="O1036" s="2" t="s">
        <v>101</v>
      </c>
      <c r="P1036" s="2" t="str">
        <f>"2170606429                    "</f>
        <v xml:space="preserve">2170606429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6.43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45.93</v>
      </c>
      <c r="BM1036" s="2">
        <v>6.43</v>
      </c>
      <c r="BN1036" s="2">
        <v>52.36</v>
      </c>
      <c r="BO1036" s="2">
        <v>52.36</v>
      </c>
      <c r="BQ1036" s="2" t="s">
        <v>187</v>
      </c>
      <c r="BR1036" s="2" t="s">
        <v>103</v>
      </c>
      <c r="BS1036" s="3">
        <v>43077</v>
      </c>
      <c r="BT1036" s="4">
        <v>0.60277777777777775</v>
      </c>
      <c r="BU1036" s="2" t="s">
        <v>1569</v>
      </c>
      <c r="BV1036" s="2" t="s">
        <v>89</v>
      </c>
      <c r="BW1036" s="2" t="s">
        <v>471</v>
      </c>
      <c r="BX1036" s="2" t="s">
        <v>246</v>
      </c>
      <c r="BY1036" s="2">
        <v>1200</v>
      </c>
      <c r="CA1036" s="2" t="s">
        <v>532</v>
      </c>
      <c r="CC1036" s="2" t="s">
        <v>212</v>
      </c>
      <c r="CD1036" s="2">
        <v>7646</v>
      </c>
      <c r="CE1036" s="2" t="s">
        <v>120</v>
      </c>
      <c r="CF1036" s="3">
        <v>43077</v>
      </c>
      <c r="CI1036" s="2">
        <v>1</v>
      </c>
      <c r="CJ1036" s="2">
        <v>2</v>
      </c>
      <c r="CK1036" s="2">
        <v>21</v>
      </c>
      <c r="CL1036" s="2" t="s">
        <v>89</v>
      </c>
    </row>
    <row r="1037" spans="1:90">
      <c r="A1037" s="2" t="s">
        <v>71</v>
      </c>
      <c r="B1037" s="2" t="s">
        <v>72</v>
      </c>
      <c r="C1037" s="2" t="s">
        <v>73</v>
      </c>
      <c r="E1037" s="2" t="str">
        <f>"FES1162594220"</f>
        <v>FES1162594220</v>
      </c>
      <c r="F1037" s="3">
        <v>43075</v>
      </c>
      <c r="G1037" s="2">
        <v>201806</v>
      </c>
      <c r="H1037" s="2" t="s">
        <v>74</v>
      </c>
      <c r="I1037" s="2" t="s">
        <v>75</v>
      </c>
      <c r="J1037" s="2" t="s">
        <v>97</v>
      </c>
      <c r="K1037" s="2" t="s">
        <v>77</v>
      </c>
      <c r="L1037" s="2" t="s">
        <v>106</v>
      </c>
      <c r="M1037" s="2" t="s">
        <v>107</v>
      </c>
      <c r="N1037" s="2" t="s">
        <v>427</v>
      </c>
      <c r="O1037" s="2" t="s">
        <v>101</v>
      </c>
      <c r="P1037" s="2" t="str">
        <f>"2170604508                    "</f>
        <v xml:space="preserve">2170604508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6.23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8.3000000000000007</v>
      </c>
      <c r="BJ1037" s="2">
        <v>9.1</v>
      </c>
      <c r="BK1037" s="2">
        <v>10</v>
      </c>
      <c r="BL1037" s="2">
        <v>44.49</v>
      </c>
      <c r="BM1037" s="2">
        <v>6.23</v>
      </c>
      <c r="BN1037" s="2">
        <v>50.72</v>
      </c>
      <c r="BO1037" s="2">
        <v>50.72</v>
      </c>
      <c r="BQ1037" s="2" t="s">
        <v>102</v>
      </c>
      <c r="BR1037" s="2" t="s">
        <v>103</v>
      </c>
      <c r="BS1037" s="3">
        <v>43076</v>
      </c>
      <c r="BT1037" s="4">
        <v>0.4375</v>
      </c>
      <c r="BU1037" s="2" t="s">
        <v>428</v>
      </c>
      <c r="BV1037" s="2" t="s">
        <v>85</v>
      </c>
      <c r="BY1037" s="2">
        <v>45261.84</v>
      </c>
      <c r="CA1037" s="2" t="s">
        <v>429</v>
      </c>
      <c r="CC1037" s="2" t="s">
        <v>107</v>
      </c>
      <c r="CD1037" s="2">
        <v>2091</v>
      </c>
      <c r="CE1037" s="2" t="s">
        <v>95</v>
      </c>
      <c r="CF1037" s="3">
        <v>43080</v>
      </c>
      <c r="CI1037" s="2">
        <v>1</v>
      </c>
      <c r="CJ1037" s="2">
        <v>1</v>
      </c>
      <c r="CK1037" s="2">
        <v>22</v>
      </c>
      <c r="CL1037" s="2" t="s">
        <v>89</v>
      </c>
    </row>
    <row r="1038" spans="1:90">
      <c r="A1038" s="2" t="s">
        <v>71</v>
      </c>
      <c r="B1038" s="2" t="s">
        <v>72</v>
      </c>
      <c r="C1038" s="2" t="s">
        <v>73</v>
      </c>
      <c r="E1038" s="2" t="str">
        <f>"FES1162594526"</f>
        <v>FES1162594526</v>
      </c>
      <c r="F1038" s="3">
        <v>43075</v>
      </c>
      <c r="G1038" s="2">
        <v>201806</v>
      </c>
      <c r="H1038" s="2" t="s">
        <v>74</v>
      </c>
      <c r="I1038" s="2" t="s">
        <v>75</v>
      </c>
      <c r="J1038" s="2" t="s">
        <v>97</v>
      </c>
      <c r="K1038" s="2" t="s">
        <v>77</v>
      </c>
      <c r="L1038" s="2" t="s">
        <v>173</v>
      </c>
      <c r="M1038" s="2" t="s">
        <v>174</v>
      </c>
      <c r="N1038" s="2" t="s">
        <v>381</v>
      </c>
      <c r="O1038" s="2" t="s">
        <v>101</v>
      </c>
      <c r="P1038" s="2" t="str">
        <f>"2170606391                    "</f>
        <v xml:space="preserve">2170606391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6.43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</v>
      </c>
      <c r="BJ1038" s="2">
        <v>0.2</v>
      </c>
      <c r="BK1038" s="2">
        <v>1</v>
      </c>
      <c r="BL1038" s="2">
        <v>45.93</v>
      </c>
      <c r="BM1038" s="2">
        <v>6.43</v>
      </c>
      <c r="BN1038" s="2">
        <v>52.36</v>
      </c>
      <c r="BO1038" s="2">
        <v>52.36</v>
      </c>
      <c r="BQ1038" s="2" t="s">
        <v>382</v>
      </c>
      <c r="BR1038" s="2" t="s">
        <v>103</v>
      </c>
      <c r="BS1038" s="3">
        <v>43076</v>
      </c>
      <c r="BT1038" s="4">
        <v>0.49583333333333335</v>
      </c>
      <c r="BU1038" s="2" t="s">
        <v>681</v>
      </c>
      <c r="BV1038" s="2" t="s">
        <v>89</v>
      </c>
      <c r="BW1038" s="2" t="s">
        <v>149</v>
      </c>
      <c r="BX1038" s="2" t="s">
        <v>368</v>
      </c>
      <c r="BY1038" s="2">
        <v>1200</v>
      </c>
      <c r="CA1038" s="2" t="s">
        <v>177</v>
      </c>
      <c r="CC1038" s="2" t="s">
        <v>174</v>
      </c>
      <c r="CD1038" s="2">
        <v>7405</v>
      </c>
      <c r="CE1038" s="2" t="s">
        <v>120</v>
      </c>
      <c r="CF1038" s="3">
        <v>43077</v>
      </c>
      <c r="CI1038" s="2">
        <v>1</v>
      </c>
      <c r="CJ1038" s="2">
        <v>1</v>
      </c>
      <c r="CK1038" s="2">
        <v>21</v>
      </c>
      <c r="CL1038" s="2" t="s">
        <v>89</v>
      </c>
    </row>
    <row r="1039" spans="1:90">
      <c r="A1039" s="2" t="s">
        <v>71</v>
      </c>
      <c r="B1039" s="2" t="s">
        <v>72</v>
      </c>
      <c r="C1039" s="2" t="s">
        <v>73</v>
      </c>
      <c r="E1039" s="2" t="str">
        <f>"FES1162594249"</f>
        <v>FES1162594249</v>
      </c>
      <c r="F1039" s="3">
        <v>43075</v>
      </c>
      <c r="G1039" s="2">
        <v>201806</v>
      </c>
      <c r="H1039" s="2" t="s">
        <v>74</v>
      </c>
      <c r="I1039" s="2" t="s">
        <v>75</v>
      </c>
      <c r="J1039" s="2" t="s">
        <v>97</v>
      </c>
      <c r="K1039" s="2" t="s">
        <v>77</v>
      </c>
      <c r="L1039" s="2" t="s">
        <v>173</v>
      </c>
      <c r="M1039" s="2" t="s">
        <v>174</v>
      </c>
      <c r="N1039" s="2" t="s">
        <v>498</v>
      </c>
      <c r="O1039" s="2" t="s">
        <v>101</v>
      </c>
      <c r="P1039" s="2" t="str">
        <f>"2170605455                    "</f>
        <v xml:space="preserve">2170605455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6.43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1</v>
      </c>
      <c r="BJ1039" s="2">
        <v>0.2</v>
      </c>
      <c r="BK1039" s="2">
        <v>1</v>
      </c>
      <c r="BL1039" s="2">
        <v>45.93</v>
      </c>
      <c r="BM1039" s="2">
        <v>6.43</v>
      </c>
      <c r="BN1039" s="2">
        <v>52.36</v>
      </c>
      <c r="BO1039" s="2">
        <v>52.36</v>
      </c>
      <c r="BQ1039" s="2" t="s">
        <v>499</v>
      </c>
      <c r="BR1039" s="2" t="s">
        <v>103</v>
      </c>
      <c r="BS1039" s="3">
        <v>43076</v>
      </c>
      <c r="BT1039" s="4">
        <v>0.54166666666666663</v>
      </c>
      <c r="BU1039" s="2" t="s">
        <v>500</v>
      </c>
      <c r="BV1039" s="2" t="s">
        <v>89</v>
      </c>
      <c r="BW1039" s="2" t="s">
        <v>149</v>
      </c>
      <c r="BX1039" s="2" t="s">
        <v>368</v>
      </c>
      <c r="BY1039" s="2">
        <v>1200</v>
      </c>
      <c r="CA1039" s="2" t="s">
        <v>360</v>
      </c>
      <c r="CC1039" s="2" t="s">
        <v>174</v>
      </c>
      <c r="CD1039" s="2">
        <v>7405</v>
      </c>
      <c r="CE1039" s="2" t="s">
        <v>120</v>
      </c>
      <c r="CF1039" s="3">
        <v>43077</v>
      </c>
      <c r="CI1039" s="2">
        <v>1</v>
      </c>
      <c r="CJ1039" s="2">
        <v>1</v>
      </c>
      <c r="CK1039" s="2">
        <v>21</v>
      </c>
      <c r="CL1039" s="2" t="s">
        <v>89</v>
      </c>
    </row>
    <row r="1040" spans="1:90">
      <c r="A1040" s="2" t="s">
        <v>71</v>
      </c>
      <c r="B1040" s="2" t="s">
        <v>72</v>
      </c>
      <c r="C1040" s="2" t="s">
        <v>73</v>
      </c>
      <c r="E1040" s="2" t="str">
        <f>"FES1162594516"</f>
        <v>FES1162594516</v>
      </c>
      <c r="F1040" s="3">
        <v>43075</v>
      </c>
      <c r="G1040" s="2">
        <v>201806</v>
      </c>
      <c r="H1040" s="2" t="s">
        <v>74</v>
      </c>
      <c r="I1040" s="2" t="s">
        <v>75</v>
      </c>
      <c r="J1040" s="2" t="s">
        <v>97</v>
      </c>
      <c r="K1040" s="2" t="s">
        <v>77</v>
      </c>
      <c r="L1040" s="2" t="s">
        <v>125</v>
      </c>
      <c r="M1040" s="2" t="s">
        <v>126</v>
      </c>
      <c r="N1040" s="2" t="s">
        <v>1367</v>
      </c>
      <c r="O1040" s="2" t="s">
        <v>101</v>
      </c>
      <c r="P1040" s="2" t="str">
        <f>"21706382                      "</f>
        <v xml:space="preserve">21706382  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25.73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6.1</v>
      </c>
      <c r="BJ1040" s="2">
        <v>8</v>
      </c>
      <c r="BK1040" s="2">
        <v>8</v>
      </c>
      <c r="BL1040" s="2">
        <v>183.67</v>
      </c>
      <c r="BM1040" s="2">
        <v>25.71</v>
      </c>
      <c r="BN1040" s="2">
        <v>209.38</v>
      </c>
      <c r="BO1040" s="2">
        <v>209.38</v>
      </c>
      <c r="BR1040" s="2" t="s">
        <v>103</v>
      </c>
      <c r="BS1040" s="3">
        <v>43076</v>
      </c>
      <c r="BT1040" s="4">
        <v>0.34097222222222223</v>
      </c>
      <c r="BU1040" s="2" t="s">
        <v>1570</v>
      </c>
      <c r="BV1040" s="2" t="s">
        <v>85</v>
      </c>
      <c r="BY1040" s="2">
        <v>39895.300000000003</v>
      </c>
      <c r="BZ1040" s="2" t="s">
        <v>27</v>
      </c>
      <c r="CA1040" s="2" t="s">
        <v>1369</v>
      </c>
      <c r="CC1040" s="2" t="s">
        <v>126</v>
      </c>
      <c r="CD1040" s="2">
        <v>4064</v>
      </c>
      <c r="CE1040" s="2" t="s">
        <v>95</v>
      </c>
      <c r="CF1040" s="3">
        <v>43080</v>
      </c>
      <c r="CI1040" s="2">
        <v>1</v>
      </c>
      <c r="CJ1040" s="2">
        <v>1</v>
      </c>
      <c r="CK1040" s="2">
        <v>21</v>
      </c>
      <c r="CL1040" s="2" t="s">
        <v>89</v>
      </c>
    </row>
    <row r="1041" spans="1:90">
      <c r="A1041" s="2" t="s">
        <v>71</v>
      </c>
      <c r="B1041" s="2" t="s">
        <v>72</v>
      </c>
      <c r="C1041" s="2" t="s">
        <v>73</v>
      </c>
      <c r="E1041" s="2" t="str">
        <f>"FES1162594257"</f>
        <v>FES1162594257</v>
      </c>
      <c r="F1041" s="3">
        <v>43075</v>
      </c>
      <c r="G1041" s="2">
        <v>201806</v>
      </c>
      <c r="H1041" s="2" t="s">
        <v>74</v>
      </c>
      <c r="I1041" s="2" t="s">
        <v>75</v>
      </c>
      <c r="J1041" s="2" t="s">
        <v>97</v>
      </c>
      <c r="K1041" s="2" t="s">
        <v>77</v>
      </c>
      <c r="L1041" s="2" t="s">
        <v>74</v>
      </c>
      <c r="M1041" s="2" t="s">
        <v>75</v>
      </c>
      <c r="N1041" s="2" t="s">
        <v>1251</v>
      </c>
      <c r="O1041" s="2" t="s">
        <v>101</v>
      </c>
      <c r="P1041" s="2" t="str">
        <f>"2170605630                    "</f>
        <v xml:space="preserve">2170605630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5.03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1</v>
      </c>
      <c r="BJ1041" s="2">
        <v>0.2</v>
      </c>
      <c r="BK1041" s="2">
        <v>1</v>
      </c>
      <c r="BL1041" s="2">
        <v>35.89</v>
      </c>
      <c r="BM1041" s="2">
        <v>5.0199999999999996</v>
      </c>
      <c r="BN1041" s="2">
        <v>40.909999999999997</v>
      </c>
      <c r="BO1041" s="2">
        <v>40.909999999999997</v>
      </c>
      <c r="BQ1041" s="2" t="s">
        <v>102</v>
      </c>
      <c r="BR1041" s="2" t="s">
        <v>103</v>
      </c>
      <c r="BS1041" s="3">
        <v>43077</v>
      </c>
      <c r="BT1041" s="4">
        <v>0.41666666666666669</v>
      </c>
      <c r="BU1041" s="2" t="s">
        <v>1571</v>
      </c>
      <c r="BV1041" s="2" t="s">
        <v>89</v>
      </c>
      <c r="BW1041" s="2" t="s">
        <v>149</v>
      </c>
      <c r="BX1041" s="2" t="s">
        <v>157</v>
      </c>
      <c r="BY1041" s="2">
        <v>1200</v>
      </c>
      <c r="CC1041" s="2" t="s">
        <v>75</v>
      </c>
      <c r="CD1041" s="2">
        <v>1609</v>
      </c>
      <c r="CE1041" s="2" t="s">
        <v>120</v>
      </c>
      <c r="CF1041" s="3">
        <v>43080</v>
      </c>
      <c r="CI1041" s="2">
        <v>1</v>
      </c>
      <c r="CJ1041" s="2">
        <v>2</v>
      </c>
      <c r="CK1041" s="2">
        <v>22</v>
      </c>
      <c r="CL1041" s="2" t="s">
        <v>89</v>
      </c>
    </row>
    <row r="1042" spans="1:90">
      <c r="A1042" s="2" t="s">
        <v>71</v>
      </c>
      <c r="B1042" s="2" t="s">
        <v>72</v>
      </c>
      <c r="C1042" s="2" t="s">
        <v>73</v>
      </c>
      <c r="E1042" s="2" t="str">
        <f>"FES1162594532"</f>
        <v>FES1162594532</v>
      </c>
      <c r="F1042" s="3">
        <v>43075</v>
      </c>
      <c r="G1042" s="2">
        <v>201806</v>
      </c>
      <c r="H1042" s="2" t="s">
        <v>74</v>
      </c>
      <c r="I1042" s="2" t="s">
        <v>75</v>
      </c>
      <c r="J1042" s="2" t="s">
        <v>97</v>
      </c>
      <c r="K1042" s="2" t="s">
        <v>77</v>
      </c>
      <c r="L1042" s="2" t="s">
        <v>125</v>
      </c>
      <c r="M1042" s="2" t="s">
        <v>126</v>
      </c>
      <c r="N1042" s="2" t="s">
        <v>955</v>
      </c>
      <c r="O1042" s="2" t="s">
        <v>101</v>
      </c>
      <c r="P1042" s="2" t="str">
        <f>"2170606397                    "</f>
        <v xml:space="preserve">2170606397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6.43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</v>
      </c>
      <c r="BJ1042" s="2">
        <v>0.2</v>
      </c>
      <c r="BK1042" s="2">
        <v>1</v>
      </c>
      <c r="BL1042" s="2">
        <v>45.93</v>
      </c>
      <c r="BM1042" s="2">
        <v>6.43</v>
      </c>
      <c r="BN1042" s="2">
        <v>52.36</v>
      </c>
      <c r="BO1042" s="2">
        <v>52.36</v>
      </c>
      <c r="BQ1042" s="2" t="s">
        <v>102</v>
      </c>
      <c r="BR1042" s="2" t="s">
        <v>103</v>
      </c>
      <c r="BS1042" s="3">
        <v>43076</v>
      </c>
      <c r="BT1042" s="4">
        <v>0.54166666666666663</v>
      </c>
      <c r="BU1042" s="2" t="s">
        <v>1444</v>
      </c>
      <c r="BV1042" s="2" t="s">
        <v>89</v>
      </c>
      <c r="BW1042" s="2" t="s">
        <v>149</v>
      </c>
      <c r="BX1042" s="2" t="s">
        <v>594</v>
      </c>
      <c r="BY1042" s="2">
        <v>1200</v>
      </c>
      <c r="CC1042" s="2" t="s">
        <v>126</v>
      </c>
      <c r="CD1042" s="2">
        <v>4001</v>
      </c>
      <c r="CE1042" s="2" t="s">
        <v>120</v>
      </c>
      <c r="CF1042" s="3">
        <v>43077</v>
      </c>
      <c r="CI1042" s="2">
        <v>1</v>
      </c>
      <c r="CJ1042" s="2">
        <v>1</v>
      </c>
      <c r="CK1042" s="2">
        <v>21</v>
      </c>
      <c r="CL1042" s="2" t="s">
        <v>89</v>
      </c>
    </row>
    <row r="1043" spans="1:90">
      <c r="A1043" s="2" t="s">
        <v>71</v>
      </c>
      <c r="B1043" s="2" t="s">
        <v>72</v>
      </c>
      <c r="C1043" s="2" t="s">
        <v>73</v>
      </c>
      <c r="E1043" s="2" t="str">
        <f>"FES1162594166"</f>
        <v>FES1162594166</v>
      </c>
      <c r="F1043" s="3">
        <v>43075</v>
      </c>
      <c r="G1043" s="2">
        <v>201806</v>
      </c>
      <c r="H1043" s="2" t="s">
        <v>74</v>
      </c>
      <c r="I1043" s="2" t="s">
        <v>75</v>
      </c>
      <c r="J1043" s="2" t="s">
        <v>97</v>
      </c>
      <c r="K1043" s="2" t="s">
        <v>77</v>
      </c>
      <c r="L1043" s="2" t="s">
        <v>295</v>
      </c>
      <c r="M1043" s="2" t="s">
        <v>296</v>
      </c>
      <c r="N1043" s="2" t="s">
        <v>733</v>
      </c>
      <c r="O1043" s="2" t="s">
        <v>101</v>
      </c>
      <c r="P1043" s="2" t="str">
        <f>"2170603537                    "</f>
        <v xml:space="preserve">2170603537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9.0500000000000007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</v>
      </c>
      <c r="BJ1043" s="2">
        <v>0.2</v>
      </c>
      <c r="BK1043" s="2">
        <v>1</v>
      </c>
      <c r="BL1043" s="2">
        <v>64.599999999999994</v>
      </c>
      <c r="BM1043" s="2">
        <v>9.0399999999999991</v>
      </c>
      <c r="BN1043" s="2">
        <v>73.64</v>
      </c>
      <c r="BO1043" s="2">
        <v>73.64</v>
      </c>
      <c r="BQ1043" s="2" t="s">
        <v>102</v>
      </c>
      <c r="BR1043" s="2" t="s">
        <v>103</v>
      </c>
      <c r="BS1043" s="3">
        <v>43077</v>
      </c>
      <c r="BT1043" s="4">
        <v>0.39583333333333331</v>
      </c>
      <c r="BU1043" s="2" t="s">
        <v>118</v>
      </c>
      <c r="BV1043" s="2" t="s">
        <v>89</v>
      </c>
      <c r="BW1043" s="2" t="s">
        <v>149</v>
      </c>
      <c r="BX1043" s="2" t="s">
        <v>668</v>
      </c>
      <c r="BY1043" s="2">
        <v>1200</v>
      </c>
      <c r="CC1043" s="2" t="s">
        <v>296</v>
      </c>
      <c r="CD1043" s="2">
        <v>407</v>
      </c>
      <c r="CE1043" s="2" t="s">
        <v>120</v>
      </c>
      <c r="CF1043" s="3">
        <v>43081</v>
      </c>
      <c r="CI1043" s="2">
        <v>1</v>
      </c>
      <c r="CJ1043" s="2">
        <v>2</v>
      </c>
      <c r="CK1043" s="2">
        <v>24</v>
      </c>
      <c r="CL1043" s="2" t="s">
        <v>89</v>
      </c>
    </row>
    <row r="1044" spans="1:90">
      <c r="A1044" s="2" t="s">
        <v>71</v>
      </c>
      <c r="B1044" s="2" t="s">
        <v>72</v>
      </c>
      <c r="C1044" s="2" t="s">
        <v>73</v>
      </c>
      <c r="E1044" s="2" t="str">
        <f>"FES1162594504"</f>
        <v>FES1162594504</v>
      </c>
      <c r="F1044" s="3">
        <v>43075</v>
      </c>
      <c r="G1044" s="2">
        <v>201806</v>
      </c>
      <c r="H1044" s="2" t="s">
        <v>74</v>
      </c>
      <c r="I1044" s="2" t="s">
        <v>75</v>
      </c>
      <c r="J1044" s="2" t="s">
        <v>97</v>
      </c>
      <c r="K1044" s="2" t="s">
        <v>77</v>
      </c>
      <c r="L1044" s="2" t="s">
        <v>152</v>
      </c>
      <c r="M1044" s="2" t="s">
        <v>153</v>
      </c>
      <c r="N1044" s="2" t="s">
        <v>1572</v>
      </c>
      <c r="O1044" s="2" t="s">
        <v>101</v>
      </c>
      <c r="P1044" s="2" t="str">
        <f>"2170606369                    "</f>
        <v xml:space="preserve">2170606369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5.03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</v>
      </c>
      <c r="BJ1044" s="2">
        <v>0.2</v>
      </c>
      <c r="BK1044" s="2">
        <v>1</v>
      </c>
      <c r="BL1044" s="2">
        <v>35.89</v>
      </c>
      <c r="BM1044" s="2">
        <v>5.0199999999999996</v>
      </c>
      <c r="BN1044" s="2">
        <v>40.909999999999997</v>
      </c>
      <c r="BO1044" s="2">
        <v>40.909999999999997</v>
      </c>
      <c r="BR1044" s="2" t="s">
        <v>103</v>
      </c>
      <c r="BS1044" s="3">
        <v>43076</v>
      </c>
      <c r="BT1044" s="4">
        <v>0.39999999999999997</v>
      </c>
      <c r="BU1044" s="2" t="s">
        <v>1573</v>
      </c>
      <c r="BV1044" s="2" t="s">
        <v>85</v>
      </c>
      <c r="BY1044" s="2">
        <v>1200</v>
      </c>
      <c r="CA1044" s="2" t="s">
        <v>439</v>
      </c>
      <c r="CC1044" s="2" t="s">
        <v>153</v>
      </c>
      <c r="CD1044" s="2">
        <v>1422</v>
      </c>
      <c r="CE1044" s="2" t="s">
        <v>120</v>
      </c>
      <c r="CF1044" s="3">
        <v>43089</v>
      </c>
      <c r="CI1044" s="2">
        <v>1</v>
      </c>
      <c r="CJ1044" s="2">
        <v>1</v>
      </c>
      <c r="CK1044" s="2">
        <v>22</v>
      </c>
      <c r="CL1044" s="2" t="s">
        <v>89</v>
      </c>
    </row>
    <row r="1045" spans="1:90">
      <c r="A1045" s="2" t="s">
        <v>71</v>
      </c>
      <c r="B1045" s="2" t="s">
        <v>72</v>
      </c>
      <c r="C1045" s="2" t="s">
        <v>73</v>
      </c>
      <c r="E1045" s="2" t="str">
        <f>"FES1162594109"</f>
        <v>FES1162594109</v>
      </c>
      <c r="F1045" s="3">
        <v>43075</v>
      </c>
      <c r="G1045" s="2">
        <v>201806</v>
      </c>
      <c r="H1045" s="2" t="s">
        <v>74</v>
      </c>
      <c r="I1045" s="2" t="s">
        <v>75</v>
      </c>
      <c r="J1045" s="2" t="s">
        <v>97</v>
      </c>
      <c r="K1045" s="2" t="s">
        <v>77</v>
      </c>
      <c r="L1045" s="2" t="s">
        <v>74</v>
      </c>
      <c r="M1045" s="2" t="s">
        <v>75</v>
      </c>
      <c r="N1045" s="2" t="s">
        <v>1574</v>
      </c>
      <c r="O1045" s="2" t="s">
        <v>101</v>
      </c>
      <c r="P1045" s="2" t="str">
        <f>"2170603501                    "</f>
        <v xml:space="preserve">2170603501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5.03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3.3</v>
      </c>
      <c r="BJ1045" s="2">
        <v>1.7</v>
      </c>
      <c r="BK1045" s="2">
        <v>4</v>
      </c>
      <c r="BL1045" s="2">
        <v>35.89</v>
      </c>
      <c r="BM1045" s="2">
        <v>5.0199999999999996</v>
      </c>
      <c r="BN1045" s="2">
        <v>40.909999999999997</v>
      </c>
      <c r="BO1045" s="2">
        <v>40.909999999999997</v>
      </c>
      <c r="BQ1045" s="2" t="s">
        <v>102</v>
      </c>
      <c r="BR1045" s="2" t="s">
        <v>103</v>
      </c>
      <c r="BS1045" s="3">
        <v>43076</v>
      </c>
      <c r="BT1045" s="4">
        <v>0.38194444444444442</v>
      </c>
      <c r="BU1045" s="2" t="s">
        <v>1575</v>
      </c>
      <c r="BV1045" s="2" t="s">
        <v>85</v>
      </c>
      <c r="BY1045" s="2">
        <v>8474.82</v>
      </c>
      <c r="CA1045" s="2" t="s">
        <v>366</v>
      </c>
      <c r="CC1045" s="2" t="s">
        <v>75</v>
      </c>
      <c r="CD1045" s="2">
        <v>1601</v>
      </c>
      <c r="CE1045" s="2" t="s">
        <v>95</v>
      </c>
      <c r="CF1045" s="3">
        <v>43080</v>
      </c>
      <c r="CI1045" s="2">
        <v>1</v>
      </c>
      <c r="CJ1045" s="2">
        <v>1</v>
      </c>
      <c r="CK1045" s="2">
        <v>22</v>
      </c>
      <c r="CL1045" s="2" t="s">
        <v>89</v>
      </c>
    </row>
    <row r="1046" spans="1:90">
      <c r="A1046" s="2" t="s">
        <v>71</v>
      </c>
      <c r="B1046" s="2" t="s">
        <v>72</v>
      </c>
      <c r="C1046" s="2" t="s">
        <v>73</v>
      </c>
      <c r="E1046" s="2" t="str">
        <f>"FES1162594522"</f>
        <v>FES1162594522</v>
      </c>
      <c r="F1046" s="3">
        <v>43075</v>
      </c>
      <c r="G1046" s="2">
        <v>201806</v>
      </c>
      <c r="H1046" s="2" t="s">
        <v>74</v>
      </c>
      <c r="I1046" s="2" t="s">
        <v>75</v>
      </c>
      <c r="J1046" s="2" t="s">
        <v>97</v>
      </c>
      <c r="K1046" s="2" t="s">
        <v>77</v>
      </c>
      <c r="L1046" s="2" t="s">
        <v>106</v>
      </c>
      <c r="M1046" s="2" t="s">
        <v>107</v>
      </c>
      <c r="N1046" s="2" t="s">
        <v>108</v>
      </c>
      <c r="O1046" s="2" t="s">
        <v>101</v>
      </c>
      <c r="P1046" s="2" t="str">
        <f>"2170606395                    "</f>
        <v xml:space="preserve">2170606395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5.03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1.8</v>
      </c>
      <c r="BJ1046" s="2">
        <v>2.9</v>
      </c>
      <c r="BK1046" s="2">
        <v>3</v>
      </c>
      <c r="BL1046" s="2">
        <v>35.89</v>
      </c>
      <c r="BM1046" s="2">
        <v>5.0199999999999996</v>
      </c>
      <c r="BN1046" s="2">
        <v>40.909999999999997</v>
      </c>
      <c r="BO1046" s="2">
        <v>40.909999999999997</v>
      </c>
      <c r="BQ1046" s="2" t="s">
        <v>82</v>
      </c>
      <c r="BR1046" s="2" t="s">
        <v>103</v>
      </c>
      <c r="BS1046" s="3">
        <v>43076</v>
      </c>
      <c r="BT1046" s="4">
        <v>0.45833333333333331</v>
      </c>
      <c r="BU1046" s="2" t="s">
        <v>328</v>
      </c>
      <c r="BV1046" s="2" t="s">
        <v>89</v>
      </c>
      <c r="BW1046" s="2" t="s">
        <v>156</v>
      </c>
      <c r="BX1046" s="2" t="s">
        <v>438</v>
      </c>
      <c r="BY1046" s="2">
        <v>14335.49</v>
      </c>
      <c r="CA1046" s="2" t="s">
        <v>110</v>
      </c>
      <c r="CC1046" s="2" t="s">
        <v>107</v>
      </c>
      <c r="CD1046" s="2">
        <v>2094</v>
      </c>
      <c r="CE1046" s="2" t="s">
        <v>120</v>
      </c>
      <c r="CF1046" s="3">
        <v>43080</v>
      </c>
      <c r="CI1046" s="2">
        <v>1</v>
      </c>
      <c r="CJ1046" s="2">
        <v>1</v>
      </c>
      <c r="CK1046" s="2">
        <v>22</v>
      </c>
      <c r="CL1046" s="2" t="s">
        <v>89</v>
      </c>
    </row>
    <row r="1047" spans="1:90">
      <c r="A1047" s="2" t="s">
        <v>71</v>
      </c>
      <c r="B1047" s="2" t="s">
        <v>72</v>
      </c>
      <c r="C1047" s="2" t="s">
        <v>73</v>
      </c>
      <c r="E1047" s="2" t="str">
        <f>"FES1162594145"</f>
        <v>FES1162594145</v>
      </c>
      <c r="F1047" s="3">
        <v>43075</v>
      </c>
      <c r="G1047" s="2">
        <v>201806</v>
      </c>
      <c r="H1047" s="2" t="s">
        <v>74</v>
      </c>
      <c r="I1047" s="2" t="s">
        <v>75</v>
      </c>
      <c r="J1047" s="2" t="s">
        <v>97</v>
      </c>
      <c r="K1047" s="2" t="s">
        <v>77</v>
      </c>
      <c r="L1047" s="2" t="s">
        <v>90</v>
      </c>
      <c r="M1047" s="2" t="s">
        <v>91</v>
      </c>
      <c r="N1047" s="2" t="s">
        <v>1576</v>
      </c>
      <c r="O1047" s="2" t="s">
        <v>101</v>
      </c>
      <c r="P1047" s="2" t="str">
        <f>"2170603168                    "</f>
        <v xml:space="preserve">2170603168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5.03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</v>
      </c>
      <c r="BJ1047" s="2">
        <v>0.2</v>
      </c>
      <c r="BK1047" s="2">
        <v>1</v>
      </c>
      <c r="BL1047" s="2">
        <v>35.89</v>
      </c>
      <c r="BM1047" s="2">
        <v>5.0199999999999996</v>
      </c>
      <c r="BN1047" s="2">
        <v>40.909999999999997</v>
      </c>
      <c r="BO1047" s="2">
        <v>40.909999999999997</v>
      </c>
      <c r="BQ1047" s="2" t="s">
        <v>1577</v>
      </c>
      <c r="BR1047" s="2" t="s">
        <v>103</v>
      </c>
      <c r="BS1047" s="3">
        <v>43076</v>
      </c>
      <c r="BT1047" s="4">
        <v>0.41666666666666669</v>
      </c>
      <c r="BU1047" s="2" t="s">
        <v>1578</v>
      </c>
      <c r="BV1047" s="2" t="s">
        <v>85</v>
      </c>
      <c r="BY1047" s="2">
        <v>1200</v>
      </c>
      <c r="CA1047" s="2" t="s">
        <v>347</v>
      </c>
      <c r="CC1047" s="2" t="s">
        <v>91</v>
      </c>
      <c r="CD1047" s="2">
        <v>1560</v>
      </c>
      <c r="CE1047" s="2" t="s">
        <v>120</v>
      </c>
      <c r="CF1047" s="3">
        <v>43080</v>
      </c>
      <c r="CI1047" s="2">
        <v>1</v>
      </c>
      <c r="CJ1047" s="2">
        <v>1</v>
      </c>
      <c r="CK1047" s="2">
        <v>22</v>
      </c>
      <c r="CL1047" s="2" t="s">
        <v>89</v>
      </c>
    </row>
    <row r="1048" spans="1:90">
      <c r="A1048" s="2" t="s">
        <v>71</v>
      </c>
      <c r="B1048" s="2" t="s">
        <v>72</v>
      </c>
      <c r="C1048" s="2" t="s">
        <v>73</v>
      </c>
      <c r="E1048" s="2" t="str">
        <f>"FES1162594548"</f>
        <v>FES1162594548</v>
      </c>
      <c r="F1048" s="3">
        <v>43075</v>
      </c>
      <c r="G1048" s="2">
        <v>201806</v>
      </c>
      <c r="H1048" s="2" t="s">
        <v>74</v>
      </c>
      <c r="I1048" s="2" t="s">
        <v>75</v>
      </c>
      <c r="J1048" s="2" t="s">
        <v>97</v>
      </c>
      <c r="K1048" s="2" t="s">
        <v>77</v>
      </c>
      <c r="L1048" s="2" t="s">
        <v>145</v>
      </c>
      <c r="M1048" s="2" t="s">
        <v>146</v>
      </c>
      <c r="N1048" s="2" t="s">
        <v>1533</v>
      </c>
      <c r="O1048" s="2" t="s">
        <v>101</v>
      </c>
      <c r="P1048" s="2" t="str">
        <f>"2170606356                    "</f>
        <v xml:space="preserve">2170606356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6.43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1.7</v>
      </c>
      <c r="BJ1048" s="2">
        <v>1.9</v>
      </c>
      <c r="BK1048" s="2">
        <v>2</v>
      </c>
      <c r="BL1048" s="2">
        <v>45.93</v>
      </c>
      <c r="BM1048" s="2">
        <v>6.43</v>
      </c>
      <c r="BN1048" s="2">
        <v>52.36</v>
      </c>
      <c r="BO1048" s="2">
        <v>52.36</v>
      </c>
      <c r="BQ1048" s="2" t="s">
        <v>1534</v>
      </c>
      <c r="BR1048" s="2" t="s">
        <v>103</v>
      </c>
      <c r="BS1048" s="3">
        <v>43076</v>
      </c>
      <c r="BT1048" s="4">
        <v>0.39513888888888887</v>
      </c>
      <c r="BU1048" s="2" t="s">
        <v>1535</v>
      </c>
      <c r="BV1048" s="2" t="s">
        <v>85</v>
      </c>
      <c r="BY1048" s="2">
        <v>9676.7999999999993</v>
      </c>
      <c r="CA1048" s="2" t="s">
        <v>629</v>
      </c>
      <c r="CC1048" s="2" t="s">
        <v>146</v>
      </c>
      <c r="CD1048" s="2">
        <v>5201</v>
      </c>
      <c r="CE1048" s="2" t="s">
        <v>120</v>
      </c>
      <c r="CF1048" s="3">
        <v>43080</v>
      </c>
      <c r="CI1048" s="2">
        <v>1</v>
      </c>
      <c r="CJ1048" s="2">
        <v>1</v>
      </c>
      <c r="CK1048" s="2">
        <v>21</v>
      </c>
      <c r="CL1048" s="2" t="s">
        <v>89</v>
      </c>
    </row>
    <row r="1049" spans="1:90">
      <c r="A1049" s="2" t="s">
        <v>71</v>
      </c>
      <c r="B1049" s="2" t="s">
        <v>72</v>
      </c>
      <c r="C1049" s="2" t="s">
        <v>73</v>
      </c>
      <c r="E1049" s="2" t="str">
        <f>"FES1162594114"</f>
        <v>FES1162594114</v>
      </c>
      <c r="F1049" s="3">
        <v>43075</v>
      </c>
      <c r="G1049" s="2">
        <v>201806</v>
      </c>
      <c r="H1049" s="2" t="s">
        <v>74</v>
      </c>
      <c r="I1049" s="2" t="s">
        <v>75</v>
      </c>
      <c r="J1049" s="2" t="s">
        <v>97</v>
      </c>
      <c r="K1049" s="2" t="s">
        <v>77</v>
      </c>
      <c r="L1049" s="2" t="s">
        <v>136</v>
      </c>
      <c r="M1049" s="2" t="s">
        <v>137</v>
      </c>
      <c r="N1049" s="2" t="s">
        <v>138</v>
      </c>
      <c r="O1049" s="2" t="s">
        <v>101</v>
      </c>
      <c r="P1049" s="2" t="str">
        <f>"2170598201                    "</f>
        <v xml:space="preserve">2170598201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16.079999999999998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5</v>
      </c>
      <c r="BJ1049" s="2">
        <v>1.9</v>
      </c>
      <c r="BK1049" s="2">
        <v>5</v>
      </c>
      <c r="BL1049" s="2">
        <v>114.8</v>
      </c>
      <c r="BM1049" s="2">
        <v>16.07</v>
      </c>
      <c r="BN1049" s="2">
        <v>130.87</v>
      </c>
      <c r="BO1049" s="2">
        <v>130.87</v>
      </c>
      <c r="BQ1049" s="2" t="s">
        <v>82</v>
      </c>
      <c r="BR1049" s="2" t="s">
        <v>103</v>
      </c>
      <c r="BS1049" s="3">
        <v>43076</v>
      </c>
      <c r="BT1049" s="4">
        <v>0.35416666666666669</v>
      </c>
      <c r="BU1049" s="2" t="s">
        <v>139</v>
      </c>
      <c r="BV1049" s="2" t="s">
        <v>85</v>
      </c>
      <c r="BY1049" s="2">
        <v>9353.02</v>
      </c>
      <c r="BZ1049" s="2" t="s">
        <v>27</v>
      </c>
      <c r="CA1049" s="2" t="s">
        <v>140</v>
      </c>
      <c r="CC1049" s="2" t="s">
        <v>137</v>
      </c>
      <c r="CD1049" s="2">
        <v>6001</v>
      </c>
      <c r="CE1049" s="2" t="s">
        <v>87</v>
      </c>
      <c r="CF1049" s="3">
        <v>43077</v>
      </c>
      <c r="CI1049" s="2">
        <v>1</v>
      </c>
      <c r="CJ1049" s="2">
        <v>1</v>
      </c>
      <c r="CK1049" s="2">
        <v>21</v>
      </c>
      <c r="CL1049" s="2" t="s">
        <v>89</v>
      </c>
    </row>
    <row r="1050" spans="1:90">
      <c r="A1050" s="2" t="s">
        <v>71</v>
      </c>
      <c r="B1050" s="2" t="s">
        <v>72</v>
      </c>
      <c r="C1050" s="2" t="s">
        <v>73</v>
      </c>
      <c r="E1050" s="2" t="str">
        <f>"FES1162594510"</f>
        <v>FES1162594510</v>
      </c>
      <c r="F1050" s="3">
        <v>43075</v>
      </c>
      <c r="G1050" s="2">
        <v>201806</v>
      </c>
      <c r="H1050" s="2" t="s">
        <v>74</v>
      </c>
      <c r="I1050" s="2" t="s">
        <v>75</v>
      </c>
      <c r="J1050" s="2" t="s">
        <v>97</v>
      </c>
      <c r="K1050" s="2" t="s">
        <v>77</v>
      </c>
      <c r="L1050" s="2" t="s">
        <v>212</v>
      </c>
      <c r="M1050" s="2" t="s">
        <v>212</v>
      </c>
      <c r="N1050" s="2" t="s">
        <v>213</v>
      </c>
      <c r="O1050" s="2" t="s">
        <v>101</v>
      </c>
      <c r="P1050" s="2" t="str">
        <f>"2170606239                    "</f>
        <v xml:space="preserve">2170606239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6.43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0.7</v>
      </c>
      <c r="BJ1050" s="2">
        <v>2</v>
      </c>
      <c r="BK1050" s="2">
        <v>2</v>
      </c>
      <c r="BL1050" s="2">
        <v>45.93</v>
      </c>
      <c r="BM1050" s="2">
        <v>6.43</v>
      </c>
      <c r="BN1050" s="2">
        <v>52.36</v>
      </c>
      <c r="BO1050" s="2">
        <v>52.36</v>
      </c>
      <c r="BQ1050" s="2" t="s">
        <v>102</v>
      </c>
      <c r="BR1050" s="2" t="s">
        <v>103</v>
      </c>
      <c r="BS1050" s="3">
        <v>43076</v>
      </c>
      <c r="BT1050" s="4">
        <v>0.64166666666666672</v>
      </c>
      <c r="BU1050" s="2" t="s">
        <v>1429</v>
      </c>
      <c r="BV1050" s="2" t="s">
        <v>89</v>
      </c>
      <c r="BW1050" s="2" t="s">
        <v>149</v>
      </c>
      <c r="BX1050" s="2" t="s">
        <v>1413</v>
      </c>
      <c r="BY1050" s="2">
        <v>10230.35</v>
      </c>
      <c r="CA1050" s="2" t="s">
        <v>532</v>
      </c>
      <c r="CC1050" s="2" t="s">
        <v>212</v>
      </c>
      <c r="CD1050" s="2">
        <v>7646</v>
      </c>
      <c r="CE1050" s="2" t="s">
        <v>120</v>
      </c>
      <c r="CF1050" s="3">
        <v>43076</v>
      </c>
      <c r="CI1050" s="2">
        <v>1</v>
      </c>
      <c r="CJ1050" s="2">
        <v>1</v>
      </c>
      <c r="CK1050" s="2">
        <v>21</v>
      </c>
      <c r="CL1050" s="2" t="s">
        <v>89</v>
      </c>
    </row>
    <row r="1051" spans="1:90">
      <c r="A1051" s="2" t="s">
        <v>71</v>
      </c>
      <c r="B1051" s="2" t="s">
        <v>72</v>
      </c>
      <c r="C1051" s="2" t="s">
        <v>73</v>
      </c>
      <c r="E1051" s="2" t="str">
        <f>"FES1162594263"</f>
        <v>FES1162594263</v>
      </c>
      <c r="F1051" s="3">
        <v>43075</v>
      </c>
      <c r="G1051" s="2">
        <v>201806</v>
      </c>
      <c r="H1051" s="2" t="s">
        <v>74</v>
      </c>
      <c r="I1051" s="2" t="s">
        <v>75</v>
      </c>
      <c r="J1051" s="2" t="s">
        <v>97</v>
      </c>
      <c r="K1051" s="2" t="s">
        <v>77</v>
      </c>
      <c r="L1051" s="2" t="s">
        <v>145</v>
      </c>
      <c r="M1051" s="2" t="s">
        <v>146</v>
      </c>
      <c r="N1051" s="2" t="s">
        <v>753</v>
      </c>
      <c r="O1051" s="2" t="s">
        <v>101</v>
      </c>
      <c r="P1051" s="2" t="str">
        <f>"2170605687                    "</f>
        <v xml:space="preserve">2170605687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22.51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6.7</v>
      </c>
      <c r="BJ1051" s="2">
        <v>3.7</v>
      </c>
      <c r="BK1051" s="2">
        <v>7</v>
      </c>
      <c r="BL1051" s="2">
        <v>160.71</v>
      </c>
      <c r="BM1051" s="2">
        <v>22.5</v>
      </c>
      <c r="BN1051" s="2">
        <v>183.21</v>
      </c>
      <c r="BO1051" s="2">
        <v>183.21</v>
      </c>
      <c r="BQ1051" s="2" t="s">
        <v>82</v>
      </c>
      <c r="BR1051" s="2" t="s">
        <v>103</v>
      </c>
      <c r="BS1051" s="3">
        <v>43076</v>
      </c>
      <c r="BT1051" s="4">
        <v>0.42222222222222222</v>
      </c>
      <c r="BU1051" s="2" t="s">
        <v>1579</v>
      </c>
      <c r="BV1051" s="2" t="s">
        <v>85</v>
      </c>
      <c r="BY1051" s="2">
        <v>18549.47</v>
      </c>
      <c r="CA1051" s="2" t="s">
        <v>754</v>
      </c>
      <c r="CC1051" s="2" t="s">
        <v>146</v>
      </c>
      <c r="CD1051" s="2">
        <v>5201</v>
      </c>
      <c r="CE1051" s="2" t="s">
        <v>95</v>
      </c>
      <c r="CF1051" s="3">
        <v>43077</v>
      </c>
      <c r="CI1051" s="2">
        <v>1</v>
      </c>
      <c r="CJ1051" s="2">
        <v>1</v>
      </c>
      <c r="CK1051" s="2">
        <v>21</v>
      </c>
      <c r="CL1051" s="2" t="s">
        <v>89</v>
      </c>
    </row>
    <row r="1052" spans="1:90">
      <c r="A1052" s="2" t="s">
        <v>71</v>
      </c>
      <c r="B1052" s="2" t="s">
        <v>72</v>
      </c>
      <c r="C1052" s="2" t="s">
        <v>73</v>
      </c>
      <c r="E1052" s="2" t="str">
        <f>"FES1162594199"</f>
        <v>FES1162594199</v>
      </c>
      <c r="F1052" s="3">
        <v>43075</v>
      </c>
      <c r="G1052" s="2">
        <v>201806</v>
      </c>
      <c r="H1052" s="2" t="s">
        <v>74</v>
      </c>
      <c r="I1052" s="2" t="s">
        <v>75</v>
      </c>
      <c r="J1052" s="2" t="s">
        <v>97</v>
      </c>
      <c r="K1052" s="2" t="s">
        <v>77</v>
      </c>
      <c r="L1052" s="2" t="s">
        <v>168</v>
      </c>
      <c r="M1052" s="2" t="s">
        <v>169</v>
      </c>
      <c r="N1052" s="2" t="s">
        <v>170</v>
      </c>
      <c r="O1052" s="2" t="s">
        <v>101</v>
      </c>
      <c r="P1052" s="2" t="str">
        <f>"2170603836                    "</f>
        <v xml:space="preserve">2170603836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6.43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0.2</v>
      </c>
      <c r="BK1052" s="2">
        <v>1</v>
      </c>
      <c r="BL1052" s="2">
        <v>45.93</v>
      </c>
      <c r="BM1052" s="2">
        <v>6.43</v>
      </c>
      <c r="BN1052" s="2">
        <v>52.36</v>
      </c>
      <c r="BO1052" s="2">
        <v>52.36</v>
      </c>
      <c r="BQ1052" s="2" t="s">
        <v>128</v>
      </c>
      <c r="BR1052" s="2" t="s">
        <v>103</v>
      </c>
      <c r="BS1052" s="3">
        <v>43076</v>
      </c>
      <c r="BT1052" s="4">
        <v>0.375</v>
      </c>
      <c r="BU1052" s="2" t="s">
        <v>171</v>
      </c>
      <c r="BV1052" s="2" t="s">
        <v>85</v>
      </c>
      <c r="BY1052" s="2">
        <v>1200</v>
      </c>
      <c r="CA1052" s="2" t="s">
        <v>172</v>
      </c>
      <c r="CC1052" s="2" t="s">
        <v>169</v>
      </c>
      <c r="CD1052" s="2">
        <v>3610</v>
      </c>
      <c r="CE1052" s="2" t="s">
        <v>120</v>
      </c>
      <c r="CF1052" s="3">
        <v>43080</v>
      </c>
      <c r="CI1052" s="2">
        <v>1</v>
      </c>
      <c r="CJ1052" s="2">
        <v>1</v>
      </c>
      <c r="CK1052" s="2">
        <v>21</v>
      </c>
      <c r="CL1052" s="2" t="s">
        <v>89</v>
      </c>
    </row>
    <row r="1053" spans="1:90">
      <c r="A1053" s="2" t="s">
        <v>71</v>
      </c>
      <c r="B1053" s="2" t="s">
        <v>72</v>
      </c>
      <c r="C1053" s="2" t="s">
        <v>73</v>
      </c>
      <c r="E1053" s="2" t="str">
        <f>"FES1162594310"</f>
        <v>FES1162594310</v>
      </c>
      <c r="F1053" s="3">
        <v>43075</v>
      </c>
      <c r="G1053" s="2">
        <v>201806</v>
      </c>
      <c r="H1053" s="2" t="s">
        <v>74</v>
      </c>
      <c r="I1053" s="2" t="s">
        <v>75</v>
      </c>
      <c r="J1053" s="2" t="s">
        <v>97</v>
      </c>
      <c r="K1053" s="2" t="s">
        <v>77</v>
      </c>
      <c r="L1053" s="2" t="s">
        <v>136</v>
      </c>
      <c r="M1053" s="2" t="s">
        <v>137</v>
      </c>
      <c r="N1053" s="2" t="s">
        <v>1580</v>
      </c>
      <c r="O1053" s="2" t="s">
        <v>101</v>
      </c>
      <c r="P1053" s="2" t="str">
        <f>"2170604205                    "</f>
        <v xml:space="preserve">2170604205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12.87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3.6</v>
      </c>
      <c r="BJ1053" s="2">
        <v>1.7</v>
      </c>
      <c r="BK1053" s="2">
        <v>4</v>
      </c>
      <c r="BL1053" s="2">
        <v>91.85</v>
      </c>
      <c r="BM1053" s="2">
        <v>12.86</v>
      </c>
      <c r="BN1053" s="2">
        <v>104.71</v>
      </c>
      <c r="BO1053" s="2">
        <v>104.71</v>
      </c>
      <c r="BQ1053" s="2" t="s">
        <v>1581</v>
      </c>
      <c r="BR1053" s="2" t="s">
        <v>103</v>
      </c>
      <c r="BS1053" s="3">
        <v>43076</v>
      </c>
      <c r="BT1053" s="4">
        <v>0.43402777777777773</v>
      </c>
      <c r="BU1053" s="2" t="s">
        <v>1582</v>
      </c>
      <c r="BV1053" s="2" t="s">
        <v>85</v>
      </c>
      <c r="BY1053" s="2">
        <v>8731.0300000000007</v>
      </c>
      <c r="CC1053" s="2" t="s">
        <v>137</v>
      </c>
      <c r="CD1053" s="2">
        <v>6001</v>
      </c>
      <c r="CE1053" s="2" t="s">
        <v>95</v>
      </c>
      <c r="CF1053" s="3">
        <v>43077</v>
      </c>
      <c r="CI1053" s="2">
        <v>1</v>
      </c>
      <c r="CJ1053" s="2">
        <v>1</v>
      </c>
      <c r="CK1053" s="2">
        <v>21</v>
      </c>
      <c r="CL1053" s="2" t="s">
        <v>89</v>
      </c>
    </row>
    <row r="1054" spans="1:90">
      <c r="A1054" s="2" t="s">
        <v>71</v>
      </c>
      <c r="B1054" s="2" t="s">
        <v>72</v>
      </c>
      <c r="C1054" s="2" t="s">
        <v>73</v>
      </c>
      <c r="E1054" s="2" t="str">
        <f>"FES1162594477"</f>
        <v>FES1162594477</v>
      </c>
      <c r="F1054" s="3">
        <v>43075</v>
      </c>
      <c r="G1054" s="2">
        <v>201806</v>
      </c>
      <c r="H1054" s="2" t="s">
        <v>74</v>
      </c>
      <c r="I1054" s="2" t="s">
        <v>75</v>
      </c>
      <c r="J1054" s="2" t="s">
        <v>97</v>
      </c>
      <c r="K1054" s="2" t="s">
        <v>77</v>
      </c>
      <c r="L1054" s="2" t="s">
        <v>462</v>
      </c>
      <c r="M1054" s="2" t="s">
        <v>463</v>
      </c>
      <c r="N1054" s="2" t="s">
        <v>1583</v>
      </c>
      <c r="O1054" s="2" t="s">
        <v>101</v>
      </c>
      <c r="P1054" s="2" t="str">
        <f>"2170606329                    "</f>
        <v xml:space="preserve">2170606329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30.55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3</v>
      </c>
      <c r="BJ1054" s="2">
        <v>9.1</v>
      </c>
      <c r="BK1054" s="2">
        <v>9.5</v>
      </c>
      <c r="BL1054" s="2">
        <v>218.1</v>
      </c>
      <c r="BM1054" s="2">
        <v>30.53</v>
      </c>
      <c r="BN1054" s="2">
        <v>248.63</v>
      </c>
      <c r="BO1054" s="2">
        <v>248.63</v>
      </c>
      <c r="BQ1054" s="2" t="s">
        <v>82</v>
      </c>
      <c r="BR1054" s="2" t="s">
        <v>103</v>
      </c>
      <c r="BS1054" s="3">
        <v>43077</v>
      </c>
      <c r="BT1054" s="4">
        <v>0.76388888888888884</v>
      </c>
      <c r="BU1054" s="2" t="s">
        <v>1584</v>
      </c>
      <c r="BV1054" s="2" t="s">
        <v>89</v>
      </c>
      <c r="BW1054" s="2" t="s">
        <v>471</v>
      </c>
      <c r="BX1054" s="2" t="s">
        <v>246</v>
      </c>
      <c r="BY1054" s="2">
        <v>45632</v>
      </c>
      <c r="CA1054" s="2" t="s">
        <v>542</v>
      </c>
      <c r="CC1054" s="2" t="s">
        <v>463</v>
      </c>
      <c r="CD1054" s="2">
        <v>7130</v>
      </c>
      <c r="CE1054" s="2" t="s">
        <v>95</v>
      </c>
      <c r="CF1054" s="3">
        <v>43080</v>
      </c>
      <c r="CI1054" s="2">
        <v>1</v>
      </c>
      <c r="CJ1054" s="2">
        <v>2</v>
      </c>
      <c r="CK1054" s="2">
        <v>21</v>
      </c>
      <c r="CL1054" s="2" t="s">
        <v>89</v>
      </c>
    </row>
    <row r="1055" spans="1:90">
      <c r="A1055" s="2" t="s">
        <v>71</v>
      </c>
      <c r="B1055" s="2" t="s">
        <v>72</v>
      </c>
      <c r="C1055" s="2" t="s">
        <v>73</v>
      </c>
      <c r="E1055" s="2" t="str">
        <f>"FES1162594318"</f>
        <v>FES1162594318</v>
      </c>
      <c r="F1055" s="3">
        <v>43075</v>
      </c>
      <c r="G1055" s="2">
        <v>201806</v>
      </c>
      <c r="H1055" s="2" t="s">
        <v>74</v>
      </c>
      <c r="I1055" s="2" t="s">
        <v>75</v>
      </c>
      <c r="J1055" s="2" t="s">
        <v>97</v>
      </c>
      <c r="K1055" s="2" t="s">
        <v>77</v>
      </c>
      <c r="L1055" s="2" t="s">
        <v>136</v>
      </c>
      <c r="M1055" s="2" t="s">
        <v>137</v>
      </c>
      <c r="N1055" s="2" t="s">
        <v>138</v>
      </c>
      <c r="O1055" s="2" t="s">
        <v>101</v>
      </c>
      <c r="P1055" s="2" t="str">
        <f>"217060599386                  "</f>
        <v xml:space="preserve">217060599386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11.26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3.2</v>
      </c>
      <c r="BJ1055" s="2">
        <v>2.2999999999999998</v>
      </c>
      <c r="BK1055" s="2">
        <v>3.5</v>
      </c>
      <c r="BL1055" s="2">
        <v>80.37</v>
      </c>
      <c r="BM1055" s="2">
        <v>11.25</v>
      </c>
      <c r="BN1055" s="2">
        <v>91.62</v>
      </c>
      <c r="BO1055" s="2">
        <v>91.62</v>
      </c>
      <c r="BQ1055" s="2" t="s">
        <v>82</v>
      </c>
      <c r="BR1055" s="2" t="s">
        <v>103</v>
      </c>
      <c r="BS1055" s="3">
        <v>43076</v>
      </c>
      <c r="BT1055" s="4">
        <v>0.35416666666666669</v>
      </c>
      <c r="BU1055" s="2" t="s">
        <v>139</v>
      </c>
      <c r="BV1055" s="2" t="s">
        <v>85</v>
      </c>
      <c r="BY1055" s="2">
        <v>11714.98</v>
      </c>
      <c r="BZ1055" s="2" t="s">
        <v>27</v>
      </c>
      <c r="CA1055" s="2" t="s">
        <v>140</v>
      </c>
      <c r="CC1055" s="2" t="s">
        <v>137</v>
      </c>
      <c r="CD1055" s="2">
        <v>6001</v>
      </c>
      <c r="CE1055" s="2" t="s">
        <v>95</v>
      </c>
      <c r="CF1055" s="3">
        <v>43077</v>
      </c>
      <c r="CI1055" s="2">
        <v>1</v>
      </c>
      <c r="CJ1055" s="2">
        <v>1</v>
      </c>
      <c r="CK1055" s="2">
        <v>21</v>
      </c>
      <c r="CL1055" s="2" t="s">
        <v>89</v>
      </c>
    </row>
    <row r="1056" spans="1:90">
      <c r="A1056" s="2" t="s">
        <v>71</v>
      </c>
      <c r="B1056" s="2" t="s">
        <v>72</v>
      </c>
      <c r="C1056" s="2" t="s">
        <v>73</v>
      </c>
      <c r="E1056" s="2" t="str">
        <f>"FES1162594331"</f>
        <v>FES1162594331</v>
      </c>
      <c r="F1056" s="3">
        <v>43075</v>
      </c>
      <c r="G1056" s="2">
        <v>201806</v>
      </c>
      <c r="H1056" s="2" t="s">
        <v>74</v>
      </c>
      <c r="I1056" s="2" t="s">
        <v>75</v>
      </c>
      <c r="J1056" s="2" t="s">
        <v>97</v>
      </c>
      <c r="K1056" s="2" t="s">
        <v>77</v>
      </c>
      <c r="L1056" s="2" t="s">
        <v>168</v>
      </c>
      <c r="M1056" s="2" t="s">
        <v>169</v>
      </c>
      <c r="N1056" s="2" t="s">
        <v>217</v>
      </c>
      <c r="O1056" s="2" t="s">
        <v>101</v>
      </c>
      <c r="P1056" s="2" t="str">
        <f>"2170606157                    "</f>
        <v xml:space="preserve">2170606157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6.43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</v>
      </c>
      <c r="BJ1056" s="2">
        <v>0.2</v>
      </c>
      <c r="BK1056" s="2">
        <v>1</v>
      </c>
      <c r="BL1056" s="2">
        <v>45.93</v>
      </c>
      <c r="BM1056" s="2">
        <v>6.43</v>
      </c>
      <c r="BN1056" s="2">
        <v>52.36</v>
      </c>
      <c r="BO1056" s="2">
        <v>52.36</v>
      </c>
      <c r="BQ1056" s="2" t="s">
        <v>102</v>
      </c>
      <c r="BR1056" s="2" t="s">
        <v>103</v>
      </c>
      <c r="BS1056" s="3">
        <v>43076</v>
      </c>
      <c r="BT1056" s="4">
        <v>0.54375000000000007</v>
      </c>
      <c r="BU1056" s="2" t="s">
        <v>1585</v>
      </c>
      <c r="BV1056" s="2" t="s">
        <v>89</v>
      </c>
      <c r="BW1056" s="2" t="s">
        <v>149</v>
      </c>
      <c r="BX1056" s="2" t="s">
        <v>594</v>
      </c>
      <c r="BY1056" s="2">
        <v>1200</v>
      </c>
      <c r="CA1056" s="2" t="s">
        <v>1235</v>
      </c>
      <c r="CC1056" s="2" t="s">
        <v>169</v>
      </c>
      <c r="CD1056" s="2">
        <v>3620</v>
      </c>
      <c r="CE1056" s="2" t="s">
        <v>120</v>
      </c>
      <c r="CF1056" s="3">
        <v>43080</v>
      </c>
      <c r="CI1056" s="2">
        <v>1</v>
      </c>
      <c r="CJ1056" s="2">
        <v>1</v>
      </c>
      <c r="CK1056" s="2">
        <v>21</v>
      </c>
      <c r="CL1056" s="2" t="s">
        <v>89</v>
      </c>
    </row>
    <row r="1057" spans="1:90">
      <c r="A1057" s="2" t="s">
        <v>71</v>
      </c>
      <c r="B1057" s="2" t="s">
        <v>72</v>
      </c>
      <c r="C1057" s="2" t="s">
        <v>73</v>
      </c>
      <c r="E1057" s="2" t="str">
        <f>"FES1162594316"</f>
        <v>FES1162594316</v>
      </c>
      <c r="F1057" s="3">
        <v>43075</v>
      </c>
      <c r="G1057" s="2">
        <v>201806</v>
      </c>
      <c r="H1057" s="2" t="s">
        <v>74</v>
      </c>
      <c r="I1057" s="2" t="s">
        <v>75</v>
      </c>
      <c r="J1057" s="2" t="s">
        <v>97</v>
      </c>
      <c r="K1057" s="2" t="s">
        <v>77</v>
      </c>
      <c r="L1057" s="2" t="s">
        <v>136</v>
      </c>
      <c r="M1057" s="2" t="s">
        <v>137</v>
      </c>
      <c r="N1057" s="2" t="s">
        <v>1586</v>
      </c>
      <c r="O1057" s="2" t="s">
        <v>101</v>
      </c>
      <c r="P1057" s="2" t="str">
        <f>"2170598721                    "</f>
        <v xml:space="preserve">2170598721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6.43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</v>
      </c>
      <c r="BJ1057" s="2">
        <v>1.7</v>
      </c>
      <c r="BK1057" s="2">
        <v>2</v>
      </c>
      <c r="BL1057" s="2">
        <v>45.93</v>
      </c>
      <c r="BM1057" s="2">
        <v>6.43</v>
      </c>
      <c r="BN1057" s="2">
        <v>52.36</v>
      </c>
      <c r="BO1057" s="2">
        <v>52.36</v>
      </c>
      <c r="BQ1057" s="2" t="s">
        <v>82</v>
      </c>
      <c r="BR1057" s="2" t="s">
        <v>103</v>
      </c>
      <c r="BS1057" s="3">
        <v>43076</v>
      </c>
      <c r="BT1057" s="4">
        <v>0.42569444444444443</v>
      </c>
      <c r="BU1057" s="2" t="s">
        <v>1587</v>
      </c>
      <c r="BV1057" s="2" t="s">
        <v>85</v>
      </c>
      <c r="BY1057" s="2">
        <v>8382.5300000000007</v>
      </c>
      <c r="CA1057" s="2" t="s">
        <v>261</v>
      </c>
      <c r="CC1057" s="2" t="s">
        <v>137</v>
      </c>
      <c r="CD1057" s="2">
        <v>6045</v>
      </c>
      <c r="CE1057" s="2" t="s">
        <v>95</v>
      </c>
      <c r="CF1057" s="3">
        <v>43080</v>
      </c>
      <c r="CI1057" s="2">
        <v>1</v>
      </c>
      <c r="CJ1057" s="2">
        <v>1</v>
      </c>
      <c r="CK1057" s="2">
        <v>21</v>
      </c>
      <c r="CL1057" s="2" t="s">
        <v>89</v>
      </c>
    </row>
    <row r="1058" spans="1:90">
      <c r="A1058" s="2" t="s">
        <v>71</v>
      </c>
      <c r="B1058" s="2" t="s">
        <v>72</v>
      </c>
      <c r="C1058" s="2" t="s">
        <v>73</v>
      </c>
      <c r="E1058" s="2" t="str">
        <f>"FES1162594555"</f>
        <v>FES1162594555</v>
      </c>
      <c r="F1058" s="3">
        <v>43075</v>
      </c>
      <c r="G1058" s="2">
        <v>201806</v>
      </c>
      <c r="H1058" s="2" t="s">
        <v>74</v>
      </c>
      <c r="I1058" s="2" t="s">
        <v>75</v>
      </c>
      <c r="J1058" s="2" t="s">
        <v>97</v>
      </c>
      <c r="K1058" s="2" t="s">
        <v>77</v>
      </c>
      <c r="L1058" s="2" t="s">
        <v>98</v>
      </c>
      <c r="M1058" s="2" t="s">
        <v>99</v>
      </c>
      <c r="N1058" s="2" t="s">
        <v>795</v>
      </c>
      <c r="O1058" s="2" t="s">
        <v>101</v>
      </c>
      <c r="P1058" s="2" t="str">
        <f>"2170606408                    "</f>
        <v xml:space="preserve">2170606408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6.43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45.93</v>
      </c>
      <c r="BM1058" s="2">
        <v>6.43</v>
      </c>
      <c r="BN1058" s="2">
        <v>52.36</v>
      </c>
      <c r="BO1058" s="2">
        <v>52.36</v>
      </c>
      <c r="BQ1058" s="2" t="s">
        <v>102</v>
      </c>
      <c r="BR1058" s="2" t="s">
        <v>103</v>
      </c>
      <c r="BS1058" s="3">
        <v>43076</v>
      </c>
      <c r="BT1058" s="4">
        <v>0.6694444444444444</v>
      </c>
      <c r="BU1058" s="2" t="s">
        <v>1588</v>
      </c>
      <c r="BV1058" s="2" t="s">
        <v>89</v>
      </c>
      <c r="BY1058" s="2">
        <v>1200</v>
      </c>
      <c r="CA1058" s="2" t="s">
        <v>1426</v>
      </c>
      <c r="CC1058" s="2" t="s">
        <v>99</v>
      </c>
      <c r="CD1058" s="2">
        <v>3201</v>
      </c>
      <c r="CE1058" s="2" t="s">
        <v>120</v>
      </c>
      <c r="CF1058" s="3">
        <v>43080</v>
      </c>
      <c r="CI1058" s="2">
        <v>1</v>
      </c>
      <c r="CJ1058" s="2">
        <v>1</v>
      </c>
      <c r="CK1058" s="2">
        <v>21</v>
      </c>
      <c r="CL1058" s="2" t="s">
        <v>89</v>
      </c>
    </row>
    <row r="1059" spans="1:90">
      <c r="A1059" s="2" t="s">
        <v>71</v>
      </c>
      <c r="B1059" s="2" t="s">
        <v>72</v>
      </c>
      <c r="C1059" s="2" t="s">
        <v>73</v>
      </c>
      <c r="E1059" s="2" t="str">
        <f>"FES1162594197"</f>
        <v>FES1162594197</v>
      </c>
      <c r="F1059" s="3">
        <v>43075</v>
      </c>
      <c r="G1059" s="2">
        <v>201806</v>
      </c>
      <c r="H1059" s="2" t="s">
        <v>74</v>
      </c>
      <c r="I1059" s="2" t="s">
        <v>75</v>
      </c>
      <c r="J1059" s="2" t="s">
        <v>97</v>
      </c>
      <c r="K1059" s="2" t="s">
        <v>77</v>
      </c>
      <c r="L1059" s="2" t="s">
        <v>158</v>
      </c>
      <c r="M1059" s="2" t="s">
        <v>159</v>
      </c>
      <c r="N1059" s="2" t="s">
        <v>564</v>
      </c>
      <c r="O1059" s="2" t="s">
        <v>101</v>
      </c>
      <c r="P1059" s="2" t="str">
        <f>"2170603833                    "</f>
        <v xml:space="preserve">2170603833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6.43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</v>
      </c>
      <c r="BJ1059" s="2">
        <v>0.2</v>
      </c>
      <c r="BK1059" s="2">
        <v>1</v>
      </c>
      <c r="BL1059" s="2">
        <v>45.93</v>
      </c>
      <c r="BM1059" s="2">
        <v>6.43</v>
      </c>
      <c r="BN1059" s="2">
        <v>52.36</v>
      </c>
      <c r="BO1059" s="2">
        <v>52.36</v>
      </c>
      <c r="BQ1059" s="2" t="s">
        <v>128</v>
      </c>
      <c r="BR1059" s="2" t="s">
        <v>103</v>
      </c>
      <c r="BS1059" s="3">
        <v>43077</v>
      </c>
      <c r="BT1059" s="4">
        <v>0.45833333333333331</v>
      </c>
      <c r="BU1059" s="2" t="s">
        <v>1589</v>
      </c>
      <c r="BV1059" s="2" t="s">
        <v>89</v>
      </c>
      <c r="BY1059" s="2">
        <v>1200</v>
      </c>
      <c r="CC1059" s="2" t="s">
        <v>159</v>
      </c>
      <c r="CD1059" s="2">
        <v>200</v>
      </c>
      <c r="CE1059" s="2" t="s">
        <v>120</v>
      </c>
      <c r="CF1059" s="3">
        <v>43081</v>
      </c>
      <c r="CI1059" s="2">
        <v>1</v>
      </c>
      <c r="CJ1059" s="2">
        <v>2</v>
      </c>
      <c r="CK1059" s="2">
        <v>21</v>
      </c>
      <c r="CL1059" s="2" t="s">
        <v>89</v>
      </c>
    </row>
    <row r="1060" spans="1:90">
      <c r="A1060" s="2" t="s">
        <v>71</v>
      </c>
      <c r="B1060" s="2" t="s">
        <v>72</v>
      </c>
      <c r="C1060" s="2" t="s">
        <v>73</v>
      </c>
      <c r="E1060" s="2" t="str">
        <f>"FES1162594519"</f>
        <v>FES1162594519</v>
      </c>
      <c r="F1060" s="3">
        <v>43075</v>
      </c>
      <c r="G1060" s="2">
        <v>201806</v>
      </c>
      <c r="H1060" s="2" t="s">
        <v>74</v>
      </c>
      <c r="I1060" s="2" t="s">
        <v>75</v>
      </c>
      <c r="J1060" s="2" t="s">
        <v>97</v>
      </c>
      <c r="K1060" s="2" t="s">
        <v>77</v>
      </c>
      <c r="L1060" s="2" t="s">
        <v>90</v>
      </c>
      <c r="M1060" s="2" t="s">
        <v>91</v>
      </c>
      <c r="N1060" s="2" t="s">
        <v>1158</v>
      </c>
      <c r="O1060" s="2" t="s">
        <v>101</v>
      </c>
      <c r="P1060" s="2" t="str">
        <f>"2170606206                    "</f>
        <v xml:space="preserve">2170606206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5.03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3</v>
      </c>
      <c r="BJ1060" s="2">
        <v>0.4</v>
      </c>
      <c r="BK1060" s="2">
        <v>3</v>
      </c>
      <c r="BL1060" s="2">
        <v>35.89</v>
      </c>
      <c r="BM1060" s="2">
        <v>5.0199999999999996</v>
      </c>
      <c r="BN1060" s="2">
        <v>40.909999999999997</v>
      </c>
      <c r="BO1060" s="2">
        <v>40.909999999999997</v>
      </c>
      <c r="BQ1060" s="2" t="s">
        <v>1159</v>
      </c>
      <c r="BR1060" s="2" t="s">
        <v>103</v>
      </c>
      <c r="BS1060" s="3">
        <v>43076</v>
      </c>
      <c r="BT1060" s="4">
        <v>0.47916666666666669</v>
      </c>
      <c r="BU1060" s="2" t="s">
        <v>1590</v>
      </c>
      <c r="BV1060" s="2" t="s">
        <v>89</v>
      </c>
      <c r="BW1060" s="2" t="s">
        <v>156</v>
      </c>
      <c r="BX1060" s="2" t="s">
        <v>157</v>
      </c>
      <c r="BY1060" s="2">
        <v>1890</v>
      </c>
      <c r="CA1060" s="2" t="s">
        <v>347</v>
      </c>
      <c r="CC1060" s="2" t="s">
        <v>91</v>
      </c>
      <c r="CD1060" s="2">
        <v>1559</v>
      </c>
      <c r="CE1060" s="2" t="s">
        <v>95</v>
      </c>
      <c r="CF1060" s="3">
        <v>43080</v>
      </c>
      <c r="CI1060" s="2">
        <v>1</v>
      </c>
      <c r="CJ1060" s="2">
        <v>1</v>
      </c>
      <c r="CK1060" s="2">
        <v>22</v>
      </c>
      <c r="CL1060" s="2" t="s">
        <v>89</v>
      </c>
    </row>
    <row r="1061" spans="1:90">
      <c r="A1061" s="2" t="s">
        <v>71</v>
      </c>
      <c r="B1061" s="2" t="s">
        <v>72</v>
      </c>
      <c r="C1061" s="2" t="s">
        <v>73</v>
      </c>
      <c r="E1061" s="2" t="str">
        <f>"FES1162594317"</f>
        <v>FES1162594317</v>
      </c>
      <c r="F1061" s="3">
        <v>43075</v>
      </c>
      <c r="G1061" s="2">
        <v>201806</v>
      </c>
      <c r="H1061" s="2" t="s">
        <v>74</v>
      </c>
      <c r="I1061" s="2" t="s">
        <v>75</v>
      </c>
      <c r="J1061" s="2" t="s">
        <v>97</v>
      </c>
      <c r="K1061" s="2" t="s">
        <v>77</v>
      </c>
      <c r="L1061" s="2" t="s">
        <v>136</v>
      </c>
      <c r="M1061" s="2" t="s">
        <v>137</v>
      </c>
      <c r="N1061" s="2" t="s">
        <v>138</v>
      </c>
      <c r="O1061" s="2" t="s">
        <v>101</v>
      </c>
      <c r="P1061" s="2" t="str">
        <f>"217060598812                  "</f>
        <v xml:space="preserve">217060598812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12.87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4</v>
      </c>
      <c r="BJ1061" s="2">
        <v>2.2999999999999998</v>
      </c>
      <c r="BK1061" s="2">
        <v>4</v>
      </c>
      <c r="BL1061" s="2">
        <v>91.85</v>
      </c>
      <c r="BM1061" s="2">
        <v>12.86</v>
      </c>
      <c r="BN1061" s="2">
        <v>104.71</v>
      </c>
      <c r="BO1061" s="2">
        <v>104.71</v>
      </c>
      <c r="BQ1061" s="2" t="s">
        <v>82</v>
      </c>
      <c r="BR1061" s="2" t="s">
        <v>103</v>
      </c>
      <c r="BS1061" s="3">
        <v>43076</v>
      </c>
      <c r="BT1061" s="4">
        <v>0.35416666666666669</v>
      </c>
      <c r="BU1061" s="2" t="s">
        <v>139</v>
      </c>
      <c r="BV1061" s="2" t="s">
        <v>85</v>
      </c>
      <c r="BY1061" s="2">
        <v>11663.88</v>
      </c>
      <c r="BZ1061" s="2" t="s">
        <v>27</v>
      </c>
      <c r="CA1061" s="2" t="s">
        <v>140</v>
      </c>
      <c r="CC1061" s="2" t="s">
        <v>137</v>
      </c>
      <c r="CD1061" s="2">
        <v>6001</v>
      </c>
      <c r="CE1061" s="2" t="s">
        <v>95</v>
      </c>
      <c r="CF1061" s="3">
        <v>43077</v>
      </c>
      <c r="CI1061" s="2">
        <v>1</v>
      </c>
      <c r="CJ1061" s="2">
        <v>1</v>
      </c>
      <c r="CK1061" s="2">
        <v>21</v>
      </c>
      <c r="CL1061" s="2" t="s">
        <v>89</v>
      </c>
    </row>
    <row r="1062" spans="1:90">
      <c r="A1062" s="2" t="s">
        <v>71</v>
      </c>
      <c r="B1062" s="2" t="s">
        <v>72</v>
      </c>
      <c r="C1062" s="2" t="s">
        <v>73</v>
      </c>
      <c r="E1062" s="2" t="str">
        <f>"FES1162594520"</f>
        <v>FES1162594520</v>
      </c>
      <c r="F1062" s="3">
        <v>43075</v>
      </c>
      <c r="G1062" s="2">
        <v>201806</v>
      </c>
      <c r="H1062" s="2" t="s">
        <v>74</v>
      </c>
      <c r="I1062" s="2" t="s">
        <v>75</v>
      </c>
      <c r="J1062" s="2" t="s">
        <v>97</v>
      </c>
      <c r="K1062" s="2" t="s">
        <v>77</v>
      </c>
      <c r="L1062" s="2" t="s">
        <v>115</v>
      </c>
      <c r="M1062" s="2" t="s">
        <v>116</v>
      </c>
      <c r="N1062" s="2" t="s">
        <v>283</v>
      </c>
      <c r="O1062" s="2" t="s">
        <v>101</v>
      </c>
      <c r="P1062" s="2" t="str">
        <f>"2170604423                    "</f>
        <v xml:space="preserve">2170604423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5.03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2.8</v>
      </c>
      <c r="BJ1062" s="2">
        <v>1.2</v>
      </c>
      <c r="BK1062" s="2">
        <v>3</v>
      </c>
      <c r="BL1062" s="2">
        <v>35.89</v>
      </c>
      <c r="BM1062" s="2">
        <v>5.0199999999999996</v>
      </c>
      <c r="BN1062" s="2">
        <v>40.909999999999997</v>
      </c>
      <c r="BO1062" s="2">
        <v>40.909999999999997</v>
      </c>
      <c r="BQ1062" s="2" t="s">
        <v>102</v>
      </c>
      <c r="BR1062" s="2" t="s">
        <v>103</v>
      </c>
      <c r="BS1062" s="3">
        <v>43076</v>
      </c>
      <c r="BT1062" s="4">
        <v>0.41666666666666669</v>
      </c>
      <c r="BU1062" s="2" t="s">
        <v>1512</v>
      </c>
      <c r="BV1062" s="2" t="s">
        <v>85</v>
      </c>
      <c r="BY1062" s="2">
        <v>5940.9</v>
      </c>
      <c r="CC1062" s="2" t="s">
        <v>116</v>
      </c>
      <c r="CD1062" s="2">
        <v>1459</v>
      </c>
      <c r="CE1062" s="2" t="s">
        <v>87</v>
      </c>
      <c r="CF1062" s="3">
        <v>43080</v>
      </c>
      <c r="CI1062" s="2">
        <v>1</v>
      </c>
      <c r="CJ1062" s="2">
        <v>1</v>
      </c>
      <c r="CK1062" s="2">
        <v>22</v>
      </c>
      <c r="CL1062" s="2" t="s">
        <v>89</v>
      </c>
    </row>
    <row r="1063" spans="1:90">
      <c r="A1063" s="2" t="s">
        <v>71</v>
      </c>
      <c r="B1063" s="2" t="s">
        <v>72</v>
      </c>
      <c r="C1063" s="2" t="s">
        <v>73</v>
      </c>
      <c r="E1063" s="2" t="str">
        <f>"FES1162594198"</f>
        <v>FES1162594198</v>
      </c>
      <c r="F1063" s="3">
        <v>43075</v>
      </c>
      <c r="G1063" s="2">
        <v>201806</v>
      </c>
      <c r="H1063" s="2" t="s">
        <v>74</v>
      </c>
      <c r="I1063" s="2" t="s">
        <v>75</v>
      </c>
      <c r="J1063" s="2" t="s">
        <v>97</v>
      </c>
      <c r="K1063" s="2" t="s">
        <v>77</v>
      </c>
      <c r="L1063" s="2" t="s">
        <v>262</v>
      </c>
      <c r="M1063" s="2" t="s">
        <v>263</v>
      </c>
      <c r="N1063" s="2" t="s">
        <v>1591</v>
      </c>
      <c r="O1063" s="2" t="s">
        <v>101</v>
      </c>
      <c r="P1063" s="2" t="str">
        <f>"2170603835                    "</f>
        <v xml:space="preserve">2170603835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8.0399999999999991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2.1</v>
      </c>
      <c r="BJ1063" s="2">
        <v>1.7</v>
      </c>
      <c r="BK1063" s="2">
        <v>2.5</v>
      </c>
      <c r="BL1063" s="2">
        <v>57.41</v>
      </c>
      <c r="BM1063" s="2">
        <v>8.0399999999999991</v>
      </c>
      <c r="BN1063" s="2">
        <v>65.45</v>
      </c>
      <c r="BO1063" s="2">
        <v>65.45</v>
      </c>
      <c r="BQ1063" s="2" t="s">
        <v>1592</v>
      </c>
      <c r="BR1063" s="2" t="s">
        <v>103</v>
      </c>
      <c r="BS1063" s="3">
        <v>43076</v>
      </c>
      <c r="BT1063" s="4">
        <v>0.58263888888888882</v>
      </c>
      <c r="BU1063" s="2" t="s">
        <v>1593</v>
      </c>
      <c r="BV1063" s="2" t="s">
        <v>89</v>
      </c>
      <c r="BW1063" s="2" t="s">
        <v>1333</v>
      </c>
      <c r="BX1063" s="2" t="s">
        <v>1334</v>
      </c>
      <c r="BY1063" s="2">
        <v>8591.0400000000009</v>
      </c>
      <c r="CA1063" s="2" t="s">
        <v>1171</v>
      </c>
      <c r="CC1063" s="2" t="s">
        <v>263</v>
      </c>
      <c r="CD1063" s="2">
        <v>6230</v>
      </c>
      <c r="CE1063" s="2" t="s">
        <v>95</v>
      </c>
      <c r="CF1063" s="3">
        <v>43080</v>
      </c>
      <c r="CI1063" s="2">
        <v>1</v>
      </c>
      <c r="CJ1063" s="2">
        <v>1</v>
      </c>
      <c r="CK1063" s="2">
        <v>21</v>
      </c>
      <c r="CL1063" s="2" t="s">
        <v>89</v>
      </c>
    </row>
    <row r="1064" spans="1:90">
      <c r="A1064" s="2" t="s">
        <v>71</v>
      </c>
      <c r="B1064" s="2" t="s">
        <v>72</v>
      </c>
      <c r="C1064" s="2" t="s">
        <v>73</v>
      </c>
      <c r="E1064" s="2" t="str">
        <f>"FES1162594557"</f>
        <v>FES1162594557</v>
      </c>
      <c r="F1064" s="3">
        <v>43075</v>
      </c>
      <c r="G1064" s="2">
        <v>201806</v>
      </c>
      <c r="H1064" s="2" t="s">
        <v>74</v>
      </c>
      <c r="I1064" s="2" t="s">
        <v>75</v>
      </c>
      <c r="J1064" s="2" t="s">
        <v>97</v>
      </c>
      <c r="K1064" s="2" t="s">
        <v>77</v>
      </c>
      <c r="L1064" s="2" t="s">
        <v>125</v>
      </c>
      <c r="M1064" s="2" t="s">
        <v>126</v>
      </c>
      <c r="N1064" s="2" t="s">
        <v>1594</v>
      </c>
      <c r="O1064" s="2" t="s">
        <v>101</v>
      </c>
      <c r="P1064" s="2" t="str">
        <f>"2170606425                    "</f>
        <v xml:space="preserve">2170606425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6.43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1</v>
      </c>
      <c r="BJ1064" s="2">
        <v>0.2</v>
      </c>
      <c r="BK1064" s="2">
        <v>1</v>
      </c>
      <c r="BL1064" s="2">
        <v>45.93</v>
      </c>
      <c r="BM1064" s="2">
        <v>6.43</v>
      </c>
      <c r="BN1064" s="2">
        <v>52.36</v>
      </c>
      <c r="BO1064" s="2">
        <v>52.36</v>
      </c>
      <c r="BQ1064" s="2" t="s">
        <v>82</v>
      </c>
      <c r="BR1064" s="2" t="s">
        <v>103</v>
      </c>
      <c r="BS1064" s="3">
        <v>43076</v>
      </c>
      <c r="BT1064" s="4">
        <v>0.5756944444444444</v>
      </c>
      <c r="BU1064" s="2" t="s">
        <v>1595</v>
      </c>
      <c r="BV1064" s="2" t="s">
        <v>89</v>
      </c>
      <c r="BW1064" s="2" t="s">
        <v>149</v>
      </c>
      <c r="BX1064" s="2" t="s">
        <v>594</v>
      </c>
      <c r="BY1064" s="2">
        <v>1200</v>
      </c>
      <c r="CA1064" s="2" t="s">
        <v>507</v>
      </c>
      <c r="CC1064" s="2" t="s">
        <v>126</v>
      </c>
      <c r="CD1064" s="2">
        <v>4017</v>
      </c>
      <c r="CE1064" s="2" t="s">
        <v>120</v>
      </c>
      <c r="CF1064" s="3">
        <v>43080</v>
      </c>
      <c r="CI1064" s="2">
        <v>1</v>
      </c>
      <c r="CJ1064" s="2">
        <v>1</v>
      </c>
      <c r="CK1064" s="2">
        <v>21</v>
      </c>
      <c r="CL1064" s="2" t="s">
        <v>89</v>
      </c>
    </row>
    <row r="1065" spans="1:90">
      <c r="A1065" s="2" t="s">
        <v>71</v>
      </c>
      <c r="B1065" s="2" t="s">
        <v>72</v>
      </c>
      <c r="C1065" s="2" t="s">
        <v>73</v>
      </c>
      <c r="E1065" s="2" t="str">
        <f>"FES1162594156"</f>
        <v>FES1162594156</v>
      </c>
      <c r="F1065" s="3">
        <v>43075</v>
      </c>
      <c r="G1065" s="2">
        <v>201806</v>
      </c>
      <c r="H1065" s="2" t="s">
        <v>74</v>
      </c>
      <c r="I1065" s="2" t="s">
        <v>75</v>
      </c>
      <c r="J1065" s="2" t="s">
        <v>97</v>
      </c>
      <c r="K1065" s="2" t="s">
        <v>77</v>
      </c>
      <c r="L1065" s="2" t="s">
        <v>145</v>
      </c>
      <c r="M1065" s="2" t="s">
        <v>146</v>
      </c>
      <c r="N1065" s="2" t="s">
        <v>1596</v>
      </c>
      <c r="O1065" s="2" t="s">
        <v>101</v>
      </c>
      <c r="P1065" s="2" t="str">
        <f>"2170603407                    "</f>
        <v xml:space="preserve">2170603407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8.0399999999999991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2.2999999999999998</v>
      </c>
      <c r="BJ1065" s="2">
        <v>1.8</v>
      </c>
      <c r="BK1065" s="2">
        <v>2.5</v>
      </c>
      <c r="BL1065" s="2">
        <v>57.41</v>
      </c>
      <c r="BM1065" s="2">
        <v>8.0399999999999991</v>
      </c>
      <c r="BN1065" s="2">
        <v>65.45</v>
      </c>
      <c r="BO1065" s="2">
        <v>65.45</v>
      </c>
      <c r="BR1065" s="2" t="s">
        <v>103</v>
      </c>
      <c r="BS1065" s="3">
        <v>43076</v>
      </c>
      <c r="BT1065" s="4">
        <v>0.375</v>
      </c>
      <c r="BU1065" s="2" t="s">
        <v>1597</v>
      </c>
      <c r="BV1065" s="2" t="s">
        <v>85</v>
      </c>
      <c r="BY1065" s="2">
        <v>9176.33</v>
      </c>
      <c r="CA1065" s="2" t="s">
        <v>754</v>
      </c>
      <c r="CC1065" s="2" t="s">
        <v>146</v>
      </c>
      <c r="CD1065" s="2">
        <v>5200</v>
      </c>
      <c r="CE1065" s="2" t="s">
        <v>95</v>
      </c>
      <c r="CF1065" s="3">
        <v>43077</v>
      </c>
      <c r="CI1065" s="2">
        <v>1</v>
      </c>
      <c r="CJ1065" s="2">
        <v>1</v>
      </c>
      <c r="CK1065" s="2">
        <v>21</v>
      </c>
      <c r="CL1065" s="2" t="s">
        <v>89</v>
      </c>
    </row>
    <row r="1066" spans="1:90">
      <c r="A1066" s="2" t="s">
        <v>71</v>
      </c>
      <c r="B1066" s="2" t="s">
        <v>72</v>
      </c>
      <c r="C1066" s="2" t="s">
        <v>73</v>
      </c>
      <c r="E1066" s="2" t="str">
        <f>"FES1162594473"</f>
        <v>FES1162594473</v>
      </c>
      <c r="F1066" s="3">
        <v>43075</v>
      </c>
      <c r="G1066" s="2">
        <v>201806</v>
      </c>
      <c r="H1066" s="2" t="s">
        <v>74</v>
      </c>
      <c r="I1066" s="2" t="s">
        <v>75</v>
      </c>
      <c r="J1066" s="2" t="s">
        <v>97</v>
      </c>
      <c r="K1066" s="2" t="s">
        <v>77</v>
      </c>
      <c r="L1066" s="2" t="s">
        <v>173</v>
      </c>
      <c r="M1066" s="2" t="s">
        <v>174</v>
      </c>
      <c r="N1066" s="2" t="s">
        <v>1039</v>
      </c>
      <c r="O1066" s="2" t="s">
        <v>101</v>
      </c>
      <c r="P1066" s="2" t="str">
        <f>"2170606323                    "</f>
        <v xml:space="preserve">2170606323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17.690000000000001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5</v>
      </c>
      <c r="BJ1066" s="2">
        <v>5.3</v>
      </c>
      <c r="BK1066" s="2">
        <v>5.5</v>
      </c>
      <c r="BL1066" s="2">
        <v>126.28</v>
      </c>
      <c r="BM1066" s="2">
        <v>17.68</v>
      </c>
      <c r="BN1066" s="2">
        <v>143.96</v>
      </c>
      <c r="BO1066" s="2">
        <v>143.96</v>
      </c>
      <c r="BQ1066" s="2" t="s">
        <v>1040</v>
      </c>
      <c r="BR1066" s="2" t="s">
        <v>103</v>
      </c>
      <c r="BS1066" s="3">
        <v>43076</v>
      </c>
      <c r="BT1066" s="4">
        <v>0.42152777777777778</v>
      </c>
      <c r="BU1066" s="2" t="s">
        <v>1598</v>
      </c>
      <c r="BV1066" s="2" t="s">
        <v>85</v>
      </c>
      <c r="BY1066" s="2">
        <v>26520</v>
      </c>
      <c r="CA1066" s="2" t="s">
        <v>234</v>
      </c>
      <c r="CC1066" s="2" t="s">
        <v>174</v>
      </c>
      <c r="CD1066" s="2">
        <v>7530</v>
      </c>
      <c r="CE1066" s="2" t="s">
        <v>87</v>
      </c>
      <c r="CF1066" s="3">
        <v>43076</v>
      </c>
      <c r="CI1066" s="2">
        <v>1</v>
      </c>
      <c r="CJ1066" s="2">
        <v>1</v>
      </c>
      <c r="CK1066" s="2">
        <v>21</v>
      </c>
      <c r="CL1066" s="2" t="s">
        <v>89</v>
      </c>
    </row>
    <row r="1067" spans="1:90">
      <c r="A1067" s="2" t="s">
        <v>71</v>
      </c>
      <c r="B1067" s="2" t="s">
        <v>72</v>
      </c>
      <c r="C1067" s="2" t="s">
        <v>73</v>
      </c>
      <c r="E1067" s="2" t="str">
        <f>"FES1162594308"</f>
        <v>FES1162594308</v>
      </c>
      <c r="F1067" s="3">
        <v>43075</v>
      </c>
      <c r="G1067" s="2">
        <v>201806</v>
      </c>
      <c r="H1067" s="2" t="s">
        <v>74</v>
      </c>
      <c r="I1067" s="2" t="s">
        <v>75</v>
      </c>
      <c r="J1067" s="2" t="s">
        <v>97</v>
      </c>
      <c r="K1067" s="2" t="s">
        <v>77</v>
      </c>
      <c r="L1067" s="2" t="s">
        <v>325</v>
      </c>
      <c r="M1067" s="2" t="s">
        <v>326</v>
      </c>
      <c r="N1067" s="2" t="s">
        <v>1129</v>
      </c>
      <c r="O1067" s="2" t="s">
        <v>101</v>
      </c>
      <c r="P1067" s="2" t="str">
        <f>"2170604189                    "</f>
        <v xml:space="preserve">2170604189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6.43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1.8</v>
      </c>
      <c r="BJ1067" s="2">
        <v>1.8</v>
      </c>
      <c r="BK1067" s="2">
        <v>2</v>
      </c>
      <c r="BL1067" s="2">
        <v>45.93</v>
      </c>
      <c r="BM1067" s="2">
        <v>6.43</v>
      </c>
      <c r="BN1067" s="2">
        <v>52.36</v>
      </c>
      <c r="BO1067" s="2">
        <v>52.36</v>
      </c>
      <c r="BQ1067" s="2" t="s">
        <v>102</v>
      </c>
      <c r="BR1067" s="2" t="s">
        <v>103</v>
      </c>
      <c r="BS1067" s="3">
        <v>43076</v>
      </c>
      <c r="BT1067" s="4">
        <v>0.52430555555555558</v>
      </c>
      <c r="BU1067" s="2" t="s">
        <v>1599</v>
      </c>
      <c r="BV1067" s="2" t="s">
        <v>89</v>
      </c>
      <c r="BY1067" s="2">
        <v>8773.44</v>
      </c>
      <c r="CC1067" s="2" t="s">
        <v>326</v>
      </c>
      <c r="CD1067" s="2">
        <v>1939</v>
      </c>
      <c r="CE1067" s="2" t="s">
        <v>87</v>
      </c>
      <c r="CF1067" s="3">
        <v>43080</v>
      </c>
      <c r="CI1067" s="2">
        <v>1</v>
      </c>
      <c r="CJ1067" s="2">
        <v>1</v>
      </c>
      <c r="CK1067" s="2">
        <v>21</v>
      </c>
      <c r="CL1067" s="2" t="s">
        <v>89</v>
      </c>
    </row>
    <row r="1068" spans="1:90">
      <c r="A1068" s="2" t="s">
        <v>71</v>
      </c>
      <c r="B1068" s="2" t="s">
        <v>72</v>
      </c>
      <c r="C1068" s="2" t="s">
        <v>73</v>
      </c>
      <c r="E1068" s="2" t="str">
        <f>"FES1162594465"</f>
        <v>FES1162594465</v>
      </c>
      <c r="F1068" s="3">
        <v>43075</v>
      </c>
      <c r="G1068" s="2">
        <v>201806</v>
      </c>
      <c r="H1068" s="2" t="s">
        <v>74</v>
      </c>
      <c r="I1068" s="2" t="s">
        <v>75</v>
      </c>
      <c r="J1068" s="2" t="s">
        <v>97</v>
      </c>
      <c r="K1068" s="2" t="s">
        <v>77</v>
      </c>
      <c r="L1068" s="2" t="s">
        <v>125</v>
      </c>
      <c r="M1068" s="2" t="s">
        <v>126</v>
      </c>
      <c r="N1068" s="2" t="s">
        <v>972</v>
      </c>
      <c r="O1068" s="2" t="s">
        <v>101</v>
      </c>
      <c r="P1068" s="2" t="str">
        <f>"2170606311                    "</f>
        <v xml:space="preserve">2170606311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51.45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2</v>
      </c>
      <c r="BI1068" s="2">
        <v>7.7</v>
      </c>
      <c r="BJ1068" s="2">
        <v>15.6</v>
      </c>
      <c r="BK1068" s="2">
        <v>16</v>
      </c>
      <c r="BL1068" s="2">
        <v>367.31</v>
      </c>
      <c r="BM1068" s="2">
        <v>51.42</v>
      </c>
      <c r="BN1068" s="2">
        <v>418.73</v>
      </c>
      <c r="BO1068" s="2">
        <v>418.73</v>
      </c>
      <c r="BQ1068" s="2" t="s">
        <v>1471</v>
      </c>
      <c r="BR1068" s="2" t="s">
        <v>103</v>
      </c>
      <c r="BS1068" s="3">
        <v>43076</v>
      </c>
      <c r="BT1068" s="4">
        <v>0.42083333333333334</v>
      </c>
      <c r="BU1068" s="2" t="s">
        <v>1472</v>
      </c>
      <c r="BV1068" s="2" t="s">
        <v>85</v>
      </c>
      <c r="BY1068" s="2">
        <v>78068.72</v>
      </c>
      <c r="CA1068" s="2" t="s">
        <v>231</v>
      </c>
      <c r="CC1068" s="2" t="s">
        <v>126</v>
      </c>
      <c r="CD1068" s="2">
        <v>4051</v>
      </c>
      <c r="CE1068" s="2" t="s">
        <v>87</v>
      </c>
      <c r="CF1068" s="3">
        <v>43080</v>
      </c>
      <c r="CI1068" s="2">
        <v>1</v>
      </c>
      <c r="CJ1068" s="2">
        <v>1</v>
      </c>
      <c r="CK1068" s="2">
        <v>21</v>
      </c>
      <c r="CL1068" s="2" t="s">
        <v>89</v>
      </c>
    </row>
    <row r="1069" spans="1:90">
      <c r="A1069" s="2" t="s">
        <v>71</v>
      </c>
      <c r="B1069" s="2" t="s">
        <v>72</v>
      </c>
      <c r="C1069" s="2" t="s">
        <v>73</v>
      </c>
      <c r="E1069" s="2" t="str">
        <f>"FES1162593369"</f>
        <v>FES1162593369</v>
      </c>
      <c r="F1069" s="3">
        <v>43075</v>
      </c>
      <c r="G1069" s="2">
        <v>201806</v>
      </c>
      <c r="H1069" s="2" t="s">
        <v>74</v>
      </c>
      <c r="I1069" s="2" t="s">
        <v>75</v>
      </c>
      <c r="J1069" s="2" t="s">
        <v>97</v>
      </c>
      <c r="K1069" s="2" t="s">
        <v>77</v>
      </c>
      <c r="L1069" s="2" t="s">
        <v>136</v>
      </c>
      <c r="M1069" s="2" t="s">
        <v>137</v>
      </c>
      <c r="N1069" s="2" t="s">
        <v>138</v>
      </c>
      <c r="O1069" s="2" t="s">
        <v>101</v>
      </c>
      <c r="P1069" s="2" t="str">
        <f>"21706021868                   "</f>
        <v xml:space="preserve">21706021868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6.43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0.8</v>
      </c>
      <c r="BJ1069" s="2">
        <v>1.7</v>
      </c>
      <c r="BK1069" s="2">
        <v>2</v>
      </c>
      <c r="BL1069" s="2">
        <v>45.93</v>
      </c>
      <c r="BM1069" s="2">
        <v>6.43</v>
      </c>
      <c r="BN1069" s="2">
        <v>52.36</v>
      </c>
      <c r="BO1069" s="2">
        <v>52.36</v>
      </c>
      <c r="BQ1069" s="2" t="s">
        <v>82</v>
      </c>
      <c r="BR1069" s="2" t="s">
        <v>103</v>
      </c>
      <c r="BS1069" s="3">
        <v>43076</v>
      </c>
      <c r="BT1069" s="4">
        <v>0.35416666666666669</v>
      </c>
      <c r="BU1069" s="2" t="s">
        <v>139</v>
      </c>
      <c r="BV1069" s="2" t="s">
        <v>85</v>
      </c>
      <c r="BY1069" s="2">
        <v>8269.9699999999993</v>
      </c>
      <c r="CA1069" s="2" t="s">
        <v>140</v>
      </c>
      <c r="CC1069" s="2" t="s">
        <v>137</v>
      </c>
      <c r="CD1069" s="2">
        <v>6001</v>
      </c>
      <c r="CE1069" s="2" t="s">
        <v>95</v>
      </c>
      <c r="CF1069" s="3">
        <v>43080</v>
      </c>
      <c r="CI1069" s="2">
        <v>1</v>
      </c>
      <c r="CJ1069" s="2">
        <v>1</v>
      </c>
      <c r="CK1069" s="2">
        <v>21</v>
      </c>
      <c r="CL1069" s="2" t="s">
        <v>89</v>
      </c>
    </row>
    <row r="1070" spans="1:90">
      <c r="A1070" s="2" t="s">
        <v>71</v>
      </c>
      <c r="B1070" s="2" t="s">
        <v>72</v>
      </c>
      <c r="C1070" s="2" t="s">
        <v>73</v>
      </c>
      <c r="E1070" s="2" t="str">
        <f>"FES1162594376"</f>
        <v>FES1162594376</v>
      </c>
      <c r="F1070" s="3">
        <v>43075</v>
      </c>
      <c r="G1070" s="2">
        <v>201806</v>
      </c>
      <c r="H1070" s="2" t="s">
        <v>74</v>
      </c>
      <c r="I1070" s="2" t="s">
        <v>75</v>
      </c>
      <c r="J1070" s="2" t="s">
        <v>97</v>
      </c>
      <c r="K1070" s="2" t="s">
        <v>77</v>
      </c>
      <c r="L1070" s="2" t="s">
        <v>125</v>
      </c>
      <c r="M1070" s="2" t="s">
        <v>126</v>
      </c>
      <c r="N1070" s="2" t="s">
        <v>403</v>
      </c>
      <c r="O1070" s="2" t="s">
        <v>101</v>
      </c>
      <c r="P1070" s="2" t="str">
        <f>"2170606227                    "</f>
        <v xml:space="preserve">2170606227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6.43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1</v>
      </c>
      <c r="BJ1070" s="2">
        <v>0.2</v>
      </c>
      <c r="BK1070" s="2">
        <v>1</v>
      </c>
      <c r="BL1070" s="2">
        <v>45.93</v>
      </c>
      <c r="BM1070" s="2">
        <v>6.43</v>
      </c>
      <c r="BN1070" s="2">
        <v>52.36</v>
      </c>
      <c r="BO1070" s="2">
        <v>52.36</v>
      </c>
      <c r="BR1070" s="2" t="s">
        <v>103</v>
      </c>
      <c r="BS1070" s="3">
        <v>43076</v>
      </c>
      <c r="BT1070" s="4">
        <v>0.35069444444444442</v>
      </c>
      <c r="BU1070" s="2" t="s">
        <v>1600</v>
      </c>
      <c r="BV1070" s="2" t="s">
        <v>85</v>
      </c>
      <c r="BY1070" s="2">
        <v>1200</v>
      </c>
      <c r="CA1070" s="2" t="s">
        <v>666</v>
      </c>
      <c r="CC1070" s="2" t="s">
        <v>126</v>
      </c>
      <c r="CD1070" s="2">
        <v>4001</v>
      </c>
      <c r="CE1070" s="2" t="s">
        <v>120</v>
      </c>
      <c r="CF1070" s="3">
        <v>43080</v>
      </c>
      <c r="CI1070" s="2">
        <v>1</v>
      </c>
      <c r="CJ1070" s="2">
        <v>1</v>
      </c>
      <c r="CK1070" s="2">
        <v>21</v>
      </c>
      <c r="CL1070" s="2" t="s">
        <v>89</v>
      </c>
    </row>
    <row r="1071" spans="1:90">
      <c r="A1071" s="2" t="s">
        <v>71</v>
      </c>
      <c r="B1071" s="2" t="s">
        <v>72</v>
      </c>
      <c r="C1071" s="2" t="s">
        <v>73</v>
      </c>
      <c r="E1071" s="2" t="str">
        <f>"FES1162594283"</f>
        <v>FES1162594283</v>
      </c>
      <c r="F1071" s="3">
        <v>43075</v>
      </c>
      <c r="G1071" s="2">
        <v>201806</v>
      </c>
      <c r="H1071" s="2" t="s">
        <v>74</v>
      </c>
      <c r="I1071" s="2" t="s">
        <v>75</v>
      </c>
      <c r="J1071" s="2" t="s">
        <v>97</v>
      </c>
      <c r="K1071" s="2" t="s">
        <v>77</v>
      </c>
      <c r="L1071" s="2" t="s">
        <v>90</v>
      </c>
      <c r="M1071" s="2" t="s">
        <v>91</v>
      </c>
      <c r="N1071" s="2" t="s">
        <v>899</v>
      </c>
      <c r="O1071" s="2" t="s">
        <v>101</v>
      </c>
      <c r="P1071" s="2" t="str">
        <f>"2170605907                    "</f>
        <v xml:space="preserve">2170605907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5.03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</v>
      </c>
      <c r="BJ1071" s="2">
        <v>0.2</v>
      </c>
      <c r="BK1071" s="2">
        <v>1</v>
      </c>
      <c r="BL1071" s="2">
        <v>35.89</v>
      </c>
      <c r="BM1071" s="2">
        <v>5.0199999999999996</v>
      </c>
      <c r="BN1071" s="2">
        <v>40.909999999999997</v>
      </c>
      <c r="BO1071" s="2">
        <v>40.909999999999997</v>
      </c>
      <c r="BQ1071" s="2" t="s">
        <v>102</v>
      </c>
      <c r="BR1071" s="2" t="s">
        <v>103</v>
      </c>
      <c r="BS1071" s="3">
        <v>43076</v>
      </c>
      <c r="BT1071" s="4">
        <v>0.41666666666666669</v>
      </c>
      <c r="BU1071" s="2" t="s">
        <v>1601</v>
      </c>
      <c r="BV1071" s="2" t="s">
        <v>85</v>
      </c>
      <c r="BY1071" s="2">
        <v>1200</v>
      </c>
      <c r="CC1071" s="2" t="s">
        <v>91</v>
      </c>
      <c r="CD1071" s="2">
        <v>1510</v>
      </c>
      <c r="CE1071" s="2" t="s">
        <v>120</v>
      </c>
      <c r="CF1071" s="3">
        <v>43081</v>
      </c>
      <c r="CI1071" s="2">
        <v>1</v>
      </c>
      <c r="CJ1071" s="2">
        <v>1</v>
      </c>
      <c r="CK1071" s="2">
        <v>22</v>
      </c>
      <c r="CL1071" s="2" t="s">
        <v>89</v>
      </c>
    </row>
    <row r="1072" spans="1:90">
      <c r="A1072" s="2" t="s">
        <v>71</v>
      </c>
      <c r="B1072" s="2" t="s">
        <v>72</v>
      </c>
      <c r="C1072" s="2" t="s">
        <v>73</v>
      </c>
      <c r="E1072" s="2" t="str">
        <f>"FES1162594502"</f>
        <v>FES1162594502</v>
      </c>
      <c r="F1072" s="3">
        <v>43075</v>
      </c>
      <c r="G1072" s="2">
        <v>201806</v>
      </c>
      <c r="H1072" s="2" t="s">
        <v>74</v>
      </c>
      <c r="I1072" s="2" t="s">
        <v>75</v>
      </c>
      <c r="J1072" s="2" t="s">
        <v>97</v>
      </c>
      <c r="K1072" s="2" t="s">
        <v>77</v>
      </c>
      <c r="L1072" s="2" t="s">
        <v>173</v>
      </c>
      <c r="M1072" s="2" t="s">
        <v>174</v>
      </c>
      <c r="N1072" s="2" t="s">
        <v>393</v>
      </c>
      <c r="O1072" s="2" t="s">
        <v>101</v>
      </c>
      <c r="P1072" s="2" t="str">
        <f>"2170606250                    "</f>
        <v xml:space="preserve">2170606250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6.43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2</v>
      </c>
      <c r="BJ1072" s="2">
        <v>0.3</v>
      </c>
      <c r="BK1072" s="2">
        <v>2</v>
      </c>
      <c r="BL1072" s="2">
        <v>45.93</v>
      </c>
      <c r="BM1072" s="2">
        <v>6.43</v>
      </c>
      <c r="BN1072" s="2">
        <v>52.36</v>
      </c>
      <c r="BO1072" s="2">
        <v>52.36</v>
      </c>
      <c r="BQ1072" s="2" t="s">
        <v>102</v>
      </c>
      <c r="BR1072" s="2" t="s">
        <v>103</v>
      </c>
      <c r="BS1072" s="3">
        <v>43076</v>
      </c>
      <c r="BT1072" s="4">
        <v>0.42986111111111108</v>
      </c>
      <c r="BU1072" s="2" t="s">
        <v>1602</v>
      </c>
      <c r="BV1072" s="2" t="s">
        <v>85</v>
      </c>
      <c r="BY1072" s="2">
        <v>1475</v>
      </c>
      <c r="CA1072" s="2" t="s">
        <v>395</v>
      </c>
      <c r="CC1072" s="2" t="s">
        <v>174</v>
      </c>
      <c r="CD1072" s="2">
        <v>7441</v>
      </c>
      <c r="CE1072" s="2" t="s">
        <v>87</v>
      </c>
      <c r="CF1072" s="3">
        <v>43076</v>
      </c>
      <c r="CI1072" s="2">
        <v>1</v>
      </c>
      <c r="CJ1072" s="2">
        <v>1</v>
      </c>
      <c r="CK1072" s="2">
        <v>21</v>
      </c>
      <c r="CL1072" s="2" t="s">
        <v>89</v>
      </c>
    </row>
    <row r="1073" spans="1:90">
      <c r="A1073" s="2" t="s">
        <v>71</v>
      </c>
      <c r="B1073" s="2" t="s">
        <v>72</v>
      </c>
      <c r="C1073" s="2" t="s">
        <v>73</v>
      </c>
      <c r="E1073" s="2" t="str">
        <f>"FES1162594141"</f>
        <v>FES1162594141</v>
      </c>
      <c r="F1073" s="3">
        <v>43075</v>
      </c>
      <c r="G1073" s="2">
        <v>201806</v>
      </c>
      <c r="H1073" s="2" t="s">
        <v>74</v>
      </c>
      <c r="I1073" s="2" t="s">
        <v>75</v>
      </c>
      <c r="J1073" s="2" t="s">
        <v>97</v>
      </c>
      <c r="K1073" s="2" t="s">
        <v>77</v>
      </c>
      <c r="L1073" s="2" t="s">
        <v>158</v>
      </c>
      <c r="M1073" s="2" t="s">
        <v>159</v>
      </c>
      <c r="N1073" s="2" t="s">
        <v>588</v>
      </c>
      <c r="O1073" s="2" t="s">
        <v>101</v>
      </c>
      <c r="P1073" s="2" t="str">
        <f>"2170602836                    "</f>
        <v xml:space="preserve">2170602836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6.43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1</v>
      </c>
      <c r="BJ1073" s="2">
        <v>0.2</v>
      </c>
      <c r="BK1073" s="2">
        <v>1</v>
      </c>
      <c r="BL1073" s="2">
        <v>45.93</v>
      </c>
      <c r="BM1073" s="2">
        <v>6.43</v>
      </c>
      <c r="BN1073" s="2">
        <v>52.36</v>
      </c>
      <c r="BO1073" s="2">
        <v>52.36</v>
      </c>
      <c r="BQ1073" s="2" t="s">
        <v>102</v>
      </c>
      <c r="BR1073" s="2" t="s">
        <v>103</v>
      </c>
      <c r="BS1073" s="3">
        <v>43077</v>
      </c>
      <c r="BT1073" s="4">
        <v>0.38263888888888892</v>
      </c>
      <c r="BU1073" s="2" t="s">
        <v>1603</v>
      </c>
      <c r="BV1073" s="2" t="s">
        <v>89</v>
      </c>
      <c r="BW1073" s="2" t="s">
        <v>149</v>
      </c>
      <c r="BX1073" s="2" t="s">
        <v>668</v>
      </c>
      <c r="BY1073" s="2">
        <v>1200</v>
      </c>
      <c r="CC1073" s="2" t="s">
        <v>159</v>
      </c>
      <c r="CD1073" s="2">
        <v>40</v>
      </c>
      <c r="CE1073" s="2" t="s">
        <v>120</v>
      </c>
      <c r="CF1073" s="3">
        <v>43080</v>
      </c>
      <c r="CI1073" s="2">
        <v>1</v>
      </c>
      <c r="CJ1073" s="2">
        <v>2</v>
      </c>
      <c r="CK1073" s="2">
        <v>21</v>
      </c>
      <c r="CL1073" s="2" t="s">
        <v>89</v>
      </c>
    </row>
    <row r="1074" spans="1:90">
      <c r="A1074" s="2" t="s">
        <v>71</v>
      </c>
      <c r="B1074" s="2" t="s">
        <v>72</v>
      </c>
      <c r="C1074" s="2" t="s">
        <v>73</v>
      </c>
      <c r="E1074" s="2" t="str">
        <f>"FES1162594354"</f>
        <v>FES1162594354</v>
      </c>
      <c r="F1074" s="3">
        <v>43075</v>
      </c>
      <c r="G1074" s="2">
        <v>201806</v>
      </c>
      <c r="H1074" s="2" t="s">
        <v>74</v>
      </c>
      <c r="I1074" s="2" t="s">
        <v>75</v>
      </c>
      <c r="J1074" s="2" t="s">
        <v>97</v>
      </c>
      <c r="K1074" s="2" t="s">
        <v>77</v>
      </c>
      <c r="L1074" s="2" t="s">
        <v>850</v>
      </c>
      <c r="M1074" s="2" t="s">
        <v>851</v>
      </c>
      <c r="N1074" s="2" t="s">
        <v>1055</v>
      </c>
      <c r="O1074" s="2" t="s">
        <v>101</v>
      </c>
      <c r="P1074" s="2" t="str">
        <f>"2170606192                    "</f>
        <v xml:space="preserve">2170606192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6.43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</v>
      </c>
      <c r="BJ1074" s="2">
        <v>0.2</v>
      </c>
      <c r="BK1074" s="2">
        <v>1</v>
      </c>
      <c r="BL1074" s="2">
        <v>45.93</v>
      </c>
      <c r="BM1074" s="2">
        <v>6.43</v>
      </c>
      <c r="BN1074" s="2">
        <v>52.36</v>
      </c>
      <c r="BO1074" s="2">
        <v>52.36</v>
      </c>
      <c r="BQ1074" s="2" t="s">
        <v>102</v>
      </c>
      <c r="BR1074" s="2" t="s">
        <v>103</v>
      </c>
      <c r="BS1074" s="3">
        <v>43076</v>
      </c>
      <c r="BT1074" s="4">
        <v>0.41666666666666669</v>
      </c>
      <c r="BU1074" s="2" t="s">
        <v>1604</v>
      </c>
      <c r="BV1074" s="2" t="s">
        <v>85</v>
      </c>
      <c r="BY1074" s="2">
        <v>1200</v>
      </c>
      <c r="CA1074" s="2" t="s">
        <v>854</v>
      </c>
      <c r="CC1074" s="2" t="s">
        <v>851</v>
      </c>
      <c r="CD1074" s="2">
        <v>3290</v>
      </c>
      <c r="CE1074" s="2" t="s">
        <v>120</v>
      </c>
      <c r="CF1074" s="3">
        <v>43080</v>
      </c>
      <c r="CI1074" s="2">
        <v>1</v>
      </c>
      <c r="CJ1074" s="2">
        <v>1</v>
      </c>
      <c r="CK1074" s="2">
        <v>21</v>
      </c>
      <c r="CL1074" s="2" t="s">
        <v>89</v>
      </c>
    </row>
    <row r="1075" spans="1:90">
      <c r="A1075" s="2" t="s">
        <v>71</v>
      </c>
      <c r="B1075" s="2" t="s">
        <v>72</v>
      </c>
      <c r="C1075" s="2" t="s">
        <v>73</v>
      </c>
      <c r="E1075" s="2" t="str">
        <f>"FES1162594182"</f>
        <v>FES1162594182</v>
      </c>
      <c r="F1075" s="3">
        <v>43075</v>
      </c>
      <c r="G1075" s="2">
        <v>201806</v>
      </c>
      <c r="H1075" s="2" t="s">
        <v>74</v>
      </c>
      <c r="I1075" s="2" t="s">
        <v>75</v>
      </c>
      <c r="J1075" s="2" t="s">
        <v>97</v>
      </c>
      <c r="K1075" s="2" t="s">
        <v>77</v>
      </c>
      <c r="L1075" s="2" t="s">
        <v>158</v>
      </c>
      <c r="M1075" s="2" t="s">
        <v>159</v>
      </c>
      <c r="N1075" s="2" t="s">
        <v>1605</v>
      </c>
      <c r="O1075" s="2" t="s">
        <v>101</v>
      </c>
      <c r="P1075" s="2" t="str">
        <f>"2170603627                    "</f>
        <v xml:space="preserve">2170603627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6.43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1</v>
      </c>
      <c r="BJ1075" s="2">
        <v>0.2</v>
      </c>
      <c r="BK1075" s="2">
        <v>1</v>
      </c>
      <c r="BL1075" s="2">
        <v>45.93</v>
      </c>
      <c r="BM1075" s="2">
        <v>6.43</v>
      </c>
      <c r="BN1075" s="2">
        <v>52.36</v>
      </c>
      <c r="BO1075" s="2">
        <v>52.36</v>
      </c>
      <c r="BQ1075" s="2" t="s">
        <v>102</v>
      </c>
      <c r="BR1075" s="2" t="s">
        <v>103</v>
      </c>
      <c r="BS1075" s="3">
        <v>43076</v>
      </c>
      <c r="BT1075" s="4">
        <v>0.51041666666666663</v>
      </c>
      <c r="BU1075" s="2" t="s">
        <v>1606</v>
      </c>
      <c r="BV1075" s="2" t="s">
        <v>89</v>
      </c>
      <c r="BW1075" s="2" t="s">
        <v>156</v>
      </c>
      <c r="BX1075" s="2" t="s">
        <v>668</v>
      </c>
      <c r="BY1075" s="2">
        <v>1200</v>
      </c>
      <c r="CA1075" s="2" t="s">
        <v>590</v>
      </c>
      <c r="CC1075" s="2" t="s">
        <v>159</v>
      </c>
      <c r="CD1075" s="2">
        <v>1</v>
      </c>
      <c r="CE1075" s="2" t="s">
        <v>120</v>
      </c>
      <c r="CF1075" s="3">
        <v>43080</v>
      </c>
      <c r="CI1075" s="2">
        <v>1</v>
      </c>
      <c r="CJ1075" s="2">
        <v>1</v>
      </c>
      <c r="CK1075" s="2">
        <v>21</v>
      </c>
      <c r="CL1075" s="2" t="s">
        <v>89</v>
      </c>
    </row>
    <row r="1076" spans="1:90">
      <c r="A1076" s="2" t="s">
        <v>71</v>
      </c>
      <c r="B1076" s="2" t="s">
        <v>72</v>
      </c>
      <c r="C1076" s="2" t="s">
        <v>73</v>
      </c>
      <c r="E1076" s="2" t="str">
        <f>"FES1162594333"</f>
        <v>FES1162594333</v>
      </c>
      <c r="F1076" s="3">
        <v>43075</v>
      </c>
      <c r="G1076" s="2">
        <v>201806</v>
      </c>
      <c r="H1076" s="2" t="s">
        <v>74</v>
      </c>
      <c r="I1076" s="2" t="s">
        <v>75</v>
      </c>
      <c r="J1076" s="2" t="s">
        <v>97</v>
      </c>
      <c r="K1076" s="2" t="s">
        <v>77</v>
      </c>
      <c r="L1076" s="2" t="s">
        <v>98</v>
      </c>
      <c r="M1076" s="2" t="s">
        <v>99</v>
      </c>
      <c r="N1076" s="2" t="s">
        <v>495</v>
      </c>
      <c r="O1076" s="2" t="s">
        <v>101</v>
      </c>
      <c r="P1076" s="2" t="str">
        <f>"2170606161                    "</f>
        <v xml:space="preserve">2170606161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6.43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2</v>
      </c>
      <c r="BJ1076" s="2">
        <v>1.9</v>
      </c>
      <c r="BK1076" s="2">
        <v>2</v>
      </c>
      <c r="BL1076" s="2">
        <v>45.93</v>
      </c>
      <c r="BM1076" s="2">
        <v>6.43</v>
      </c>
      <c r="BN1076" s="2">
        <v>52.36</v>
      </c>
      <c r="BO1076" s="2">
        <v>52.36</v>
      </c>
      <c r="BQ1076" s="2" t="s">
        <v>187</v>
      </c>
      <c r="BR1076" s="2" t="s">
        <v>103</v>
      </c>
      <c r="BS1076" s="3">
        <v>43076</v>
      </c>
      <c r="BT1076" s="4">
        <v>0.39583333333333331</v>
      </c>
      <c r="BU1076" s="2" t="s">
        <v>1607</v>
      </c>
      <c r="BV1076" s="2" t="s">
        <v>85</v>
      </c>
      <c r="BY1076" s="2">
        <v>9727.0400000000009</v>
      </c>
      <c r="CA1076" s="2" t="s">
        <v>497</v>
      </c>
      <c r="CC1076" s="2" t="s">
        <v>99</v>
      </c>
      <c r="CD1076" s="2">
        <v>3201</v>
      </c>
      <c r="CE1076" s="2" t="s">
        <v>120</v>
      </c>
      <c r="CF1076" s="3">
        <v>43080</v>
      </c>
      <c r="CI1076" s="2">
        <v>1</v>
      </c>
      <c r="CJ1076" s="2">
        <v>1</v>
      </c>
      <c r="CK1076" s="2">
        <v>21</v>
      </c>
      <c r="CL1076" s="2" t="s">
        <v>89</v>
      </c>
    </row>
    <row r="1077" spans="1:90">
      <c r="A1077" s="2" t="s">
        <v>71</v>
      </c>
      <c r="B1077" s="2" t="s">
        <v>72</v>
      </c>
      <c r="C1077" s="2" t="s">
        <v>73</v>
      </c>
      <c r="E1077" s="2" t="str">
        <f>"FES1162594432"</f>
        <v>FES1162594432</v>
      </c>
      <c r="F1077" s="3">
        <v>43075</v>
      </c>
      <c r="G1077" s="2">
        <v>201806</v>
      </c>
      <c r="H1077" s="2" t="s">
        <v>74</v>
      </c>
      <c r="I1077" s="2" t="s">
        <v>75</v>
      </c>
      <c r="J1077" s="2" t="s">
        <v>97</v>
      </c>
      <c r="K1077" s="2" t="s">
        <v>77</v>
      </c>
      <c r="L1077" s="2" t="s">
        <v>136</v>
      </c>
      <c r="M1077" s="2" t="s">
        <v>137</v>
      </c>
      <c r="N1077" s="2" t="s">
        <v>178</v>
      </c>
      <c r="O1077" s="2" t="s">
        <v>101</v>
      </c>
      <c r="P1077" s="2" t="str">
        <f>"2170606087                    "</f>
        <v xml:space="preserve">2170606087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6.43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1</v>
      </c>
      <c r="BJ1077" s="2">
        <v>0.2</v>
      </c>
      <c r="BK1077" s="2">
        <v>1</v>
      </c>
      <c r="BL1077" s="2">
        <v>45.93</v>
      </c>
      <c r="BM1077" s="2">
        <v>6.43</v>
      </c>
      <c r="BN1077" s="2">
        <v>52.36</v>
      </c>
      <c r="BO1077" s="2">
        <v>52.36</v>
      </c>
      <c r="BQ1077" s="2" t="s">
        <v>102</v>
      </c>
      <c r="BR1077" s="2" t="s">
        <v>103</v>
      </c>
      <c r="BS1077" s="3">
        <v>43076</v>
      </c>
      <c r="BT1077" s="4">
        <v>0.4375</v>
      </c>
      <c r="BU1077" s="2" t="s">
        <v>179</v>
      </c>
      <c r="BV1077" s="2" t="s">
        <v>85</v>
      </c>
      <c r="BY1077" s="2">
        <v>1200</v>
      </c>
      <c r="CA1077" s="2" t="s">
        <v>180</v>
      </c>
      <c r="CC1077" s="2" t="s">
        <v>137</v>
      </c>
      <c r="CD1077" s="2">
        <v>6001</v>
      </c>
      <c r="CE1077" s="2" t="s">
        <v>120</v>
      </c>
      <c r="CF1077" s="3">
        <v>43080</v>
      </c>
      <c r="CI1077" s="2">
        <v>1</v>
      </c>
      <c r="CJ1077" s="2">
        <v>1</v>
      </c>
      <c r="CK1077" s="2">
        <v>21</v>
      </c>
      <c r="CL1077" s="2" t="s">
        <v>89</v>
      </c>
    </row>
    <row r="1078" spans="1:90">
      <c r="A1078" s="2" t="s">
        <v>71</v>
      </c>
      <c r="B1078" s="2" t="s">
        <v>72</v>
      </c>
      <c r="C1078" s="2" t="s">
        <v>73</v>
      </c>
      <c r="E1078" s="2" t="str">
        <f>"FES1162594476"</f>
        <v>FES1162594476</v>
      </c>
      <c r="F1078" s="3">
        <v>43075</v>
      </c>
      <c r="G1078" s="2">
        <v>201806</v>
      </c>
      <c r="H1078" s="2" t="s">
        <v>74</v>
      </c>
      <c r="I1078" s="2" t="s">
        <v>75</v>
      </c>
      <c r="J1078" s="2" t="s">
        <v>97</v>
      </c>
      <c r="K1078" s="2" t="s">
        <v>77</v>
      </c>
      <c r="L1078" s="2" t="s">
        <v>162</v>
      </c>
      <c r="M1078" s="2" t="s">
        <v>163</v>
      </c>
      <c r="N1078" s="2" t="s">
        <v>164</v>
      </c>
      <c r="O1078" s="2" t="s">
        <v>101</v>
      </c>
      <c r="P1078" s="2" t="str">
        <f>"2170606327                    "</f>
        <v xml:space="preserve">2170606327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5.03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1.9</v>
      </c>
      <c r="BJ1078" s="2">
        <v>3</v>
      </c>
      <c r="BK1078" s="2">
        <v>3</v>
      </c>
      <c r="BL1078" s="2">
        <v>35.89</v>
      </c>
      <c r="BM1078" s="2">
        <v>5.0199999999999996</v>
      </c>
      <c r="BN1078" s="2">
        <v>40.909999999999997</v>
      </c>
      <c r="BO1078" s="2">
        <v>40.909999999999997</v>
      </c>
      <c r="BQ1078" s="2" t="s">
        <v>102</v>
      </c>
      <c r="BR1078" s="2" t="s">
        <v>103</v>
      </c>
      <c r="BS1078" s="3">
        <v>43076</v>
      </c>
      <c r="BT1078" s="4">
        <v>0.54027777777777775</v>
      </c>
      <c r="BU1078" s="2" t="s">
        <v>1445</v>
      </c>
      <c r="BV1078" s="2" t="s">
        <v>89</v>
      </c>
      <c r="BW1078" s="2" t="s">
        <v>437</v>
      </c>
      <c r="BX1078" s="2" t="s">
        <v>438</v>
      </c>
      <c r="BY1078" s="2">
        <v>14978.96</v>
      </c>
      <c r="CC1078" s="2" t="s">
        <v>163</v>
      </c>
      <c r="CD1078" s="2">
        <v>1451</v>
      </c>
      <c r="CE1078" s="2" t="s">
        <v>87</v>
      </c>
      <c r="CF1078" s="3">
        <v>43080</v>
      </c>
      <c r="CI1078" s="2">
        <v>1</v>
      </c>
      <c r="CJ1078" s="2">
        <v>1</v>
      </c>
      <c r="CK1078" s="2">
        <v>22</v>
      </c>
      <c r="CL1078" s="2" t="s">
        <v>89</v>
      </c>
    </row>
    <row r="1079" spans="1:90">
      <c r="A1079" s="2" t="s">
        <v>71</v>
      </c>
      <c r="B1079" s="2" t="s">
        <v>72</v>
      </c>
      <c r="C1079" s="2" t="s">
        <v>73</v>
      </c>
      <c r="E1079" s="2" t="str">
        <f>"FES1162594322"</f>
        <v>FES1162594322</v>
      </c>
      <c r="F1079" s="3">
        <v>43075</v>
      </c>
      <c r="G1079" s="2">
        <v>201806</v>
      </c>
      <c r="H1079" s="2" t="s">
        <v>74</v>
      </c>
      <c r="I1079" s="2" t="s">
        <v>75</v>
      </c>
      <c r="J1079" s="2" t="s">
        <v>97</v>
      </c>
      <c r="K1079" s="2" t="s">
        <v>77</v>
      </c>
      <c r="L1079" s="2" t="s">
        <v>304</v>
      </c>
      <c r="M1079" s="2" t="s">
        <v>305</v>
      </c>
      <c r="N1079" s="2" t="s">
        <v>1608</v>
      </c>
      <c r="O1079" s="2" t="s">
        <v>101</v>
      </c>
      <c r="P1079" s="2" t="str">
        <f>"2170602168                    "</f>
        <v xml:space="preserve">2170602168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9.0500000000000007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1</v>
      </c>
      <c r="BJ1079" s="2">
        <v>0.2</v>
      </c>
      <c r="BK1079" s="2">
        <v>1</v>
      </c>
      <c r="BL1079" s="2">
        <v>64.599999999999994</v>
      </c>
      <c r="BM1079" s="2">
        <v>9.0399999999999991</v>
      </c>
      <c r="BN1079" s="2">
        <v>73.64</v>
      </c>
      <c r="BO1079" s="2">
        <v>73.64</v>
      </c>
      <c r="BQ1079" s="2" t="s">
        <v>128</v>
      </c>
      <c r="BR1079" s="2" t="s">
        <v>103</v>
      </c>
      <c r="BS1079" s="3">
        <v>43076</v>
      </c>
      <c r="BT1079" s="4">
        <v>0.66319444444444442</v>
      </c>
      <c r="BU1079" s="2" t="s">
        <v>1609</v>
      </c>
      <c r="BV1079" s="2" t="s">
        <v>85</v>
      </c>
      <c r="BY1079" s="2">
        <v>1200</v>
      </c>
      <c r="CC1079" s="2" t="s">
        <v>305</v>
      </c>
      <c r="CD1079" s="2">
        <v>1020</v>
      </c>
      <c r="CE1079" s="2" t="s">
        <v>120</v>
      </c>
      <c r="CF1079" s="3">
        <v>43080</v>
      </c>
      <c r="CI1079" s="2">
        <v>2</v>
      </c>
      <c r="CJ1079" s="2">
        <v>1</v>
      </c>
      <c r="CK1079" s="2">
        <v>24</v>
      </c>
      <c r="CL1079" s="2" t="s">
        <v>89</v>
      </c>
    </row>
    <row r="1080" spans="1:90">
      <c r="A1080" s="2" t="s">
        <v>71</v>
      </c>
      <c r="B1080" s="2" t="s">
        <v>72</v>
      </c>
      <c r="C1080" s="2" t="s">
        <v>73</v>
      </c>
      <c r="E1080" s="2" t="str">
        <f>"FES1162594539"</f>
        <v>FES1162594539</v>
      </c>
      <c r="F1080" s="3">
        <v>43075</v>
      </c>
      <c r="G1080" s="2">
        <v>201806</v>
      </c>
      <c r="H1080" s="2" t="s">
        <v>74</v>
      </c>
      <c r="I1080" s="2" t="s">
        <v>75</v>
      </c>
      <c r="J1080" s="2" t="s">
        <v>97</v>
      </c>
      <c r="K1080" s="2" t="s">
        <v>77</v>
      </c>
      <c r="L1080" s="2" t="s">
        <v>125</v>
      </c>
      <c r="M1080" s="2" t="s">
        <v>126</v>
      </c>
      <c r="N1080" s="2" t="s">
        <v>1610</v>
      </c>
      <c r="O1080" s="2" t="s">
        <v>101</v>
      </c>
      <c r="P1080" s="2" t="str">
        <f>"2170606411                    "</f>
        <v xml:space="preserve">2170606411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12.87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3</v>
      </c>
      <c r="BJ1080" s="2">
        <v>3.8</v>
      </c>
      <c r="BK1080" s="2">
        <v>4</v>
      </c>
      <c r="BL1080" s="2">
        <v>91.85</v>
      </c>
      <c r="BM1080" s="2">
        <v>12.86</v>
      </c>
      <c r="BN1080" s="2">
        <v>104.71</v>
      </c>
      <c r="BO1080" s="2">
        <v>104.71</v>
      </c>
      <c r="BQ1080" s="2" t="s">
        <v>187</v>
      </c>
      <c r="BR1080" s="2" t="s">
        <v>103</v>
      </c>
      <c r="BS1080" s="3">
        <v>43076</v>
      </c>
      <c r="BT1080" s="4">
        <v>0.34097222222222223</v>
      </c>
      <c r="BU1080" s="2" t="s">
        <v>1611</v>
      </c>
      <c r="BV1080" s="2" t="s">
        <v>85</v>
      </c>
      <c r="BY1080" s="2">
        <v>19248.29</v>
      </c>
      <c r="BZ1080" s="2" t="s">
        <v>27</v>
      </c>
      <c r="CA1080" s="2" t="s">
        <v>1369</v>
      </c>
      <c r="CC1080" s="2" t="s">
        <v>126</v>
      </c>
      <c r="CD1080" s="2">
        <v>4070</v>
      </c>
      <c r="CE1080" s="2" t="s">
        <v>87</v>
      </c>
      <c r="CF1080" s="3">
        <v>43080</v>
      </c>
      <c r="CI1080" s="2">
        <v>1</v>
      </c>
      <c r="CJ1080" s="2">
        <v>1</v>
      </c>
      <c r="CK1080" s="2">
        <v>21</v>
      </c>
      <c r="CL1080" s="2" t="s">
        <v>89</v>
      </c>
    </row>
    <row r="1081" spans="1:90">
      <c r="A1081" s="2" t="s">
        <v>71</v>
      </c>
      <c r="B1081" s="2" t="s">
        <v>72</v>
      </c>
      <c r="C1081" s="2" t="s">
        <v>73</v>
      </c>
      <c r="E1081" s="2" t="str">
        <f>"FES1162594160"</f>
        <v>FES1162594160</v>
      </c>
      <c r="F1081" s="3">
        <v>43075</v>
      </c>
      <c r="G1081" s="2">
        <v>201806</v>
      </c>
      <c r="H1081" s="2" t="s">
        <v>74</v>
      </c>
      <c r="I1081" s="2" t="s">
        <v>75</v>
      </c>
      <c r="J1081" s="2" t="s">
        <v>97</v>
      </c>
      <c r="K1081" s="2" t="s">
        <v>77</v>
      </c>
      <c r="L1081" s="2" t="s">
        <v>136</v>
      </c>
      <c r="M1081" s="2" t="s">
        <v>137</v>
      </c>
      <c r="N1081" s="2" t="s">
        <v>138</v>
      </c>
      <c r="O1081" s="2" t="s">
        <v>101</v>
      </c>
      <c r="P1081" s="2" t="str">
        <f>"2170603454                    "</f>
        <v xml:space="preserve">2170603454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9.65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3</v>
      </c>
      <c r="BJ1081" s="2">
        <v>1.7</v>
      </c>
      <c r="BK1081" s="2">
        <v>3</v>
      </c>
      <c r="BL1081" s="2">
        <v>68.89</v>
      </c>
      <c r="BM1081" s="2">
        <v>9.64</v>
      </c>
      <c r="BN1081" s="2">
        <v>78.53</v>
      </c>
      <c r="BO1081" s="2">
        <v>78.53</v>
      </c>
      <c r="BQ1081" s="2" t="s">
        <v>82</v>
      </c>
      <c r="BR1081" s="2" t="s">
        <v>103</v>
      </c>
      <c r="BS1081" s="3">
        <v>43076</v>
      </c>
      <c r="BT1081" s="4">
        <v>0.35416666666666669</v>
      </c>
      <c r="BU1081" s="2" t="s">
        <v>139</v>
      </c>
      <c r="BV1081" s="2" t="s">
        <v>85</v>
      </c>
      <c r="BY1081" s="2">
        <v>8706.7199999999993</v>
      </c>
      <c r="BZ1081" s="2" t="s">
        <v>27</v>
      </c>
      <c r="CA1081" s="2" t="s">
        <v>140</v>
      </c>
      <c r="CC1081" s="2" t="s">
        <v>137</v>
      </c>
      <c r="CD1081" s="2">
        <v>6001</v>
      </c>
      <c r="CE1081" s="2" t="s">
        <v>95</v>
      </c>
      <c r="CF1081" s="3">
        <v>43077</v>
      </c>
      <c r="CI1081" s="2">
        <v>1</v>
      </c>
      <c r="CJ1081" s="2">
        <v>1</v>
      </c>
      <c r="CK1081" s="2">
        <v>21</v>
      </c>
      <c r="CL1081" s="2" t="s">
        <v>89</v>
      </c>
    </row>
    <row r="1082" spans="1:90">
      <c r="A1082" s="2" t="s">
        <v>71</v>
      </c>
      <c r="B1082" s="2" t="s">
        <v>72</v>
      </c>
      <c r="C1082" s="2" t="s">
        <v>73</v>
      </c>
      <c r="E1082" s="2" t="str">
        <f>"FES1162593282"</f>
        <v>FES1162593282</v>
      </c>
      <c r="F1082" s="3">
        <v>43075</v>
      </c>
      <c r="G1082" s="2">
        <v>201806</v>
      </c>
      <c r="H1082" s="2" t="s">
        <v>74</v>
      </c>
      <c r="I1082" s="2" t="s">
        <v>75</v>
      </c>
      <c r="J1082" s="2" t="s">
        <v>97</v>
      </c>
      <c r="K1082" s="2" t="s">
        <v>77</v>
      </c>
      <c r="L1082" s="2" t="s">
        <v>115</v>
      </c>
      <c r="M1082" s="2" t="s">
        <v>116</v>
      </c>
      <c r="N1082" s="2" t="s">
        <v>1612</v>
      </c>
      <c r="O1082" s="2" t="s">
        <v>101</v>
      </c>
      <c r="P1082" s="2" t="str">
        <f>"217060545444                  "</f>
        <v xml:space="preserve">217060545444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5.03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1</v>
      </c>
      <c r="BJ1082" s="2">
        <v>0.2</v>
      </c>
      <c r="BK1082" s="2">
        <v>1</v>
      </c>
      <c r="BL1082" s="2">
        <v>35.89</v>
      </c>
      <c r="BM1082" s="2">
        <v>5.0199999999999996</v>
      </c>
      <c r="BN1082" s="2">
        <v>40.909999999999997</v>
      </c>
      <c r="BO1082" s="2">
        <v>40.909999999999997</v>
      </c>
      <c r="BR1082" s="2" t="s">
        <v>103</v>
      </c>
      <c r="BS1082" s="3">
        <v>43077</v>
      </c>
      <c r="BT1082" s="4">
        <v>0.41666666666666669</v>
      </c>
      <c r="BU1082" s="2" t="s">
        <v>1613</v>
      </c>
      <c r="BV1082" s="2" t="s">
        <v>89</v>
      </c>
      <c r="BW1082" s="2" t="s">
        <v>1517</v>
      </c>
      <c r="BX1082" s="2" t="s">
        <v>438</v>
      </c>
      <c r="BY1082" s="2">
        <v>1200</v>
      </c>
      <c r="CA1082" s="2" t="s">
        <v>1050</v>
      </c>
      <c r="CC1082" s="2" t="s">
        <v>116</v>
      </c>
      <c r="CD1082" s="2">
        <v>1460</v>
      </c>
      <c r="CE1082" s="2" t="s">
        <v>120</v>
      </c>
      <c r="CI1082" s="2">
        <v>1</v>
      </c>
      <c r="CJ1082" s="2">
        <v>2</v>
      </c>
      <c r="CK1082" s="2">
        <v>22</v>
      </c>
      <c r="CL1082" s="2" t="s">
        <v>89</v>
      </c>
    </row>
    <row r="1083" spans="1:90">
      <c r="A1083" s="2" t="s">
        <v>71</v>
      </c>
      <c r="B1083" s="2" t="s">
        <v>72</v>
      </c>
      <c r="C1083" s="2" t="s">
        <v>73</v>
      </c>
      <c r="E1083" s="2" t="str">
        <f>"FES1162594357"</f>
        <v>FES1162594357</v>
      </c>
      <c r="F1083" s="3">
        <v>43075</v>
      </c>
      <c r="G1083" s="2">
        <v>201806</v>
      </c>
      <c r="H1083" s="2" t="s">
        <v>74</v>
      </c>
      <c r="I1083" s="2" t="s">
        <v>75</v>
      </c>
      <c r="J1083" s="2" t="s">
        <v>97</v>
      </c>
      <c r="K1083" s="2" t="s">
        <v>77</v>
      </c>
      <c r="L1083" s="2" t="s">
        <v>168</v>
      </c>
      <c r="M1083" s="2" t="s">
        <v>169</v>
      </c>
      <c r="N1083" s="2" t="s">
        <v>1614</v>
      </c>
      <c r="O1083" s="2" t="s">
        <v>101</v>
      </c>
      <c r="P1083" s="2" t="str">
        <f>"2170606199                    "</f>
        <v xml:space="preserve">2170606199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6.43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0.2</v>
      </c>
      <c r="BK1083" s="2">
        <v>1</v>
      </c>
      <c r="BL1083" s="2">
        <v>45.93</v>
      </c>
      <c r="BM1083" s="2">
        <v>6.43</v>
      </c>
      <c r="BN1083" s="2">
        <v>52.36</v>
      </c>
      <c r="BO1083" s="2">
        <v>52.36</v>
      </c>
      <c r="BQ1083" s="2" t="s">
        <v>102</v>
      </c>
      <c r="BR1083" s="2" t="s">
        <v>103</v>
      </c>
      <c r="BS1083" s="3">
        <v>43077</v>
      </c>
      <c r="BT1083" s="4">
        <v>0.36458333333333331</v>
      </c>
      <c r="BU1083" s="2" t="s">
        <v>1615</v>
      </c>
      <c r="BV1083" s="2" t="s">
        <v>89</v>
      </c>
      <c r="BW1083" s="2" t="s">
        <v>149</v>
      </c>
      <c r="BX1083" s="2" t="s">
        <v>1616</v>
      </c>
      <c r="BY1083" s="2">
        <v>1200</v>
      </c>
      <c r="CC1083" s="2" t="s">
        <v>169</v>
      </c>
      <c r="CD1083" s="2">
        <v>3610</v>
      </c>
      <c r="CE1083" s="2" t="s">
        <v>120</v>
      </c>
      <c r="CF1083" s="3">
        <v>43080</v>
      </c>
      <c r="CI1083" s="2">
        <v>1</v>
      </c>
      <c r="CJ1083" s="2">
        <v>2</v>
      </c>
      <c r="CK1083" s="2">
        <v>21</v>
      </c>
      <c r="CL1083" s="2" t="s">
        <v>89</v>
      </c>
    </row>
    <row r="1084" spans="1:90">
      <c r="A1084" s="2" t="s">
        <v>71</v>
      </c>
      <c r="B1084" s="2" t="s">
        <v>72</v>
      </c>
      <c r="C1084" s="2" t="s">
        <v>73</v>
      </c>
      <c r="E1084" s="2" t="str">
        <f>"FES1162594213"</f>
        <v>FES1162594213</v>
      </c>
      <c r="F1084" s="3">
        <v>43075</v>
      </c>
      <c r="G1084" s="2">
        <v>201806</v>
      </c>
      <c r="H1084" s="2" t="s">
        <v>74</v>
      </c>
      <c r="I1084" s="2" t="s">
        <v>75</v>
      </c>
      <c r="J1084" s="2" t="s">
        <v>97</v>
      </c>
      <c r="K1084" s="2" t="s">
        <v>77</v>
      </c>
      <c r="L1084" s="2" t="s">
        <v>158</v>
      </c>
      <c r="M1084" s="2" t="s">
        <v>159</v>
      </c>
      <c r="N1084" s="2" t="s">
        <v>588</v>
      </c>
      <c r="O1084" s="2" t="s">
        <v>101</v>
      </c>
      <c r="P1084" s="2" t="str">
        <f>"2170604196                    "</f>
        <v xml:space="preserve">2170604196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6.43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1</v>
      </c>
      <c r="BJ1084" s="2">
        <v>0.2</v>
      </c>
      <c r="BK1084" s="2">
        <v>1</v>
      </c>
      <c r="BL1084" s="2">
        <v>45.93</v>
      </c>
      <c r="BM1084" s="2">
        <v>6.43</v>
      </c>
      <c r="BN1084" s="2">
        <v>52.36</v>
      </c>
      <c r="BO1084" s="2">
        <v>52.36</v>
      </c>
      <c r="BQ1084" s="2" t="s">
        <v>102</v>
      </c>
      <c r="BR1084" s="2" t="s">
        <v>103</v>
      </c>
      <c r="BS1084" s="3">
        <v>43076</v>
      </c>
      <c r="BT1084" s="4">
        <v>0.51041666666666663</v>
      </c>
      <c r="BU1084" s="2" t="s">
        <v>1606</v>
      </c>
      <c r="BV1084" s="2" t="s">
        <v>85</v>
      </c>
      <c r="BY1084" s="2">
        <v>1200</v>
      </c>
      <c r="CA1084" s="2" t="s">
        <v>590</v>
      </c>
      <c r="CC1084" s="2" t="s">
        <v>159</v>
      </c>
      <c r="CD1084" s="2">
        <v>40</v>
      </c>
      <c r="CE1084" s="2" t="s">
        <v>120</v>
      </c>
      <c r="CF1084" s="3">
        <v>43080</v>
      </c>
      <c r="CI1084" s="2">
        <v>1</v>
      </c>
      <c r="CJ1084" s="2">
        <v>1</v>
      </c>
      <c r="CK1084" s="2">
        <v>21</v>
      </c>
      <c r="CL1084" s="2" t="s">
        <v>89</v>
      </c>
    </row>
    <row r="1085" spans="1:90">
      <c r="A1085" s="2" t="s">
        <v>71</v>
      </c>
      <c r="B1085" s="2" t="s">
        <v>72</v>
      </c>
      <c r="C1085" s="2" t="s">
        <v>73</v>
      </c>
      <c r="E1085" s="2" t="str">
        <f>"FES1162594228"</f>
        <v>FES1162594228</v>
      </c>
      <c r="F1085" s="3">
        <v>43075</v>
      </c>
      <c r="G1085" s="2">
        <v>201806</v>
      </c>
      <c r="H1085" s="2" t="s">
        <v>74</v>
      </c>
      <c r="I1085" s="2" t="s">
        <v>75</v>
      </c>
      <c r="J1085" s="2" t="s">
        <v>97</v>
      </c>
      <c r="K1085" s="2" t="s">
        <v>77</v>
      </c>
      <c r="L1085" s="2" t="s">
        <v>158</v>
      </c>
      <c r="M1085" s="2" t="s">
        <v>159</v>
      </c>
      <c r="N1085" s="2" t="s">
        <v>588</v>
      </c>
      <c r="O1085" s="2" t="s">
        <v>101</v>
      </c>
      <c r="P1085" s="2" t="str">
        <f>"2170604702                    "</f>
        <v xml:space="preserve">2170604702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6.43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</v>
      </c>
      <c r="BJ1085" s="2">
        <v>0.2</v>
      </c>
      <c r="BK1085" s="2">
        <v>1</v>
      </c>
      <c r="BL1085" s="2">
        <v>45.93</v>
      </c>
      <c r="BM1085" s="2">
        <v>6.43</v>
      </c>
      <c r="BN1085" s="2">
        <v>52.36</v>
      </c>
      <c r="BO1085" s="2">
        <v>52.36</v>
      </c>
      <c r="BQ1085" s="2" t="s">
        <v>102</v>
      </c>
      <c r="BR1085" s="2" t="s">
        <v>103</v>
      </c>
      <c r="BS1085" s="3">
        <v>43076</v>
      </c>
      <c r="BT1085" s="4">
        <v>0.50972222222222219</v>
      </c>
      <c r="BU1085" s="2" t="s">
        <v>1606</v>
      </c>
      <c r="BV1085" s="2" t="s">
        <v>85</v>
      </c>
      <c r="BY1085" s="2">
        <v>1200</v>
      </c>
      <c r="CA1085" s="2" t="s">
        <v>590</v>
      </c>
      <c r="CC1085" s="2" t="s">
        <v>159</v>
      </c>
      <c r="CD1085" s="2">
        <v>40</v>
      </c>
      <c r="CE1085" s="2" t="s">
        <v>120</v>
      </c>
      <c r="CF1085" s="3">
        <v>43080</v>
      </c>
      <c r="CI1085" s="2">
        <v>1</v>
      </c>
      <c r="CJ1085" s="2">
        <v>1</v>
      </c>
      <c r="CK1085" s="2">
        <v>21</v>
      </c>
      <c r="CL1085" s="2" t="s">
        <v>89</v>
      </c>
    </row>
    <row r="1086" spans="1:90">
      <c r="A1086" s="2" t="s">
        <v>71</v>
      </c>
      <c r="B1086" s="2" t="s">
        <v>72</v>
      </c>
      <c r="C1086" s="2" t="s">
        <v>73</v>
      </c>
      <c r="E1086" s="2" t="str">
        <f>"FES1162594306"</f>
        <v>FES1162594306</v>
      </c>
      <c r="F1086" s="3">
        <v>43075</v>
      </c>
      <c r="G1086" s="2">
        <v>201806</v>
      </c>
      <c r="H1086" s="2" t="s">
        <v>74</v>
      </c>
      <c r="I1086" s="2" t="s">
        <v>75</v>
      </c>
      <c r="J1086" s="2" t="s">
        <v>97</v>
      </c>
      <c r="K1086" s="2" t="s">
        <v>77</v>
      </c>
      <c r="L1086" s="2" t="s">
        <v>98</v>
      </c>
      <c r="M1086" s="2" t="s">
        <v>99</v>
      </c>
      <c r="N1086" s="2" t="s">
        <v>670</v>
      </c>
      <c r="O1086" s="2" t="s">
        <v>101</v>
      </c>
      <c r="P1086" s="2" t="str">
        <f>"2170604079                    "</f>
        <v xml:space="preserve">2170604079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6.43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</v>
      </c>
      <c r="BJ1086" s="2">
        <v>0.2</v>
      </c>
      <c r="BK1086" s="2">
        <v>1</v>
      </c>
      <c r="BL1086" s="2">
        <v>45.93</v>
      </c>
      <c r="BM1086" s="2">
        <v>6.43</v>
      </c>
      <c r="BN1086" s="2">
        <v>52.36</v>
      </c>
      <c r="BO1086" s="2">
        <v>52.36</v>
      </c>
      <c r="BQ1086" s="2" t="s">
        <v>102</v>
      </c>
      <c r="BR1086" s="2" t="s">
        <v>103</v>
      </c>
      <c r="BS1086" s="3">
        <v>43076</v>
      </c>
      <c r="BT1086" s="4">
        <v>0.66736111111111107</v>
      </c>
      <c r="BU1086" s="2" t="s">
        <v>1425</v>
      </c>
      <c r="BV1086" s="2" t="s">
        <v>89</v>
      </c>
      <c r="BY1086" s="2">
        <v>1200</v>
      </c>
      <c r="CA1086" s="2" t="s">
        <v>1426</v>
      </c>
      <c r="CC1086" s="2" t="s">
        <v>99</v>
      </c>
      <c r="CD1086" s="2">
        <v>3200</v>
      </c>
      <c r="CE1086" s="2" t="s">
        <v>120</v>
      </c>
      <c r="CF1086" s="3">
        <v>43080</v>
      </c>
      <c r="CI1086" s="2">
        <v>1</v>
      </c>
      <c r="CJ1086" s="2">
        <v>1</v>
      </c>
      <c r="CK1086" s="2">
        <v>21</v>
      </c>
      <c r="CL1086" s="2" t="s">
        <v>89</v>
      </c>
    </row>
    <row r="1087" spans="1:90">
      <c r="A1087" s="2" t="s">
        <v>71</v>
      </c>
      <c r="B1087" s="2" t="s">
        <v>72</v>
      </c>
      <c r="C1087" s="2" t="s">
        <v>73</v>
      </c>
      <c r="E1087" s="2" t="str">
        <f>"FES1162593290"</f>
        <v>FES1162593290</v>
      </c>
      <c r="F1087" s="3">
        <v>43075</v>
      </c>
      <c r="G1087" s="2">
        <v>201806</v>
      </c>
      <c r="H1087" s="2" t="s">
        <v>74</v>
      </c>
      <c r="I1087" s="2" t="s">
        <v>75</v>
      </c>
      <c r="J1087" s="2" t="s">
        <v>97</v>
      </c>
      <c r="K1087" s="2" t="s">
        <v>77</v>
      </c>
      <c r="L1087" s="2" t="s">
        <v>115</v>
      </c>
      <c r="M1087" s="2" t="s">
        <v>116</v>
      </c>
      <c r="N1087" s="2" t="s">
        <v>1612</v>
      </c>
      <c r="O1087" s="2" t="s">
        <v>101</v>
      </c>
      <c r="P1087" s="2" t="str">
        <f>"2170604590                    "</f>
        <v xml:space="preserve">2170604590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5.03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35.89</v>
      </c>
      <c r="BM1087" s="2">
        <v>5.0199999999999996</v>
      </c>
      <c r="BN1087" s="2">
        <v>40.909999999999997</v>
      </c>
      <c r="BO1087" s="2">
        <v>40.909999999999997</v>
      </c>
      <c r="BR1087" s="2" t="s">
        <v>103</v>
      </c>
      <c r="BS1087" s="3">
        <v>43077</v>
      </c>
      <c r="BT1087" s="4">
        <v>0.41666666666666669</v>
      </c>
      <c r="BU1087" s="2" t="s">
        <v>1617</v>
      </c>
      <c r="BV1087" s="2" t="s">
        <v>89</v>
      </c>
      <c r="BW1087" s="2" t="s">
        <v>1517</v>
      </c>
      <c r="BX1087" s="2" t="s">
        <v>438</v>
      </c>
      <c r="BY1087" s="2">
        <v>1200</v>
      </c>
      <c r="CA1087" s="2" t="s">
        <v>1050</v>
      </c>
      <c r="CC1087" s="2" t="s">
        <v>116</v>
      </c>
      <c r="CD1087" s="2">
        <v>1460</v>
      </c>
      <c r="CE1087" s="2" t="s">
        <v>120</v>
      </c>
      <c r="CF1087" s="3">
        <v>43089</v>
      </c>
      <c r="CI1087" s="2">
        <v>1</v>
      </c>
      <c r="CJ1087" s="2">
        <v>2</v>
      </c>
      <c r="CK1087" s="2">
        <v>22</v>
      </c>
      <c r="CL1087" s="2" t="s">
        <v>89</v>
      </c>
    </row>
    <row r="1088" spans="1:90">
      <c r="A1088" s="2" t="s">
        <v>71</v>
      </c>
      <c r="B1088" s="2" t="s">
        <v>72</v>
      </c>
      <c r="C1088" s="2" t="s">
        <v>73</v>
      </c>
      <c r="E1088" s="2" t="str">
        <f>"FES1162594444"</f>
        <v>FES1162594444</v>
      </c>
      <c r="F1088" s="3">
        <v>43075</v>
      </c>
      <c r="G1088" s="2">
        <v>201806</v>
      </c>
      <c r="H1088" s="2" t="s">
        <v>74</v>
      </c>
      <c r="I1088" s="2" t="s">
        <v>75</v>
      </c>
      <c r="J1088" s="2" t="s">
        <v>97</v>
      </c>
      <c r="K1088" s="2" t="s">
        <v>77</v>
      </c>
      <c r="L1088" s="2" t="s">
        <v>125</v>
      </c>
      <c r="M1088" s="2" t="s">
        <v>126</v>
      </c>
      <c r="N1088" s="2" t="s">
        <v>1618</v>
      </c>
      <c r="O1088" s="2" t="s">
        <v>101</v>
      </c>
      <c r="P1088" s="2" t="str">
        <f>"2170606290                    "</f>
        <v xml:space="preserve">2170606290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6.43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0.2</v>
      </c>
      <c r="BK1088" s="2">
        <v>1</v>
      </c>
      <c r="BL1088" s="2">
        <v>45.93</v>
      </c>
      <c r="BM1088" s="2">
        <v>6.43</v>
      </c>
      <c r="BN1088" s="2">
        <v>52.36</v>
      </c>
      <c r="BO1088" s="2">
        <v>52.36</v>
      </c>
      <c r="BQ1088" s="2" t="s">
        <v>82</v>
      </c>
      <c r="BR1088" s="2" t="s">
        <v>103</v>
      </c>
      <c r="BS1088" s="3">
        <v>43077</v>
      </c>
      <c r="BT1088" s="4">
        <v>0.4201388888888889</v>
      </c>
      <c r="BU1088" s="2" t="s">
        <v>1619</v>
      </c>
      <c r="BV1088" s="2" t="s">
        <v>89</v>
      </c>
      <c r="BW1088" s="2" t="s">
        <v>149</v>
      </c>
      <c r="BX1088" s="2" t="s">
        <v>1620</v>
      </c>
      <c r="BY1088" s="2">
        <v>1200</v>
      </c>
      <c r="CC1088" s="2" t="s">
        <v>126</v>
      </c>
      <c r="CD1088" s="2">
        <v>4052</v>
      </c>
      <c r="CE1088" s="2" t="s">
        <v>120</v>
      </c>
      <c r="CF1088" s="3">
        <v>43080</v>
      </c>
      <c r="CI1088" s="2">
        <v>1</v>
      </c>
      <c r="CJ1088" s="2">
        <v>2</v>
      </c>
      <c r="CK1088" s="2">
        <v>21</v>
      </c>
      <c r="CL1088" s="2" t="s">
        <v>89</v>
      </c>
    </row>
    <row r="1089" spans="1:90">
      <c r="A1089" s="2" t="s">
        <v>71</v>
      </c>
      <c r="B1089" s="2" t="s">
        <v>72</v>
      </c>
      <c r="C1089" s="2" t="s">
        <v>73</v>
      </c>
      <c r="E1089" s="2" t="str">
        <f>"FES1162593362"</f>
        <v>FES1162593362</v>
      </c>
      <c r="F1089" s="3">
        <v>43075</v>
      </c>
      <c r="G1089" s="2">
        <v>201806</v>
      </c>
      <c r="H1089" s="2" t="s">
        <v>74</v>
      </c>
      <c r="I1089" s="2" t="s">
        <v>75</v>
      </c>
      <c r="J1089" s="2" t="s">
        <v>97</v>
      </c>
      <c r="K1089" s="2" t="s">
        <v>77</v>
      </c>
      <c r="L1089" s="2" t="s">
        <v>136</v>
      </c>
      <c r="M1089" s="2" t="s">
        <v>137</v>
      </c>
      <c r="N1089" s="2" t="s">
        <v>178</v>
      </c>
      <c r="O1089" s="2" t="s">
        <v>101</v>
      </c>
      <c r="P1089" s="2" t="str">
        <f>"21706020604                   "</f>
        <v xml:space="preserve">21706020604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6.43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1</v>
      </c>
      <c r="BJ1089" s="2">
        <v>0.2</v>
      </c>
      <c r="BK1089" s="2">
        <v>1</v>
      </c>
      <c r="BL1089" s="2">
        <v>45.93</v>
      </c>
      <c r="BM1089" s="2">
        <v>6.43</v>
      </c>
      <c r="BN1089" s="2">
        <v>52.36</v>
      </c>
      <c r="BO1089" s="2">
        <v>52.36</v>
      </c>
      <c r="BQ1089" s="2" t="s">
        <v>102</v>
      </c>
      <c r="BR1089" s="2" t="s">
        <v>103</v>
      </c>
      <c r="BS1089" s="3">
        <v>43076</v>
      </c>
      <c r="BT1089" s="4">
        <v>0.4375</v>
      </c>
      <c r="BU1089" s="2" t="s">
        <v>179</v>
      </c>
      <c r="BV1089" s="2" t="s">
        <v>85</v>
      </c>
      <c r="BY1089" s="2">
        <v>1200</v>
      </c>
      <c r="CA1089" s="2" t="s">
        <v>180</v>
      </c>
      <c r="CC1089" s="2" t="s">
        <v>137</v>
      </c>
      <c r="CD1089" s="2">
        <v>6001</v>
      </c>
      <c r="CE1089" s="2" t="s">
        <v>120</v>
      </c>
      <c r="CF1089" s="3">
        <v>43080</v>
      </c>
      <c r="CI1089" s="2">
        <v>1</v>
      </c>
      <c r="CJ1089" s="2">
        <v>1</v>
      </c>
      <c r="CK1089" s="2">
        <v>21</v>
      </c>
      <c r="CL1089" s="2" t="s">
        <v>89</v>
      </c>
    </row>
    <row r="1090" spans="1:90">
      <c r="A1090" s="2" t="s">
        <v>71</v>
      </c>
      <c r="B1090" s="2" t="s">
        <v>72</v>
      </c>
      <c r="C1090" s="2" t="s">
        <v>73</v>
      </c>
      <c r="E1090" s="2" t="str">
        <f>"FES1162594512"</f>
        <v>FES1162594512</v>
      </c>
      <c r="F1090" s="3">
        <v>43075</v>
      </c>
      <c r="G1090" s="2">
        <v>201806</v>
      </c>
      <c r="H1090" s="2" t="s">
        <v>74</v>
      </c>
      <c r="I1090" s="2" t="s">
        <v>75</v>
      </c>
      <c r="J1090" s="2" t="s">
        <v>97</v>
      </c>
      <c r="K1090" s="2" t="s">
        <v>77</v>
      </c>
      <c r="L1090" s="2" t="s">
        <v>173</v>
      </c>
      <c r="M1090" s="2" t="s">
        <v>174</v>
      </c>
      <c r="N1090" s="2" t="s">
        <v>323</v>
      </c>
      <c r="O1090" s="2" t="s">
        <v>101</v>
      </c>
      <c r="P1090" s="2" t="str">
        <f>"2170606377                    "</f>
        <v xml:space="preserve">2170606377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6.43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1</v>
      </c>
      <c r="BJ1090" s="2">
        <v>0.2</v>
      </c>
      <c r="BK1090" s="2">
        <v>1</v>
      </c>
      <c r="BL1090" s="2">
        <v>45.93</v>
      </c>
      <c r="BM1090" s="2">
        <v>6.43</v>
      </c>
      <c r="BN1090" s="2">
        <v>52.36</v>
      </c>
      <c r="BO1090" s="2">
        <v>52.36</v>
      </c>
      <c r="BQ1090" s="2" t="s">
        <v>82</v>
      </c>
      <c r="BR1090" s="2" t="s">
        <v>103</v>
      </c>
      <c r="BS1090" s="3">
        <v>43077</v>
      </c>
      <c r="BT1090" s="4">
        <v>0.44861111111111113</v>
      </c>
      <c r="BU1090" s="2" t="s">
        <v>324</v>
      </c>
      <c r="BV1090" s="2" t="s">
        <v>89</v>
      </c>
      <c r="BW1090" s="2" t="s">
        <v>149</v>
      </c>
      <c r="BX1090" s="2" t="s">
        <v>368</v>
      </c>
      <c r="BY1090" s="2">
        <v>1200</v>
      </c>
      <c r="CA1090" s="2" t="s">
        <v>177</v>
      </c>
      <c r="CC1090" s="2" t="s">
        <v>174</v>
      </c>
      <c r="CD1090" s="2">
        <v>7405</v>
      </c>
      <c r="CE1090" s="2" t="s">
        <v>120</v>
      </c>
      <c r="CF1090" s="3">
        <v>43080</v>
      </c>
      <c r="CI1090" s="2">
        <v>1</v>
      </c>
      <c r="CJ1090" s="2">
        <v>2</v>
      </c>
      <c r="CK1090" s="2">
        <v>21</v>
      </c>
      <c r="CL1090" s="2" t="s">
        <v>89</v>
      </c>
    </row>
    <row r="1091" spans="1:90">
      <c r="A1091" s="2" t="s">
        <v>71</v>
      </c>
      <c r="B1091" s="2" t="s">
        <v>72</v>
      </c>
      <c r="C1091" s="2" t="s">
        <v>73</v>
      </c>
      <c r="E1091" s="2" t="str">
        <f>"FES1162594223"</f>
        <v>FES1162594223</v>
      </c>
      <c r="F1091" s="3">
        <v>43075</v>
      </c>
      <c r="G1091" s="2">
        <v>201806</v>
      </c>
      <c r="H1091" s="2" t="s">
        <v>74</v>
      </c>
      <c r="I1091" s="2" t="s">
        <v>75</v>
      </c>
      <c r="J1091" s="2" t="s">
        <v>97</v>
      </c>
      <c r="K1091" s="2" t="s">
        <v>77</v>
      </c>
      <c r="L1091" s="2" t="s">
        <v>115</v>
      </c>
      <c r="M1091" s="2" t="s">
        <v>116</v>
      </c>
      <c r="N1091" s="2" t="s">
        <v>1612</v>
      </c>
      <c r="O1091" s="2" t="s">
        <v>101</v>
      </c>
      <c r="P1091" s="2" t="str">
        <f>"2170604590                    "</f>
        <v xml:space="preserve">2170604590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5.03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6.2</v>
      </c>
      <c r="BJ1091" s="2">
        <v>3.4</v>
      </c>
      <c r="BK1091" s="2">
        <v>7</v>
      </c>
      <c r="BL1091" s="2">
        <v>35.89</v>
      </c>
      <c r="BM1091" s="2">
        <v>5.0199999999999996</v>
      </c>
      <c r="BN1091" s="2">
        <v>40.909999999999997</v>
      </c>
      <c r="BO1091" s="2">
        <v>40.909999999999997</v>
      </c>
      <c r="BR1091" s="2" t="s">
        <v>103</v>
      </c>
      <c r="BS1091" s="3">
        <v>43077</v>
      </c>
      <c r="BT1091" s="4">
        <v>0.4458333333333333</v>
      </c>
      <c r="BU1091" s="2" t="s">
        <v>1621</v>
      </c>
      <c r="BV1091" s="2" t="s">
        <v>89</v>
      </c>
      <c r="BY1091" s="2">
        <v>16757.38</v>
      </c>
      <c r="CA1091" s="2" t="s">
        <v>1050</v>
      </c>
      <c r="CC1091" s="2" t="s">
        <v>116</v>
      </c>
      <c r="CD1091" s="2">
        <v>1460</v>
      </c>
      <c r="CE1091" s="2" t="s">
        <v>95</v>
      </c>
      <c r="CI1091" s="2">
        <v>1</v>
      </c>
      <c r="CJ1091" s="2">
        <v>2</v>
      </c>
      <c r="CK1091" s="2">
        <v>22</v>
      </c>
      <c r="CL1091" s="2" t="s">
        <v>89</v>
      </c>
    </row>
    <row r="1092" spans="1:90">
      <c r="A1092" s="2" t="s">
        <v>71</v>
      </c>
      <c r="B1092" s="2" t="s">
        <v>72</v>
      </c>
      <c r="C1092" s="2" t="s">
        <v>73</v>
      </c>
      <c r="E1092" s="2" t="str">
        <f>"FES1162594505"</f>
        <v>FES1162594505</v>
      </c>
      <c r="F1092" s="3">
        <v>43075</v>
      </c>
      <c r="G1092" s="2">
        <v>201806</v>
      </c>
      <c r="H1092" s="2" t="s">
        <v>74</v>
      </c>
      <c r="I1092" s="2" t="s">
        <v>75</v>
      </c>
      <c r="J1092" s="2" t="s">
        <v>97</v>
      </c>
      <c r="K1092" s="2" t="s">
        <v>77</v>
      </c>
      <c r="L1092" s="2" t="s">
        <v>173</v>
      </c>
      <c r="M1092" s="2" t="s">
        <v>174</v>
      </c>
      <c r="N1092" s="2" t="s">
        <v>1622</v>
      </c>
      <c r="O1092" s="2" t="s">
        <v>101</v>
      </c>
      <c r="P1092" s="2" t="str">
        <f>"2170606370                    "</f>
        <v xml:space="preserve">2170606370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9.65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2.7</v>
      </c>
      <c r="BJ1092" s="2">
        <v>1.4</v>
      </c>
      <c r="BK1092" s="2">
        <v>3</v>
      </c>
      <c r="BL1092" s="2">
        <v>68.89</v>
      </c>
      <c r="BM1092" s="2">
        <v>9.64</v>
      </c>
      <c r="BN1092" s="2">
        <v>78.53</v>
      </c>
      <c r="BO1092" s="2">
        <v>78.53</v>
      </c>
      <c r="BR1092" s="2" t="s">
        <v>103</v>
      </c>
      <c r="BS1092" s="3">
        <v>43076</v>
      </c>
      <c r="BT1092" s="4">
        <v>0.40486111111111112</v>
      </c>
      <c r="BU1092" s="2" t="s">
        <v>1623</v>
      </c>
      <c r="BV1092" s="2" t="s">
        <v>85</v>
      </c>
      <c r="BY1092" s="2">
        <v>7032.27</v>
      </c>
      <c r="CA1092" s="2" t="s">
        <v>234</v>
      </c>
      <c r="CC1092" s="2" t="s">
        <v>174</v>
      </c>
      <c r="CD1092" s="2">
        <v>7530</v>
      </c>
      <c r="CE1092" s="2" t="s">
        <v>95</v>
      </c>
      <c r="CF1092" s="3">
        <v>43076</v>
      </c>
      <c r="CI1092" s="2">
        <v>1</v>
      </c>
      <c r="CJ1092" s="2">
        <v>1</v>
      </c>
      <c r="CK1092" s="2">
        <v>21</v>
      </c>
      <c r="CL1092" s="2" t="s">
        <v>89</v>
      </c>
    </row>
    <row r="1093" spans="1:90">
      <c r="A1093" s="2" t="s">
        <v>71</v>
      </c>
      <c r="B1093" s="2" t="s">
        <v>72</v>
      </c>
      <c r="C1093" s="2" t="s">
        <v>73</v>
      </c>
      <c r="E1093" s="2" t="str">
        <f>"FES1162594314"</f>
        <v>FES1162594314</v>
      </c>
      <c r="F1093" s="3">
        <v>43075</v>
      </c>
      <c r="G1093" s="2">
        <v>201806</v>
      </c>
      <c r="H1093" s="2" t="s">
        <v>74</v>
      </c>
      <c r="I1093" s="2" t="s">
        <v>75</v>
      </c>
      <c r="J1093" s="2" t="s">
        <v>97</v>
      </c>
      <c r="K1093" s="2" t="s">
        <v>77</v>
      </c>
      <c r="L1093" s="2" t="s">
        <v>304</v>
      </c>
      <c r="M1093" s="2" t="s">
        <v>305</v>
      </c>
      <c r="N1093" s="2" t="s">
        <v>306</v>
      </c>
      <c r="O1093" s="2" t="s">
        <v>101</v>
      </c>
      <c r="P1093" s="2" t="str">
        <f>"2170590815                    "</f>
        <v xml:space="preserve">2170590815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9.0500000000000007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2</v>
      </c>
      <c r="BJ1093" s="2">
        <v>0.2</v>
      </c>
      <c r="BK1093" s="2">
        <v>2</v>
      </c>
      <c r="BL1093" s="2">
        <v>64.599999999999994</v>
      </c>
      <c r="BM1093" s="2">
        <v>9.0399999999999991</v>
      </c>
      <c r="BN1093" s="2">
        <v>73.64</v>
      </c>
      <c r="BO1093" s="2">
        <v>73.64</v>
      </c>
      <c r="BQ1093" s="2" t="s">
        <v>102</v>
      </c>
      <c r="BR1093" s="2" t="s">
        <v>103</v>
      </c>
      <c r="BS1093" s="3">
        <v>43082</v>
      </c>
      <c r="BT1093" s="4">
        <v>0.56944444444444442</v>
      </c>
      <c r="BU1093" s="2" t="s">
        <v>727</v>
      </c>
      <c r="BV1093" s="2" t="s">
        <v>89</v>
      </c>
      <c r="BW1093" s="2" t="s">
        <v>156</v>
      </c>
      <c r="BX1093" s="2" t="s">
        <v>668</v>
      </c>
      <c r="BY1093" s="2">
        <v>1200</v>
      </c>
      <c r="CC1093" s="2" t="s">
        <v>305</v>
      </c>
      <c r="CD1093" s="2">
        <v>1028</v>
      </c>
      <c r="CE1093" s="2" t="s">
        <v>120</v>
      </c>
      <c r="CF1093" s="3">
        <v>43084</v>
      </c>
      <c r="CI1093" s="2">
        <v>2</v>
      </c>
      <c r="CJ1093" s="2">
        <v>5</v>
      </c>
      <c r="CK1093" s="2">
        <v>24</v>
      </c>
      <c r="CL1093" s="2" t="s">
        <v>89</v>
      </c>
    </row>
    <row r="1094" spans="1:90">
      <c r="A1094" s="2" t="s">
        <v>71</v>
      </c>
      <c r="B1094" s="2" t="s">
        <v>72</v>
      </c>
      <c r="C1094" s="2" t="s">
        <v>73</v>
      </c>
      <c r="E1094" s="2" t="str">
        <f>"FES1162594497"</f>
        <v>FES1162594497</v>
      </c>
      <c r="F1094" s="3">
        <v>43075</v>
      </c>
      <c r="G1094" s="2">
        <v>201806</v>
      </c>
      <c r="H1094" s="2" t="s">
        <v>74</v>
      </c>
      <c r="I1094" s="2" t="s">
        <v>75</v>
      </c>
      <c r="J1094" s="2" t="s">
        <v>97</v>
      </c>
      <c r="K1094" s="2" t="s">
        <v>77</v>
      </c>
      <c r="L1094" s="2" t="s">
        <v>1624</v>
      </c>
      <c r="M1094" s="2" t="s">
        <v>1625</v>
      </c>
      <c r="N1094" s="2" t="s">
        <v>1626</v>
      </c>
      <c r="O1094" s="2" t="s">
        <v>101</v>
      </c>
      <c r="P1094" s="2" t="str">
        <f>"2170606347                    "</f>
        <v xml:space="preserve">2170606347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12.47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1</v>
      </c>
      <c r="BJ1094" s="2">
        <v>0.2</v>
      </c>
      <c r="BK1094" s="2">
        <v>1</v>
      </c>
      <c r="BL1094" s="2">
        <v>89</v>
      </c>
      <c r="BM1094" s="2">
        <v>12.46</v>
      </c>
      <c r="BN1094" s="2">
        <v>101.46</v>
      </c>
      <c r="BO1094" s="2">
        <v>101.46</v>
      </c>
      <c r="BQ1094" s="2" t="s">
        <v>102</v>
      </c>
      <c r="BR1094" s="2" t="s">
        <v>103</v>
      </c>
      <c r="BS1094" s="3">
        <v>43077</v>
      </c>
      <c r="BT1094" s="4">
        <v>0.5</v>
      </c>
      <c r="BU1094" s="2" t="s">
        <v>1444</v>
      </c>
      <c r="BV1094" s="2" t="s">
        <v>89</v>
      </c>
      <c r="BY1094" s="2">
        <v>1200</v>
      </c>
      <c r="CC1094" s="2" t="s">
        <v>1625</v>
      </c>
      <c r="CD1094" s="2">
        <v>4450</v>
      </c>
      <c r="CE1094" s="2" t="s">
        <v>120</v>
      </c>
      <c r="CF1094" s="3">
        <v>43080</v>
      </c>
      <c r="CI1094" s="2">
        <v>1</v>
      </c>
      <c r="CJ1094" s="2">
        <v>2</v>
      </c>
      <c r="CK1094" s="2">
        <v>23</v>
      </c>
      <c r="CL1094" s="2" t="s">
        <v>89</v>
      </c>
    </row>
    <row r="1095" spans="1:90">
      <c r="A1095" s="2" t="s">
        <v>71</v>
      </c>
      <c r="B1095" s="2" t="s">
        <v>72</v>
      </c>
      <c r="C1095" s="2" t="s">
        <v>73</v>
      </c>
      <c r="E1095" s="2" t="str">
        <f>"FES1162594185"</f>
        <v>FES1162594185</v>
      </c>
      <c r="F1095" s="3">
        <v>43075</v>
      </c>
      <c r="G1095" s="2">
        <v>201806</v>
      </c>
      <c r="H1095" s="2" t="s">
        <v>74</v>
      </c>
      <c r="I1095" s="2" t="s">
        <v>75</v>
      </c>
      <c r="J1095" s="2" t="s">
        <v>97</v>
      </c>
      <c r="K1095" s="2" t="s">
        <v>77</v>
      </c>
      <c r="L1095" s="2" t="s">
        <v>212</v>
      </c>
      <c r="M1095" s="2" t="s">
        <v>212</v>
      </c>
      <c r="N1095" s="2" t="s">
        <v>213</v>
      </c>
      <c r="O1095" s="2" t="s">
        <v>101</v>
      </c>
      <c r="P1095" s="2" t="str">
        <f>"2170603707                    "</f>
        <v xml:space="preserve">2170603707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11.26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2.2000000000000002</v>
      </c>
      <c r="BJ1095" s="2">
        <v>3.5</v>
      </c>
      <c r="BK1095" s="2">
        <v>3.5</v>
      </c>
      <c r="BL1095" s="2">
        <v>80.37</v>
      </c>
      <c r="BM1095" s="2">
        <v>11.25</v>
      </c>
      <c r="BN1095" s="2">
        <v>91.62</v>
      </c>
      <c r="BO1095" s="2">
        <v>91.62</v>
      </c>
      <c r="BQ1095" s="2" t="s">
        <v>102</v>
      </c>
      <c r="BR1095" s="2" t="s">
        <v>103</v>
      </c>
      <c r="BS1095" s="3">
        <v>43076</v>
      </c>
      <c r="BT1095" s="4">
        <v>0.64166666666666672</v>
      </c>
      <c r="BU1095" s="2" t="s">
        <v>1429</v>
      </c>
      <c r="BV1095" s="2" t="s">
        <v>89</v>
      </c>
      <c r="BW1095" s="2" t="s">
        <v>149</v>
      </c>
      <c r="BX1095" s="2" t="s">
        <v>1413</v>
      </c>
      <c r="BY1095" s="2">
        <v>17551.8</v>
      </c>
      <c r="CA1095" s="2" t="s">
        <v>532</v>
      </c>
      <c r="CC1095" s="2" t="s">
        <v>212</v>
      </c>
      <c r="CD1095" s="2">
        <v>7646</v>
      </c>
      <c r="CE1095" s="2" t="s">
        <v>95</v>
      </c>
      <c r="CF1095" s="3">
        <v>43076</v>
      </c>
      <c r="CI1095" s="2">
        <v>1</v>
      </c>
      <c r="CJ1095" s="2">
        <v>1</v>
      </c>
      <c r="CK1095" s="2">
        <v>21</v>
      </c>
      <c r="CL1095" s="2" t="s">
        <v>89</v>
      </c>
    </row>
    <row r="1096" spans="1:90">
      <c r="A1096" s="2" t="s">
        <v>71</v>
      </c>
      <c r="B1096" s="2" t="s">
        <v>72</v>
      </c>
      <c r="C1096" s="2" t="s">
        <v>73</v>
      </c>
      <c r="E1096" s="2" t="str">
        <f>"FES1162594131"</f>
        <v>FES1162594131</v>
      </c>
      <c r="F1096" s="3">
        <v>43075</v>
      </c>
      <c r="G1096" s="2">
        <v>201806</v>
      </c>
      <c r="H1096" s="2" t="s">
        <v>74</v>
      </c>
      <c r="I1096" s="2" t="s">
        <v>75</v>
      </c>
      <c r="J1096" s="2" t="s">
        <v>97</v>
      </c>
      <c r="K1096" s="2" t="s">
        <v>77</v>
      </c>
      <c r="L1096" s="2" t="s">
        <v>168</v>
      </c>
      <c r="M1096" s="2" t="s">
        <v>169</v>
      </c>
      <c r="N1096" s="2" t="s">
        <v>217</v>
      </c>
      <c r="O1096" s="2" t="s">
        <v>101</v>
      </c>
      <c r="P1096" s="2" t="str">
        <f>"2170602233                    "</f>
        <v xml:space="preserve">2170602233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6.43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0.9</v>
      </c>
      <c r="BJ1096" s="2">
        <v>1.8</v>
      </c>
      <c r="BK1096" s="2">
        <v>2</v>
      </c>
      <c r="BL1096" s="2">
        <v>45.93</v>
      </c>
      <c r="BM1096" s="2">
        <v>6.43</v>
      </c>
      <c r="BN1096" s="2">
        <v>52.36</v>
      </c>
      <c r="BO1096" s="2">
        <v>52.36</v>
      </c>
      <c r="BQ1096" s="2" t="s">
        <v>102</v>
      </c>
      <c r="BR1096" s="2" t="s">
        <v>103</v>
      </c>
      <c r="BS1096" s="3">
        <v>43076</v>
      </c>
      <c r="BT1096" s="4">
        <v>0.40208333333333335</v>
      </c>
      <c r="BU1096" s="2" t="s">
        <v>1585</v>
      </c>
      <c r="BV1096" s="2" t="s">
        <v>85</v>
      </c>
      <c r="BY1096" s="2">
        <v>8880.26</v>
      </c>
      <c r="CA1096" s="2" t="s">
        <v>1235</v>
      </c>
      <c r="CC1096" s="2" t="s">
        <v>169</v>
      </c>
      <c r="CD1096" s="2">
        <v>3620</v>
      </c>
      <c r="CE1096" s="2" t="s">
        <v>120</v>
      </c>
      <c r="CF1096" s="3">
        <v>43080</v>
      </c>
      <c r="CI1096" s="2">
        <v>1</v>
      </c>
      <c r="CJ1096" s="2">
        <v>1</v>
      </c>
      <c r="CK1096" s="2">
        <v>21</v>
      </c>
      <c r="CL1096" s="2" t="s">
        <v>89</v>
      </c>
    </row>
    <row r="1097" spans="1:90">
      <c r="A1097" s="2" t="s">
        <v>71</v>
      </c>
      <c r="B1097" s="2" t="s">
        <v>72</v>
      </c>
      <c r="C1097" s="2" t="s">
        <v>73</v>
      </c>
      <c r="E1097" s="2" t="str">
        <f>"FES1162594569"</f>
        <v>FES1162594569</v>
      </c>
      <c r="F1097" s="3">
        <v>43075</v>
      </c>
      <c r="G1097" s="2">
        <v>201806</v>
      </c>
      <c r="H1097" s="2" t="s">
        <v>74</v>
      </c>
      <c r="I1097" s="2" t="s">
        <v>75</v>
      </c>
      <c r="J1097" s="2" t="s">
        <v>97</v>
      </c>
      <c r="K1097" s="2" t="s">
        <v>77</v>
      </c>
      <c r="L1097" s="2" t="s">
        <v>173</v>
      </c>
      <c r="M1097" s="2" t="s">
        <v>174</v>
      </c>
      <c r="N1097" s="2" t="s">
        <v>175</v>
      </c>
      <c r="O1097" s="2" t="s">
        <v>101</v>
      </c>
      <c r="P1097" s="2" t="str">
        <f>"2170606439                    "</f>
        <v xml:space="preserve">2170606439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6.43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1</v>
      </c>
      <c r="BJ1097" s="2">
        <v>0.2</v>
      </c>
      <c r="BK1097" s="2">
        <v>1</v>
      </c>
      <c r="BL1097" s="2">
        <v>45.93</v>
      </c>
      <c r="BM1097" s="2">
        <v>6.43</v>
      </c>
      <c r="BN1097" s="2">
        <v>52.36</v>
      </c>
      <c r="BO1097" s="2">
        <v>52.36</v>
      </c>
      <c r="BQ1097" s="2" t="s">
        <v>102</v>
      </c>
      <c r="BR1097" s="2" t="s">
        <v>103</v>
      </c>
      <c r="BS1097" s="3">
        <v>43076</v>
      </c>
      <c r="BT1097" s="4">
        <v>0.49513888888888885</v>
      </c>
      <c r="BU1097" s="2" t="s">
        <v>176</v>
      </c>
      <c r="BV1097" s="2" t="s">
        <v>89</v>
      </c>
      <c r="BW1097" s="2" t="s">
        <v>149</v>
      </c>
      <c r="BX1097" s="2" t="s">
        <v>368</v>
      </c>
      <c r="BY1097" s="2">
        <v>1200</v>
      </c>
      <c r="CA1097" s="2" t="s">
        <v>177</v>
      </c>
      <c r="CC1097" s="2" t="s">
        <v>174</v>
      </c>
      <c r="CD1097" s="2">
        <v>7405</v>
      </c>
      <c r="CE1097" s="2" t="s">
        <v>120</v>
      </c>
      <c r="CF1097" s="3">
        <v>43077</v>
      </c>
      <c r="CI1097" s="2">
        <v>1</v>
      </c>
      <c r="CJ1097" s="2">
        <v>1</v>
      </c>
      <c r="CK1097" s="2">
        <v>21</v>
      </c>
      <c r="CL1097" s="2" t="s">
        <v>89</v>
      </c>
    </row>
    <row r="1098" spans="1:90">
      <c r="A1098" s="2" t="s">
        <v>71</v>
      </c>
      <c r="B1098" s="2" t="s">
        <v>72</v>
      </c>
      <c r="C1098" s="2" t="s">
        <v>73</v>
      </c>
      <c r="E1098" s="2" t="str">
        <f>"FES1162594245"</f>
        <v>FES1162594245</v>
      </c>
      <c r="F1098" s="3">
        <v>43075</v>
      </c>
      <c r="G1098" s="2">
        <v>201806</v>
      </c>
      <c r="H1098" s="2" t="s">
        <v>74</v>
      </c>
      <c r="I1098" s="2" t="s">
        <v>75</v>
      </c>
      <c r="J1098" s="2" t="s">
        <v>97</v>
      </c>
      <c r="K1098" s="2" t="s">
        <v>77</v>
      </c>
      <c r="L1098" s="2" t="s">
        <v>90</v>
      </c>
      <c r="M1098" s="2" t="s">
        <v>91</v>
      </c>
      <c r="N1098" s="2" t="s">
        <v>899</v>
      </c>
      <c r="O1098" s="2" t="s">
        <v>101</v>
      </c>
      <c r="P1098" s="2" t="str">
        <f>"2170605395                    "</f>
        <v xml:space="preserve">2170605395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5.03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35.89</v>
      </c>
      <c r="BM1098" s="2">
        <v>5.0199999999999996</v>
      </c>
      <c r="BN1098" s="2">
        <v>40.909999999999997</v>
      </c>
      <c r="BO1098" s="2">
        <v>40.909999999999997</v>
      </c>
      <c r="BQ1098" s="2" t="s">
        <v>102</v>
      </c>
      <c r="BR1098" s="2" t="s">
        <v>103</v>
      </c>
      <c r="BS1098" s="3">
        <v>43076</v>
      </c>
      <c r="BT1098" s="4">
        <v>0.41666666666666669</v>
      </c>
      <c r="BU1098" s="2" t="s">
        <v>1180</v>
      </c>
      <c r="BV1098" s="2" t="s">
        <v>85</v>
      </c>
      <c r="BY1098" s="2">
        <v>1200</v>
      </c>
      <c r="CC1098" s="2" t="s">
        <v>91</v>
      </c>
      <c r="CD1098" s="2">
        <v>1510</v>
      </c>
      <c r="CE1098" s="2" t="s">
        <v>120</v>
      </c>
      <c r="CF1098" s="3">
        <v>43081</v>
      </c>
      <c r="CI1098" s="2">
        <v>1</v>
      </c>
      <c r="CJ1098" s="2">
        <v>1</v>
      </c>
      <c r="CK1098" s="2">
        <v>22</v>
      </c>
      <c r="CL1098" s="2" t="s">
        <v>89</v>
      </c>
    </row>
    <row r="1099" spans="1:90">
      <c r="A1099" s="2" t="s">
        <v>71</v>
      </c>
      <c r="B1099" s="2" t="s">
        <v>72</v>
      </c>
      <c r="C1099" s="2" t="s">
        <v>73</v>
      </c>
      <c r="E1099" s="2" t="str">
        <f>"FES1162594194"</f>
        <v>FES1162594194</v>
      </c>
      <c r="F1099" s="3">
        <v>43075</v>
      </c>
      <c r="G1099" s="2">
        <v>201806</v>
      </c>
      <c r="H1099" s="2" t="s">
        <v>74</v>
      </c>
      <c r="I1099" s="2" t="s">
        <v>75</v>
      </c>
      <c r="J1099" s="2" t="s">
        <v>97</v>
      </c>
      <c r="K1099" s="2" t="s">
        <v>77</v>
      </c>
      <c r="L1099" s="2" t="s">
        <v>547</v>
      </c>
      <c r="M1099" s="2" t="s">
        <v>548</v>
      </c>
      <c r="N1099" s="2" t="s">
        <v>1627</v>
      </c>
      <c r="O1099" s="2" t="s">
        <v>101</v>
      </c>
      <c r="P1099" s="2" t="str">
        <f>"2170603776 1                  "</f>
        <v xml:space="preserve">2170603776 1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5.03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35.89</v>
      </c>
      <c r="BM1099" s="2">
        <v>5.0199999999999996</v>
      </c>
      <c r="BN1099" s="2">
        <v>40.909999999999997</v>
      </c>
      <c r="BO1099" s="2">
        <v>40.909999999999997</v>
      </c>
      <c r="BQ1099" s="2" t="s">
        <v>102</v>
      </c>
      <c r="BR1099" s="2" t="s">
        <v>103</v>
      </c>
      <c r="BS1099" s="3">
        <v>43077</v>
      </c>
      <c r="BT1099" s="4">
        <v>0.4375</v>
      </c>
      <c r="BU1099" s="2" t="s">
        <v>1628</v>
      </c>
      <c r="BV1099" s="2" t="s">
        <v>89</v>
      </c>
      <c r="BW1099" s="2" t="s">
        <v>149</v>
      </c>
      <c r="BX1099" s="2" t="s">
        <v>456</v>
      </c>
      <c r="BY1099" s="2">
        <v>1200</v>
      </c>
      <c r="CC1099" s="2" t="s">
        <v>548</v>
      </c>
      <c r="CD1099" s="2">
        <v>1501</v>
      </c>
      <c r="CE1099" s="2" t="s">
        <v>120</v>
      </c>
      <c r="CF1099" s="3">
        <v>43081</v>
      </c>
      <c r="CI1099" s="2">
        <v>1</v>
      </c>
      <c r="CJ1099" s="2">
        <v>2</v>
      </c>
      <c r="CK1099" s="2">
        <v>22</v>
      </c>
      <c r="CL1099" s="2" t="s">
        <v>89</v>
      </c>
    </row>
    <row r="1100" spans="1:90">
      <c r="A1100" s="2" t="s">
        <v>71</v>
      </c>
      <c r="B1100" s="2" t="s">
        <v>72</v>
      </c>
      <c r="C1100" s="2" t="s">
        <v>73</v>
      </c>
      <c r="E1100" s="2" t="str">
        <f>"FES1162594274"</f>
        <v>FES1162594274</v>
      </c>
      <c r="F1100" s="3">
        <v>43075</v>
      </c>
      <c r="G1100" s="2">
        <v>201806</v>
      </c>
      <c r="H1100" s="2" t="s">
        <v>74</v>
      </c>
      <c r="I1100" s="2" t="s">
        <v>75</v>
      </c>
      <c r="J1100" s="2" t="s">
        <v>97</v>
      </c>
      <c r="K1100" s="2" t="s">
        <v>77</v>
      </c>
      <c r="L1100" s="2" t="s">
        <v>422</v>
      </c>
      <c r="M1100" s="2" t="s">
        <v>423</v>
      </c>
      <c r="N1100" s="2" t="s">
        <v>424</v>
      </c>
      <c r="O1100" s="2" t="s">
        <v>101</v>
      </c>
      <c r="P1100" s="2" t="str">
        <f>"2170605793                    "</f>
        <v xml:space="preserve">2170605793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5.03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35.89</v>
      </c>
      <c r="BM1100" s="2">
        <v>5.0199999999999996</v>
      </c>
      <c r="BN1100" s="2">
        <v>40.909999999999997</v>
      </c>
      <c r="BO1100" s="2">
        <v>40.909999999999997</v>
      </c>
      <c r="BQ1100" s="2" t="s">
        <v>102</v>
      </c>
      <c r="BR1100" s="2" t="s">
        <v>103</v>
      </c>
      <c r="BS1100" s="3">
        <v>43076</v>
      </c>
      <c r="BT1100" s="4">
        <v>0.42777777777777781</v>
      </c>
      <c r="BU1100" s="2" t="s">
        <v>1629</v>
      </c>
      <c r="BV1100" s="2" t="s">
        <v>85</v>
      </c>
      <c r="BY1100" s="2">
        <v>1200</v>
      </c>
      <c r="CA1100" s="2" t="s">
        <v>1630</v>
      </c>
      <c r="CC1100" s="2" t="s">
        <v>423</v>
      </c>
      <c r="CD1100" s="2">
        <v>1540</v>
      </c>
      <c r="CE1100" s="2" t="s">
        <v>120</v>
      </c>
      <c r="CF1100" s="3">
        <v>43080</v>
      </c>
      <c r="CI1100" s="2">
        <v>1</v>
      </c>
      <c r="CJ1100" s="2">
        <v>1</v>
      </c>
      <c r="CK1100" s="2">
        <v>22</v>
      </c>
      <c r="CL1100" s="2" t="s">
        <v>89</v>
      </c>
    </row>
    <row r="1101" spans="1:90">
      <c r="A1101" s="2" t="s">
        <v>71</v>
      </c>
      <c r="B1101" s="2" t="s">
        <v>72</v>
      </c>
      <c r="C1101" s="2" t="s">
        <v>73</v>
      </c>
      <c r="E1101" s="2" t="str">
        <f>"FES1162594291"</f>
        <v>FES1162594291</v>
      </c>
      <c r="F1101" s="3">
        <v>43075</v>
      </c>
      <c r="G1101" s="2">
        <v>201806</v>
      </c>
      <c r="H1101" s="2" t="s">
        <v>74</v>
      </c>
      <c r="I1101" s="2" t="s">
        <v>75</v>
      </c>
      <c r="J1101" s="2" t="s">
        <v>97</v>
      </c>
      <c r="K1101" s="2" t="s">
        <v>77</v>
      </c>
      <c r="L1101" s="2" t="s">
        <v>173</v>
      </c>
      <c r="M1101" s="2" t="s">
        <v>174</v>
      </c>
      <c r="N1101" s="2" t="s">
        <v>467</v>
      </c>
      <c r="O1101" s="2" t="s">
        <v>101</v>
      </c>
      <c r="P1101" s="2" t="str">
        <f>"2170606102                    "</f>
        <v xml:space="preserve">2170606102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9.65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2.8</v>
      </c>
      <c r="BJ1101" s="2">
        <v>1.5</v>
      </c>
      <c r="BK1101" s="2">
        <v>3</v>
      </c>
      <c r="BL1101" s="2">
        <v>68.89</v>
      </c>
      <c r="BM1101" s="2">
        <v>9.64</v>
      </c>
      <c r="BN1101" s="2">
        <v>78.53</v>
      </c>
      <c r="BO1101" s="2">
        <v>78.53</v>
      </c>
      <c r="BQ1101" s="2" t="s">
        <v>1631</v>
      </c>
      <c r="BR1101" s="2" t="s">
        <v>103</v>
      </c>
      <c r="BS1101" s="3">
        <v>43076</v>
      </c>
      <c r="BT1101" s="4">
        <v>0.47916666666666669</v>
      </c>
      <c r="BU1101" s="2" t="s">
        <v>1632</v>
      </c>
      <c r="BV1101" s="2" t="s">
        <v>89</v>
      </c>
      <c r="BW1101" s="2" t="s">
        <v>471</v>
      </c>
      <c r="BX1101" s="2" t="s">
        <v>246</v>
      </c>
      <c r="BY1101" s="2">
        <v>7614.6</v>
      </c>
      <c r="CC1101" s="2" t="s">
        <v>174</v>
      </c>
      <c r="CD1101" s="2">
        <v>7802</v>
      </c>
      <c r="CE1101" s="2" t="s">
        <v>95</v>
      </c>
      <c r="CF1101" s="3">
        <v>43077</v>
      </c>
      <c r="CI1101" s="2">
        <v>1</v>
      </c>
      <c r="CJ1101" s="2">
        <v>1</v>
      </c>
      <c r="CK1101" s="2">
        <v>21</v>
      </c>
      <c r="CL1101" s="2" t="s">
        <v>89</v>
      </c>
    </row>
    <row r="1102" spans="1:90">
      <c r="A1102" s="2" t="s">
        <v>71</v>
      </c>
      <c r="B1102" s="2" t="s">
        <v>72</v>
      </c>
      <c r="C1102" s="2" t="s">
        <v>73</v>
      </c>
      <c r="E1102" s="2" t="str">
        <f>"FES1162594482"</f>
        <v>FES1162594482</v>
      </c>
      <c r="F1102" s="3">
        <v>43075</v>
      </c>
      <c r="G1102" s="2">
        <v>201806</v>
      </c>
      <c r="H1102" s="2" t="s">
        <v>74</v>
      </c>
      <c r="I1102" s="2" t="s">
        <v>75</v>
      </c>
      <c r="J1102" s="2" t="s">
        <v>97</v>
      </c>
      <c r="K1102" s="2" t="s">
        <v>77</v>
      </c>
      <c r="L1102" s="2" t="s">
        <v>759</v>
      </c>
      <c r="M1102" s="2" t="s">
        <v>760</v>
      </c>
      <c r="N1102" s="2" t="s">
        <v>761</v>
      </c>
      <c r="O1102" s="2" t="s">
        <v>101</v>
      </c>
      <c r="P1102" s="2" t="str">
        <f>"2170606335                    "</f>
        <v xml:space="preserve">2170606335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6.43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45.93</v>
      </c>
      <c r="BM1102" s="2">
        <v>6.43</v>
      </c>
      <c r="BN1102" s="2">
        <v>52.36</v>
      </c>
      <c r="BO1102" s="2">
        <v>52.36</v>
      </c>
      <c r="BQ1102" s="2" t="s">
        <v>82</v>
      </c>
      <c r="BR1102" s="2" t="s">
        <v>103</v>
      </c>
      <c r="BS1102" s="3">
        <v>43076</v>
      </c>
      <c r="BT1102" s="4">
        <v>0.34375</v>
      </c>
      <c r="BU1102" s="2" t="s">
        <v>1284</v>
      </c>
      <c r="BV1102" s="2" t="s">
        <v>85</v>
      </c>
      <c r="BY1102" s="2">
        <v>1200</v>
      </c>
      <c r="CA1102" s="2" t="s">
        <v>578</v>
      </c>
      <c r="CC1102" s="2" t="s">
        <v>760</v>
      </c>
      <c r="CD1102" s="2">
        <v>4026</v>
      </c>
      <c r="CE1102" s="2" t="s">
        <v>120</v>
      </c>
      <c r="CF1102" s="3">
        <v>43080</v>
      </c>
      <c r="CI1102" s="2">
        <v>1</v>
      </c>
      <c r="CJ1102" s="2">
        <v>1</v>
      </c>
      <c r="CK1102" s="2">
        <v>21</v>
      </c>
      <c r="CL1102" s="2" t="s">
        <v>89</v>
      </c>
    </row>
    <row r="1103" spans="1:90">
      <c r="A1103" s="2" t="s">
        <v>71</v>
      </c>
      <c r="B1103" s="2" t="s">
        <v>72</v>
      </c>
      <c r="C1103" s="2" t="s">
        <v>73</v>
      </c>
      <c r="E1103" s="2" t="str">
        <f>"FES1162594294"</f>
        <v>FES1162594294</v>
      </c>
      <c r="F1103" s="3">
        <v>43075</v>
      </c>
      <c r="G1103" s="2">
        <v>201806</v>
      </c>
      <c r="H1103" s="2" t="s">
        <v>74</v>
      </c>
      <c r="I1103" s="2" t="s">
        <v>75</v>
      </c>
      <c r="J1103" s="2" t="s">
        <v>97</v>
      </c>
      <c r="K1103" s="2" t="s">
        <v>77</v>
      </c>
      <c r="L1103" s="2" t="s">
        <v>173</v>
      </c>
      <c r="M1103" s="2" t="s">
        <v>174</v>
      </c>
      <c r="N1103" s="2" t="s">
        <v>864</v>
      </c>
      <c r="O1103" s="2" t="s">
        <v>101</v>
      </c>
      <c r="P1103" s="2" t="str">
        <f>"2170606135                    "</f>
        <v xml:space="preserve">2170606135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6.43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1.9</v>
      </c>
      <c r="BJ1103" s="2">
        <v>1.7</v>
      </c>
      <c r="BK1103" s="2">
        <v>2</v>
      </c>
      <c r="BL1103" s="2">
        <v>45.93</v>
      </c>
      <c r="BM1103" s="2">
        <v>6.43</v>
      </c>
      <c r="BN1103" s="2">
        <v>52.36</v>
      </c>
      <c r="BO1103" s="2">
        <v>52.36</v>
      </c>
      <c r="BQ1103" s="2" t="s">
        <v>82</v>
      </c>
      <c r="BR1103" s="2" t="s">
        <v>103</v>
      </c>
      <c r="BS1103" s="3">
        <v>43076</v>
      </c>
      <c r="BT1103" s="4">
        <v>0.41666666666666669</v>
      </c>
      <c r="BU1103" s="2" t="s">
        <v>1633</v>
      </c>
      <c r="BV1103" s="2" t="s">
        <v>85</v>
      </c>
      <c r="BY1103" s="2">
        <v>8569.15</v>
      </c>
      <c r="CC1103" s="2" t="s">
        <v>174</v>
      </c>
      <c r="CD1103" s="2">
        <v>7493</v>
      </c>
      <c r="CE1103" s="2" t="s">
        <v>95</v>
      </c>
      <c r="CF1103" s="3">
        <v>43077</v>
      </c>
      <c r="CI1103" s="2">
        <v>1</v>
      </c>
      <c r="CJ1103" s="2">
        <v>1</v>
      </c>
      <c r="CK1103" s="2">
        <v>21</v>
      </c>
      <c r="CL1103" s="2" t="s">
        <v>89</v>
      </c>
    </row>
    <row r="1104" spans="1:90">
      <c r="A1104" s="2" t="s">
        <v>71</v>
      </c>
      <c r="B1104" s="2" t="s">
        <v>72</v>
      </c>
      <c r="C1104" s="2" t="s">
        <v>73</v>
      </c>
      <c r="E1104" s="2" t="str">
        <f>"FES1162594469"</f>
        <v>FES1162594469</v>
      </c>
      <c r="F1104" s="3">
        <v>43075</v>
      </c>
      <c r="G1104" s="2">
        <v>201806</v>
      </c>
      <c r="H1104" s="2" t="s">
        <v>74</v>
      </c>
      <c r="I1104" s="2" t="s">
        <v>75</v>
      </c>
      <c r="J1104" s="2" t="s">
        <v>97</v>
      </c>
      <c r="K1104" s="2" t="s">
        <v>77</v>
      </c>
      <c r="L1104" s="2" t="s">
        <v>168</v>
      </c>
      <c r="M1104" s="2" t="s">
        <v>169</v>
      </c>
      <c r="N1104" s="2" t="s">
        <v>932</v>
      </c>
      <c r="O1104" s="2" t="s">
        <v>101</v>
      </c>
      <c r="P1104" s="2" t="str">
        <f>"2170606318                    "</f>
        <v xml:space="preserve">2170606318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6.43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45.93</v>
      </c>
      <c r="BM1104" s="2">
        <v>6.43</v>
      </c>
      <c r="BN1104" s="2">
        <v>52.36</v>
      </c>
      <c r="BO1104" s="2">
        <v>52.36</v>
      </c>
      <c r="BQ1104" s="2" t="s">
        <v>102</v>
      </c>
      <c r="BR1104" s="2" t="s">
        <v>103</v>
      </c>
      <c r="BS1104" s="3">
        <v>43076</v>
      </c>
      <c r="BT1104" s="4">
        <v>0.65972222222222221</v>
      </c>
      <c r="BU1104" s="2" t="s">
        <v>1634</v>
      </c>
      <c r="BV1104" s="2" t="s">
        <v>89</v>
      </c>
      <c r="BW1104" s="2" t="s">
        <v>149</v>
      </c>
      <c r="BX1104" s="2" t="s">
        <v>594</v>
      </c>
      <c r="BY1104" s="2">
        <v>1200</v>
      </c>
      <c r="CA1104" s="2" t="s">
        <v>172</v>
      </c>
      <c r="CC1104" s="2" t="s">
        <v>169</v>
      </c>
      <c r="CD1104" s="2">
        <v>3610</v>
      </c>
      <c r="CE1104" s="2" t="s">
        <v>120</v>
      </c>
      <c r="CF1104" s="3">
        <v>43077</v>
      </c>
      <c r="CI1104" s="2">
        <v>1</v>
      </c>
      <c r="CJ1104" s="2">
        <v>1</v>
      </c>
      <c r="CK1104" s="2">
        <v>21</v>
      </c>
      <c r="CL1104" s="2" t="s">
        <v>89</v>
      </c>
    </row>
    <row r="1105" spans="1:90">
      <c r="A1105" s="2" t="s">
        <v>71</v>
      </c>
      <c r="B1105" s="2" t="s">
        <v>72</v>
      </c>
      <c r="C1105" s="2" t="s">
        <v>73</v>
      </c>
      <c r="E1105" s="2" t="str">
        <f>"FES1162594230"</f>
        <v>FES1162594230</v>
      </c>
      <c r="F1105" s="3">
        <v>43075</v>
      </c>
      <c r="G1105" s="2">
        <v>201806</v>
      </c>
      <c r="H1105" s="2" t="s">
        <v>74</v>
      </c>
      <c r="I1105" s="2" t="s">
        <v>75</v>
      </c>
      <c r="J1105" s="2" t="s">
        <v>97</v>
      </c>
      <c r="K1105" s="2" t="s">
        <v>77</v>
      </c>
      <c r="L1105" s="2" t="s">
        <v>162</v>
      </c>
      <c r="M1105" s="2" t="s">
        <v>163</v>
      </c>
      <c r="N1105" s="2" t="s">
        <v>1635</v>
      </c>
      <c r="O1105" s="2" t="s">
        <v>101</v>
      </c>
      <c r="P1105" s="2" t="str">
        <f>"2170604759                    "</f>
        <v xml:space="preserve">2170604759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5.03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5.9</v>
      </c>
      <c r="BJ1105" s="2">
        <v>3.5</v>
      </c>
      <c r="BK1105" s="2">
        <v>6</v>
      </c>
      <c r="BL1105" s="2">
        <v>35.89</v>
      </c>
      <c r="BM1105" s="2">
        <v>5.0199999999999996</v>
      </c>
      <c r="BN1105" s="2">
        <v>40.909999999999997</v>
      </c>
      <c r="BO1105" s="2">
        <v>40.909999999999997</v>
      </c>
      <c r="BQ1105" s="2" t="s">
        <v>1636</v>
      </c>
      <c r="BR1105" s="2" t="s">
        <v>103</v>
      </c>
      <c r="BS1105" s="3">
        <v>43076</v>
      </c>
      <c r="BT1105" s="4">
        <v>0.41666666666666669</v>
      </c>
      <c r="BU1105" s="2" t="s">
        <v>1636</v>
      </c>
      <c r="BV1105" s="2" t="s">
        <v>85</v>
      </c>
      <c r="BY1105" s="2">
        <v>17727.71</v>
      </c>
      <c r="CA1105" s="2" t="s">
        <v>400</v>
      </c>
      <c r="CC1105" s="2" t="s">
        <v>163</v>
      </c>
      <c r="CD1105" s="2">
        <v>1449</v>
      </c>
      <c r="CE1105" s="2" t="s">
        <v>95</v>
      </c>
      <c r="CF1105" s="3">
        <v>43080</v>
      </c>
      <c r="CI1105" s="2">
        <v>1</v>
      </c>
      <c r="CJ1105" s="2">
        <v>1</v>
      </c>
      <c r="CK1105" s="2">
        <v>22</v>
      </c>
      <c r="CL1105" s="2" t="s">
        <v>89</v>
      </c>
    </row>
    <row r="1106" spans="1:90">
      <c r="A1106" s="2" t="s">
        <v>71</v>
      </c>
      <c r="B1106" s="2" t="s">
        <v>72</v>
      </c>
      <c r="C1106" s="2" t="s">
        <v>73</v>
      </c>
      <c r="E1106" s="2" t="str">
        <f>"FES1162594472"</f>
        <v>FES1162594472</v>
      </c>
      <c r="F1106" s="3">
        <v>43075</v>
      </c>
      <c r="G1106" s="2">
        <v>201806</v>
      </c>
      <c r="H1106" s="2" t="s">
        <v>74</v>
      </c>
      <c r="I1106" s="2" t="s">
        <v>75</v>
      </c>
      <c r="J1106" s="2" t="s">
        <v>97</v>
      </c>
      <c r="K1106" s="2" t="s">
        <v>77</v>
      </c>
      <c r="L1106" s="2" t="s">
        <v>106</v>
      </c>
      <c r="M1106" s="2" t="s">
        <v>107</v>
      </c>
      <c r="N1106" s="2" t="s">
        <v>830</v>
      </c>
      <c r="O1106" s="2" t="s">
        <v>101</v>
      </c>
      <c r="P1106" s="2" t="str">
        <f>"2170606322                    "</f>
        <v xml:space="preserve">2170606322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5.03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</v>
      </c>
      <c r="BJ1106" s="2">
        <v>0.2</v>
      </c>
      <c r="BK1106" s="2">
        <v>1</v>
      </c>
      <c r="BL1106" s="2">
        <v>35.89</v>
      </c>
      <c r="BM1106" s="2">
        <v>5.0199999999999996</v>
      </c>
      <c r="BN1106" s="2">
        <v>40.909999999999997</v>
      </c>
      <c r="BO1106" s="2">
        <v>40.909999999999997</v>
      </c>
      <c r="BQ1106" s="2" t="s">
        <v>102</v>
      </c>
      <c r="BR1106" s="2" t="s">
        <v>103</v>
      </c>
      <c r="BS1106" s="3">
        <v>43076</v>
      </c>
      <c r="BT1106" s="4">
        <v>0.4909722222222222</v>
      </c>
      <c r="BU1106" s="2" t="s">
        <v>1637</v>
      </c>
      <c r="BV1106" s="2" t="s">
        <v>89</v>
      </c>
      <c r="BW1106" s="2" t="s">
        <v>156</v>
      </c>
      <c r="BX1106" s="2" t="s">
        <v>438</v>
      </c>
      <c r="BY1106" s="2">
        <v>1200</v>
      </c>
      <c r="CA1106" s="2" t="s">
        <v>110</v>
      </c>
      <c r="CC1106" s="2" t="s">
        <v>107</v>
      </c>
      <c r="CD1106" s="2">
        <v>2011</v>
      </c>
      <c r="CE1106" s="2" t="s">
        <v>120</v>
      </c>
      <c r="CF1106" s="3">
        <v>43080</v>
      </c>
      <c r="CI1106" s="2">
        <v>1</v>
      </c>
      <c r="CJ1106" s="2">
        <v>1</v>
      </c>
      <c r="CK1106" s="2">
        <v>22</v>
      </c>
      <c r="CL1106" s="2" t="s">
        <v>89</v>
      </c>
    </row>
    <row r="1107" spans="1:90">
      <c r="A1107" s="2" t="s">
        <v>71</v>
      </c>
      <c r="B1107" s="2" t="s">
        <v>72</v>
      </c>
      <c r="C1107" s="2" t="s">
        <v>73</v>
      </c>
      <c r="E1107" s="2" t="str">
        <f>"FES1162594168"</f>
        <v>FES1162594168</v>
      </c>
      <c r="F1107" s="3">
        <v>43075</v>
      </c>
      <c r="G1107" s="2">
        <v>201806</v>
      </c>
      <c r="H1107" s="2" t="s">
        <v>74</v>
      </c>
      <c r="I1107" s="2" t="s">
        <v>75</v>
      </c>
      <c r="J1107" s="2" t="s">
        <v>97</v>
      </c>
      <c r="K1107" s="2" t="s">
        <v>77</v>
      </c>
      <c r="L1107" s="2" t="s">
        <v>982</v>
      </c>
      <c r="M1107" s="2" t="s">
        <v>983</v>
      </c>
      <c r="N1107" s="2" t="s">
        <v>984</v>
      </c>
      <c r="O1107" s="2" t="s">
        <v>101</v>
      </c>
      <c r="P1107" s="2" t="str">
        <f>"2170603543                    "</f>
        <v xml:space="preserve">2170603543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20.91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3.3</v>
      </c>
      <c r="BJ1107" s="2">
        <v>1.5</v>
      </c>
      <c r="BK1107" s="2">
        <v>3.5</v>
      </c>
      <c r="BL1107" s="2">
        <v>149.28</v>
      </c>
      <c r="BM1107" s="2">
        <v>20.9</v>
      </c>
      <c r="BN1107" s="2">
        <v>170.18</v>
      </c>
      <c r="BO1107" s="2">
        <v>170.18</v>
      </c>
      <c r="BQ1107" s="2" t="s">
        <v>985</v>
      </c>
      <c r="BR1107" s="2" t="s">
        <v>103</v>
      </c>
      <c r="BS1107" s="3">
        <v>43076</v>
      </c>
      <c r="BT1107" s="4">
        <v>0.43124999999999997</v>
      </c>
      <c r="BU1107" s="2" t="s">
        <v>1638</v>
      </c>
      <c r="BV1107" s="2" t="s">
        <v>85</v>
      </c>
      <c r="BY1107" s="2">
        <v>7430.08</v>
      </c>
      <c r="CC1107" s="2" t="s">
        <v>983</v>
      </c>
      <c r="CD1107" s="2">
        <v>2499</v>
      </c>
      <c r="CE1107" s="2" t="s">
        <v>95</v>
      </c>
      <c r="CF1107" s="3">
        <v>43081</v>
      </c>
      <c r="CI1107" s="2">
        <v>1</v>
      </c>
      <c r="CJ1107" s="2">
        <v>1</v>
      </c>
      <c r="CK1107" s="2">
        <v>23</v>
      </c>
      <c r="CL1107" s="2" t="s">
        <v>89</v>
      </c>
    </row>
    <row r="1108" spans="1:90">
      <c r="A1108" s="2" t="s">
        <v>71</v>
      </c>
      <c r="B1108" s="2" t="s">
        <v>72</v>
      </c>
      <c r="C1108" s="2" t="s">
        <v>73</v>
      </c>
      <c r="E1108" s="2" t="str">
        <f>"FES1162594474"</f>
        <v>FES1162594474</v>
      </c>
      <c r="F1108" s="3">
        <v>43075</v>
      </c>
      <c r="G1108" s="2">
        <v>201806</v>
      </c>
      <c r="H1108" s="2" t="s">
        <v>74</v>
      </c>
      <c r="I1108" s="2" t="s">
        <v>75</v>
      </c>
      <c r="J1108" s="2" t="s">
        <v>97</v>
      </c>
      <c r="K1108" s="2" t="s">
        <v>77</v>
      </c>
      <c r="L1108" s="2" t="s">
        <v>212</v>
      </c>
      <c r="M1108" s="2" t="s">
        <v>212</v>
      </c>
      <c r="N1108" s="2" t="s">
        <v>1639</v>
      </c>
      <c r="O1108" s="2" t="s">
        <v>101</v>
      </c>
      <c r="P1108" s="2" t="str">
        <f>"21270606325                   "</f>
        <v xml:space="preserve">21270606325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6.43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1</v>
      </c>
      <c r="BJ1108" s="2">
        <v>0.2</v>
      </c>
      <c r="BK1108" s="2">
        <v>1</v>
      </c>
      <c r="BL1108" s="2">
        <v>45.93</v>
      </c>
      <c r="BM1108" s="2">
        <v>6.43</v>
      </c>
      <c r="BN1108" s="2">
        <v>52.36</v>
      </c>
      <c r="BO1108" s="2">
        <v>52.36</v>
      </c>
      <c r="BQ1108" s="2" t="s">
        <v>82</v>
      </c>
      <c r="BR1108" s="2" t="s">
        <v>103</v>
      </c>
      <c r="BS1108" s="3">
        <v>43077</v>
      </c>
      <c r="BT1108" s="4">
        <v>0.59652777777777777</v>
      </c>
      <c r="BU1108" s="2" t="s">
        <v>1640</v>
      </c>
      <c r="BV1108" s="2" t="s">
        <v>89</v>
      </c>
      <c r="BW1108" s="2" t="s">
        <v>471</v>
      </c>
      <c r="BX1108" s="2" t="s">
        <v>246</v>
      </c>
      <c r="BY1108" s="2">
        <v>1200</v>
      </c>
      <c r="CA1108" s="2" t="s">
        <v>532</v>
      </c>
      <c r="CC1108" s="2" t="s">
        <v>212</v>
      </c>
      <c r="CD1108" s="2">
        <v>7646</v>
      </c>
      <c r="CE1108" s="2" t="s">
        <v>120</v>
      </c>
      <c r="CF1108" s="3">
        <v>43077</v>
      </c>
      <c r="CI1108" s="2">
        <v>1</v>
      </c>
      <c r="CJ1108" s="2">
        <v>2</v>
      </c>
      <c r="CK1108" s="2">
        <v>21</v>
      </c>
      <c r="CL1108" s="2" t="s">
        <v>89</v>
      </c>
    </row>
    <row r="1109" spans="1:90">
      <c r="A1109" s="2" t="s">
        <v>71</v>
      </c>
      <c r="B1109" s="2" t="s">
        <v>72</v>
      </c>
      <c r="C1109" s="2" t="s">
        <v>73</v>
      </c>
      <c r="E1109" s="2" t="str">
        <f>"FES1162594361"</f>
        <v>FES1162594361</v>
      </c>
      <c r="F1109" s="3">
        <v>43075</v>
      </c>
      <c r="G1109" s="2">
        <v>201806</v>
      </c>
      <c r="H1109" s="2" t="s">
        <v>74</v>
      </c>
      <c r="I1109" s="2" t="s">
        <v>75</v>
      </c>
      <c r="J1109" s="2" t="s">
        <v>97</v>
      </c>
      <c r="K1109" s="2" t="s">
        <v>77</v>
      </c>
      <c r="L1109" s="2" t="s">
        <v>682</v>
      </c>
      <c r="M1109" s="2" t="s">
        <v>683</v>
      </c>
      <c r="N1109" s="2" t="s">
        <v>684</v>
      </c>
      <c r="O1109" s="2" t="s">
        <v>101</v>
      </c>
      <c r="P1109" s="2" t="str">
        <f>"2170602612                    "</f>
        <v xml:space="preserve">2170602612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23.73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2</v>
      </c>
      <c r="BJ1109" s="2">
        <v>3.9</v>
      </c>
      <c r="BK1109" s="2">
        <v>4</v>
      </c>
      <c r="BL1109" s="2">
        <v>169.38</v>
      </c>
      <c r="BM1109" s="2">
        <v>23.71</v>
      </c>
      <c r="BN1109" s="2">
        <v>193.09</v>
      </c>
      <c r="BO1109" s="2">
        <v>193.09</v>
      </c>
      <c r="BQ1109" s="2" t="s">
        <v>128</v>
      </c>
      <c r="BR1109" s="2" t="s">
        <v>103</v>
      </c>
      <c r="BS1109" s="3">
        <v>43076</v>
      </c>
      <c r="BT1109" s="4">
        <v>0</v>
      </c>
      <c r="BU1109" s="2" t="s">
        <v>597</v>
      </c>
      <c r="BV1109" s="2" t="s">
        <v>85</v>
      </c>
      <c r="BY1109" s="2">
        <v>19452.3</v>
      </c>
      <c r="CC1109" s="2" t="s">
        <v>683</v>
      </c>
      <c r="CD1109" s="2">
        <v>6300</v>
      </c>
      <c r="CE1109" s="2" t="s">
        <v>356</v>
      </c>
      <c r="CF1109" s="3">
        <v>43087</v>
      </c>
      <c r="CI1109" s="2">
        <v>3</v>
      </c>
      <c r="CJ1109" s="2">
        <v>1</v>
      </c>
      <c r="CK1109" s="2">
        <v>23</v>
      </c>
      <c r="CL1109" s="2" t="s">
        <v>89</v>
      </c>
    </row>
    <row r="1110" spans="1:90">
      <c r="A1110" s="2" t="s">
        <v>71</v>
      </c>
      <c r="B1110" s="2" t="s">
        <v>72</v>
      </c>
      <c r="C1110" s="2" t="s">
        <v>73</v>
      </c>
      <c r="E1110" s="2" t="str">
        <f>"FES1162594495"</f>
        <v>FES1162594495</v>
      </c>
      <c r="F1110" s="3">
        <v>43075</v>
      </c>
      <c r="G1110" s="2">
        <v>201806</v>
      </c>
      <c r="H1110" s="2" t="s">
        <v>74</v>
      </c>
      <c r="I1110" s="2" t="s">
        <v>75</v>
      </c>
      <c r="J1110" s="2" t="s">
        <v>97</v>
      </c>
      <c r="K1110" s="2" t="s">
        <v>77</v>
      </c>
      <c r="L1110" s="2" t="s">
        <v>173</v>
      </c>
      <c r="M1110" s="2" t="s">
        <v>174</v>
      </c>
      <c r="N1110" s="2" t="s">
        <v>393</v>
      </c>
      <c r="O1110" s="2" t="s">
        <v>101</v>
      </c>
      <c r="P1110" s="2" t="str">
        <f>"2170606357                    "</f>
        <v xml:space="preserve">2170606357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6.43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1</v>
      </c>
      <c r="BJ1110" s="2">
        <v>0.2</v>
      </c>
      <c r="BK1110" s="2">
        <v>1</v>
      </c>
      <c r="BL1110" s="2">
        <v>45.93</v>
      </c>
      <c r="BM1110" s="2">
        <v>6.43</v>
      </c>
      <c r="BN1110" s="2">
        <v>52.36</v>
      </c>
      <c r="BO1110" s="2">
        <v>52.36</v>
      </c>
      <c r="BQ1110" s="2" t="s">
        <v>102</v>
      </c>
      <c r="BR1110" s="2" t="s">
        <v>103</v>
      </c>
      <c r="BS1110" s="3">
        <v>43076</v>
      </c>
      <c r="BT1110" s="4">
        <v>0.42986111111111108</v>
      </c>
      <c r="BU1110" s="2" t="s">
        <v>1602</v>
      </c>
      <c r="BV1110" s="2" t="s">
        <v>85</v>
      </c>
      <c r="BY1110" s="2">
        <v>1200</v>
      </c>
      <c r="CA1110" s="2" t="s">
        <v>395</v>
      </c>
      <c r="CC1110" s="2" t="s">
        <v>174</v>
      </c>
      <c r="CD1110" s="2">
        <v>7441</v>
      </c>
      <c r="CE1110" s="2" t="s">
        <v>120</v>
      </c>
      <c r="CF1110" s="3">
        <v>43076</v>
      </c>
      <c r="CI1110" s="2">
        <v>1</v>
      </c>
      <c r="CJ1110" s="2">
        <v>1</v>
      </c>
      <c r="CK1110" s="2">
        <v>21</v>
      </c>
      <c r="CL1110" s="2" t="s">
        <v>89</v>
      </c>
    </row>
    <row r="1111" spans="1:90">
      <c r="A1111" s="2" t="s">
        <v>71</v>
      </c>
      <c r="B1111" s="2" t="s">
        <v>72</v>
      </c>
      <c r="C1111" s="2" t="s">
        <v>73</v>
      </c>
      <c r="E1111" s="2" t="str">
        <f>"FES1162593951"</f>
        <v>FES1162593951</v>
      </c>
      <c r="F1111" s="3">
        <v>43075</v>
      </c>
      <c r="G1111" s="2">
        <v>201806</v>
      </c>
      <c r="H1111" s="2" t="s">
        <v>74</v>
      </c>
      <c r="I1111" s="2" t="s">
        <v>75</v>
      </c>
      <c r="J1111" s="2" t="s">
        <v>97</v>
      </c>
      <c r="K1111" s="2" t="s">
        <v>77</v>
      </c>
      <c r="L1111" s="2" t="s">
        <v>883</v>
      </c>
      <c r="M1111" s="2" t="s">
        <v>884</v>
      </c>
      <c r="N1111" s="2" t="s">
        <v>1641</v>
      </c>
      <c r="O1111" s="2" t="s">
        <v>101</v>
      </c>
      <c r="P1111" s="2" t="str">
        <f>"2170605987                    "</f>
        <v xml:space="preserve">2170605987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11.26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2.1</v>
      </c>
      <c r="BJ1111" s="2">
        <v>3.4</v>
      </c>
      <c r="BK1111" s="2">
        <v>3.5</v>
      </c>
      <c r="BL1111" s="2">
        <v>80.37</v>
      </c>
      <c r="BM1111" s="2">
        <v>11.25</v>
      </c>
      <c r="BN1111" s="2">
        <v>91.62</v>
      </c>
      <c r="BO1111" s="2">
        <v>91.62</v>
      </c>
      <c r="BQ1111" s="2" t="s">
        <v>142</v>
      </c>
      <c r="BR1111" s="2" t="s">
        <v>103</v>
      </c>
      <c r="BS1111" s="3">
        <v>43077</v>
      </c>
      <c r="BT1111" s="4">
        <v>0.67499999999999993</v>
      </c>
      <c r="BU1111" s="2" t="s">
        <v>1642</v>
      </c>
      <c r="BV1111" s="2" t="s">
        <v>89</v>
      </c>
      <c r="BW1111" s="2" t="s">
        <v>471</v>
      </c>
      <c r="BX1111" s="2" t="s">
        <v>246</v>
      </c>
      <c r="BY1111" s="2">
        <v>17155.73</v>
      </c>
      <c r="CA1111" s="2" t="s">
        <v>887</v>
      </c>
      <c r="CC1111" s="2" t="s">
        <v>884</v>
      </c>
      <c r="CD1111" s="2">
        <v>7600</v>
      </c>
      <c r="CE1111" s="2" t="s">
        <v>87</v>
      </c>
      <c r="CF1111" s="3">
        <v>43080</v>
      </c>
      <c r="CI1111" s="2">
        <v>1</v>
      </c>
      <c r="CJ1111" s="2">
        <v>2</v>
      </c>
      <c r="CK1111" s="2">
        <v>21</v>
      </c>
      <c r="CL1111" s="2" t="s">
        <v>89</v>
      </c>
    </row>
    <row r="1112" spans="1:90">
      <c r="A1112" s="2" t="s">
        <v>71</v>
      </c>
      <c r="B1112" s="2" t="s">
        <v>72</v>
      </c>
      <c r="C1112" s="2" t="s">
        <v>73</v>
      </c>
      <c r="E1112" s="2" t="str">
        <f>"FES1162594338"</f>
        <v>FES1162594338</v>
      </c>
      <c r="F1112" s="3">
        <v>43075</v>
      </c>
      <c r="G1112" s="2">
        <v>201806</v>
      </c>
      <c r="H1112" s="2" t="s">
        <v>74</v>
      </c>
      <c r="I1112" s="2" t="s">
        <v>75</v>
      </c>
      <c r="J1112" s="2" t="s">
        <v>97</v>
      </c>
      <c r="K1112" s="2" t="s">
        <v>77</v>
      </c>
      <c r="L1112" s="2" t="s">
        <v>145</v>
      </c>
      <c r="M1112" s="2" t="s">
        <v>146</v>
      </c>
      <c r="N1112" s="2" t="s">
        <v>1188</v>
      </c>
      <c r="O1112" s="2" t="s">
        <v>101</v>
      </c>
      <c r="P1112" s="2" t="str">
        <f>"2170606170                    "</f>
        <v xml:space="preserve">2170606170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6.43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1.3</v>
      </c>
      <c r="BJ1112" s="2">
        <v>0.9</v>
      </c>
      <c r="BK1112" s="2">
        <v>1.5</v>
      </c>
      <c r="BL1112" s="2">
        <v>45.93</v>
      </c>
      <c r="BM1112" s="2">
        <v>6.43</v>
      </c>
      <c r="BN1112" s="2">
        <v>52.36</v>
      </c>
      <c r="BO1112" s="2">
        <v>52.36</v>
      </c>
      <c r="BQ1112" s="2" t="s">
        <v>82</v>
      </c>
      <c r="BR1112" s="2" t="s">
        <v>103</v>
      </c>
      <c r="BS1112" s="3">
        <v>43076</v>
      </c>
      <c r="BT1112" s="4">
        <v>0.37847222222222227</v>
      </c>
      <c r="BU1112" s="2" t="s">
        <v>1491</v>
      </c>
      <c r="BV1112" s="2" t="s">
        <v>85</v>
      </c>
      <c r="BY1112" s="2">
        <v>4432.05</v>
      </c>
      <c r="CA1112" s="2" t="s">
        <v>629</v>
      </c>
      <c r="CC1112" s="2" t="s">
        <v>146</v>
      </c>
      <c r="CD1112" s="2">
        <v>5201</v>
      </c>
      <c r="CE1112" s="2" t="s">
        <v>356</v>
      </c>
      <c r="CF1112" s="3">
        <v>43080</v>
      </c>
      <c r="CI1112" s="2">
        <v>1</v>
      </c>
      <c r="CJ1112" s="2">
        <v>1</v>
      </c>
      <c r="CK1112" s="2">
        <v>21</v>
      </c>
      <c r="CL1112" s="2" t="s">
        <v>89</v>
      </c>
    </row>
    <row r="1113" spans="1:90">
      <c r="A1113" s="2" t="s">
        <v>71</v>
      </c>
      <c r="B1113" s="2" t="s">
        <v>72</v>
      </c>
      <c r="C1113" s="2" t="s">
        <v>73</v>
      </c>
      <c r="E1113" s="2" t="str">
        <f>"FES1162594142"</f>
        <v>FES1162594142</v>
      </c>
      <c r="F1113" s="3">
        <v>43075</v>
      </c>
      <c r="G1113" s="2">
        <v>201806</v>
      </c>
      <c r="H1113" s="2" t="s">
        <v>74</v>
      </c>
      <c r="I1113" s="2" t="s">
        <v>75</v>
      </c>
      <c r="J1113" s="2" t="s">
        <v>97</v>
      </c>
      <c r="K1113" s="2" t="s">
        <v>77</v>
      </c>
      <c r="L1113" s="2" t="s">
        <v>173</v>
      </c>
      <c r="M1113" s="2" t="s">
        <v>174</v>
      </c>
      <c r="N1113" s="2" t="s">
        <v>349</v>
      </c>
      <c r="O1113" s="2" t="s">
        <v>101</v>
      </c>
      <c r="P1113" s="2" t="str">
        <f>"2170602972                    "</f>
        <v xml:space="preserve">2170602972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6.43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0.5</v>
      </c>
      <c r="BJ1113" s="2">
        <v>1.5</v>
      </c>
      <c r="BK1113" s="2">
        <v>1.5</v>
      </c>
      <c r="BL1113" s="2">
        <v>45.93</v>
      </c>
      <c r="BM1113" s="2">
        <v>6.43</v>
      </c>
      <c r="BN1113" s="2">
        <v>52.36</v>
      </c>
      <c r="BO1113" s="2">
        <v>52.36</v>
      </c>
      <c r="BQ1113" s="2" t="s">
        <v>879</v>
      </c>
      <c r="BR1113" s="2" t="s">
        <v>103</v>
      </c>
      <c r="BS1113" s="3">
        <v>43076</v>
      </c>
      <c r="BT1113" s="4">
        <v>0.41666666666666669</v>
      </c>
      <c r="BU1113" s="2" t="s">
        <v>1643</v>
      </c>
      <c r="BV1113" s="2" t="s">
        <v>85</v>
      </c>
      <c r="BY1113" s="2">
        <v>7342.35</v>
      </c>
      <c r="CA1113" s="2" t="s">
        <v>412</v>
      </c>
      <c r="CC1113" s="2" t="s">
        <v>174</v>
      </c>
      <c r="CD1113" s="2">
        <v>7800</v>
      </c>
      <c r="CE1113" s="2" t="s">
        <v>95</v>
      </c>
      <c r="CF1113" s="3">
        <v>43076</v>
      </c>
      <c r="CI1113" s="2">
        <v>1</v>
      </c>
      <c r="CJ1113" s="2">
        <v>1</v>
      </c>
      <c r="CK1113" s="2">
        <v>21</v>
      </c>
      <c r="CL1113" s="2" t="s">
        <v>89</v>
      </c>
    </row>
    <row r="1114" spans="1:90">
      <c r="A1114" s="2" t="s">
        <v>71</v>
      </c>
      <c r="B1114" s="2" t="s">
        <v>72</v>
      </c>
      <c r="C1114" s="2" t="s">
        <v>73</v>
      </c>
      <c r="E1114" s="2" t="str">
        <f>"FES1162594129"</f>
        <v>FES1162594129</v>
      </c>
      <c r="F1114" s="3">
        <v>43075</v>
      </c>
      <c r="G1114" s="2">
        <v>201806</v>
      </c>
      <c r="H1114" s="2" t="s">
        <v>74</v>
      </c>
      <c r="I1114" s="2" t="s">
        <v>75</v>
      </c>
      <c r="J1114" s="2" t="s">
        <v>97</v>
      </c>
      <c r="K1114" s="2" t="s">
        <v>77</v>
      </c>
      <c r="L1114" s="2" t="s">
        <v>526</v>
      </c>
      <c r="M1114" s="2" t="s">
        <v>527</v>
      </c>
      <c r="N1114" s="2" t="s">
        <v>797</v>
      </c>
      <c r="O1114" s="2" t="s">
        <v>101</v>
      </c>
      <c r="P1114" s="2" t="str">
        <f>"2170602016                    "</f>
        <v xml:space="preserve">2170602016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11.26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3.2</v>
      </c>
      <c r="BJ1114" s="2">
        <v>1.7</v>
      </c>
      <c r="BK1114" s="2">
        <v>3.5</v>
      </c>
      <c r="BL1114" s="2">
        <v>80.37</v>
      </c>
      <c r="BM1114" s="2">
        <v>11.25</v>
      </c>
      <c r="BN1114" s="2">
        <v>91.62</v>
      </c>
      <c r="BO1114" s="2">
        <v>91.62</v>
      </c>
      <c r="BQ1114" s="2" t="s">
        <v>798</v>
      </c>
      <c r="BR1114" s="2" t="s">
        <v>103</v>
      </c>
      <c r="BS1114" s="3">
        <v>43076</v>
      </c>
      <c r="BT1114" s="4">
        <v>0.41666666666666669</v>
      </c>
      <c r="BU1114" s="2" t="s">
        <v>1644</v>
      </c>
      <c r="BV1114" s="2" t="s">
        <v>85</v>
      </c>
      <c r="BY1114" s="2">
        <v>8682.41</v>
      </c>
      <c r="CA1114" s="2" t="s">
        <v>530</v>
      </c>
      <c r="CC1114" s="2" t="s">
        <v>527</v>
      </c>
      <c r="CD1114" s="2">
        <v>6850</v>
      </c>
      <c r="CE1114" s="2" t="s">
        <v>95</v>
      </c>
      <c r="CF1114" s="3">
        <v>43076</v>
      </c>
      <c r="CI1114" s="2">
        <v>3</v>
      </c>
      <c r="CJ1114" s="2">
        <v>1</v>
      </c>
      <c r="CK1114" s="2">
        <v>21</v>
      </c>
      <c r="CL1114" s="2" t="s">
        <v>89</v>
      </c>
    </row>
    <row r="1115" spans="1:90">
      <c r="A1115" s="2" t="s">
        <v>71</v>
      </c>
      <c r="B1115" s="2" t="s">
        <v>72</v>
      </c>
      <c r="C1115" s="2" t="s">
        <v>73</v>
      </c>
      <c r="E1115" s="2" t="str">
        <f>"FES1162594118"</f>
        <v>FES1162594118</v>
      </c>
      <c r="F1115" s="3">
        <v>43075</v>
      </c>
      <c r="G1115" s="2">
        <v>201806</v>
      </c>
      <c r="H1115" s="2" t="s">
        <v>74</v>
      </c>
      <c r="I1115" s="2" t="s">
        <v>75</v>
      </c>
      <c r="J1115" s="2" t="s">
        <v>97</v>
      </c>
      <c r="K1115" s="2" t="s">
        <v>77</v>
      </c>
      <c r="L1115" s="2" t="s">
        <v>136</v>
      </c>
      <c r="M1115" s="2" t="s">
        <v>137</v>
      </c>
      <c r="N1115" s="2" t="s">
        <v>138</v>
      </c>
      <c r="O1115" s="2" t="s">
        <v>101</v>
      </c>
      <c r="P1115" s="2" t="str">
        <f>"2170600009                    "</f>
        <v xml:space="preserve">2170600009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6.43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1</v>
      </c>
      <c r="BJ1115" s="2">
        <v>0.2</v>
      </c>
      <c r="BK1115" s="2">
        <v>1</v>
      </c>
      <c r="BL1115" s="2">
        <v>45.93</v>
      </c>
      <c r="BM1115" s="2">
        <v>6.43</v>
      </c>
      <c r="BN1115" s="2">
        <v>52.36</v>
      </c>
      <c r="BO1115" s="2">
        <v>52.36</v>
      </c>
      <c r="BQ1115" s="2" t="s">
        <v>82</v>
      </c>
      <c r="BR1115" s="2" t="s">
        <v>103</v>
      </c>
      <c r="BS1115" s="3">
        <v>43076</v>
      </c>
      <c r="BT1115" s="4">
        <v>0.35416666666666669</v>
      </c>
      <c r="BU1115" s="2" t="s">
        <v>139</v>
      </c>
      <c r="BV1115" s="2" t="s">
        <v>85</v>
      </c>
      <c r="BY1115" s="2">
        <v>1200</v>
      </c>
      <c r="BZ1115" s="2" t="s">
        <v>27</v>
      </c>
      <c r="CA1115" s="2" t="s">
        <v>140</v>
      </c>
      <c r="CC1115" s="2" t="s">
        <v>137</v>
      </c>
      <c r="CD1115" s="2">
        <v>6001</v>
      </c>
      <c r="CE1115" s="2" t="s">
        <v>120</v>
      </c>
      <c r="CF1115" s="3">
        <v>43077</v>
      </c>
      <c r="CI1115" s="2">
        <v>1</v>
      </c>
      <c r="CJ1115" s="2">
        <v>1</v>
      </c>
      <c r="CK1115" s="2">
        <v>21</v>
      </c>
      <c r="CL1115" s="2" t="s">
        <v>89</v>
      </c>
    </row>
    <row r="1116" spans="1:90">
      <c r="A1116" s="2" t="s">
        <v>71</v>
      </c>
      <c r="B1116" s="2" t="s">
        <v>72</v>
      </c>
      <c r="C1116" s="2" t="s">
        <v>73</v>
      </c>
      <c r="E1116" s="2" t="str">
        <f>"FES1162594311"</f>
        <v>FES1162594311</v>
      </c>
      <c r="F1116" s="3">
        <v>43075</v>
      </c>
      <c r="G1116" s="2">
        <v>201806</v>
      </c>
      <c r="H1116" s="2" t="s">
        <v>74</v>
      </c>
      <c r="I1116" s="2" t="s">
        <v>75</v>
      </c>
      <c r="J1116" s="2" t="s">
        <v>97</v>
      </c>
      <c r="K1116" s="2" t="s">
        <v>77</v>
      </c>
      <c r="L1116" s="2" t="s">
        <v>158</v>
      </c>
      <c r="M1116" s="2" t="s">
        <v>159</v>
      </c>
      <c r="N1116" s="2" t="s">
        <v>1645</v>
      </c>
      <c r="O1116" s="2" t="s">
        <v>101</v>
      </c>
      <c r="P1116" s="2" t="str">
        <f>"2170605126                    "</f>
        <v xml:space="preserve">2170605126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6.43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</v>
      </c>
      <c r="BJ1116" s="2">
        <v>0.2</v>
      </c>
      <c r="BK1116" s="2">
        <v>1</v>
      </c>
      <c r="BL1116" s="2">
        <v>45.93</v>
      </c>
      <c r="BM1116" s="2">
        <v>6.43</v>
      </c>
      <c r="BN1116" s="2">
        <v>52.36</v>
      </c>
      <c r="BO1116" s="2">
        <v>52.36</v>
      </c>
      <c r="BQ1116" s="2" t="s">
        <v>102</v>
      </c>
      <c r="BR1116" s="2" t="s">
        <v>103</v>
      </c>
      <c r="BS1116" s="3">
        <v>43076</v>
      </c>
      <c r="BT1116" s="4">
        <v>0.59930555555555554</v>
      </c>
      <c r="BU1116" s="2" t="s">
        <v>1646</v>
      </c>
      <c r="BV1116" s="2" t="s">
        <v>89</v>
      </c>
      <c r="BW1116" s="2" t="s">
        <v>149</v>
      </c>
      <c r="BX1116" s="2" t="s">
        <v>668</v>
      </c>
      <c r="BY1116" s="2">
        <v>1200</v>
      </c>
      <c r="CA1116" s="2" t="s">
        <v>590</v>
      </c>
      <c r="CC1116" s="2" t="s">
        <v>159</v>
      </c>
      <c r="CD1116" s="2">
        <v>1</v>
      </c>
      <c r="CE1116" s="2" t="s">
        <v>120</v>
      </c>
      <c r="CF1116" s="3">
        <v>43080</v>
      </c>
      <c r="CI1116" s="2">
        <v>1</v>
      </c>
      <c r="CJ1116" s="2">
        <v>1</v>
      </c>
      <c r="CK1116" s="2">
        <v>21</v>
      </c>
      <c r="CL1116" s="2" t="s">
        <v>89</v>
      </c>
    </row>
    <row r="1117" spans="1:90">
      <c r="A1117" s="2" t="s">
        <v>71</v>
      </c>
      <c r="B1117" s="2" t="s">
        <v>72</v>
      </c>
      <c r="C1117" s="2" t="s">
        <v>73</v>
      </c>
      <c r="E1117" s="2" t="str">
        <f>"FES1162594173"</f>
        <v>FES1162594173</v>
      </c>
      <c r="F1117" s="3">
        <v>43075</v>
      </c>
      <c r="G1117" s="2">
        <v>201806</v>
      </c>
      <c r="H1117" s="2" t="s">
        <v>74</v>
      </c>
      <c r="I1117" s="2" t="s">
        <v>75</v>
      </c>
      <c r="J1117" s="2" t="s">
        <v>97</v>
      </c>
      <c r="K1117" s="2" t="s">
        <v>77</v>
      </c>
      <c r="L1117" s="2" t="s">
        <v>74</v>
      </c>
      <c r="M1117" s="2" t="s">
        <v>75</v>
      </c>
      <c r="N1117" s="2" t="s">
        <v>596</v>
      </c>
      <c r="O1117" s="2" t="s">
        <v>101</v>
      </c>
      <c r="P1117" s="2" t="str">
        <f>"2170603574                    "</f>
        <v xml:space="preserve">2170603574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5.03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</v>
      </c>
      <c r="BJ1117" s="2">
        <v>0.2</v>
      </c>
      <c r="BK1117" s="2">
        <v>1</v>
      </c>
      <c r="BL1117" s="2">
        <v>35.89</v>
      </c>
      <c r="BM1117" s="2">
        <v>5.0199999999999996</v>
      </c>
      <c r="BN1117" s="2">
        <v>40.909999999999997</v>
      </c>
      <c r="BO1117" s="2">
        <v>40.909999999999997</v>
      </c>
      <c r="BQ1117" s="2" t="s">
        <v>82</v>
      </c>
      <c r="BR1117" s="2" t="s">
        <v>103</v>
      </c>
      <c r="BS1117" s="3">
        <v>43076</v>
      </c>
      <c r="BT1117" s="4">
        <v>0.41666666666666669</v>
      </c>
      <c r="BU1117" s="2" t="s">
        <v>1647</v>
      </c>
      <c r="BV1117" s="2" t="s">
        <v>85</v>
      </c>
      <c r="BY1117" s="2">
        <v>1200</v>
      </c>
      <c r="CA1117" s="2" t="s">
        <v>1648</v>
      </c>
      <c r="CC1117" s="2" t="s">
        <v>75</v>
      </c>
      <c r="CD1117" s="2">
        <v>1665</v>
      </c>
      <c r="CE1117" s="2" t="s">
        <v>120</v>
      </c>
      <c r="CF1117" s="3">
        <v>43080</v>
      </c>
      <c r="CI1117" s="2">
        <v>1</v>
      </c>
      <c r="CJ1117" s="2">
        <v>1</v>
      </c>
      <c r="CK1117" s="2">
        <v>22</v>
      </c>
      <c r="CL1117" s="2" t="s">
        <v>89</v>
      </c>
    </row>
    <row r="1118" spans="1:90">
      <c r="A1118" s="2" t="s">
        <v>71</v>
      </c>
      <c r="B1118" s="2" t="s">
        <v>72</v>
      </c>
      <c r="C1118" s="2" t="s">
        <v>73</v>
      </c>
      <c r="E1118" s="2" t="str">
        <f>"FES1162593335"</f>
        <v>FES1162593335</v>
      </c>
      <c r="F1118" s="3">
        <v>43075</v>
      </c>
      <c r="G1118" s="2">
        <v>201806</v>
      </c>
      <c r="H1118" s="2" t="s">
        <v>74</v>
      </c>
      <c r="I1118" s="2" t="s">
        <v>75</v>
      </c>
      <c r="J1118" s="2" t="s">
        <v>97</v>
      </c>
      <c r="K1118" s="2" t="s">
        <v>77</v>
      </c>
      <c r="L1118" s="2" t="s">
        <v>136</v>
      </c>
      <c r="M1118" s="2" t="s">
        <v>137</v>
      </c>
      <c r="N1118" s="2" t="s">
        <v>138</v>
      </c>
      <c r="O1118" s="2" t="s">
        <v>101</v>
      </c>
      <c r="P1118" s="2" t="str">
        <f>"2170607924                    "</f>
        <v xml:space="preserve">2170607924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9.65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3</v>
      </c>
      <c r="BJ1118" s="2">
        <v>1.6</v>
      </c>
      <c r="BK1118" s="2">
        <v>3</v>
      </c>
      <c r="BL1118" s="2">
        <v>68.89</v>
      </c>
      <c r="BM1118" s="2">
        <v>9.64</v>
      </c>
      <c r="BN1118" s="2">
        <v>78.53</v>
      </c>
      <c r="BO1118" s="2">
        <v>78.53</v>
      </c>
      <c r="BQ1118" s="2" t="s">
        <v>82</v>
      </c>
      <c r="BR1118" s="2" t="s">
        <v>103</v>
      </c>
      <c r="BS1118" s="3">
        <v>43076</v>
      </c>
      <c r="BT1118" s="4">
        <v>0.35416666666666669</v>
      </c>
      <c r="BU1118" s="2" t="s">
        <v>139</v>
      </c>
      <c r="BV1118" s="2" t="s">
        <v>85</v>
      </c>
      <c r="BY1118" s="2">
        <v>7919.31</v>
      </c>
      <c r="BZ1118" s="2" t="s">
        <v>27</v>
      </c>
      <c r="CA1118" s="2" t="s">
        <v>140</v>
      </c>
      <c r="CC1118" s="2" t="s">
        <v>137</v>
      </c>
      <c r="CD1118" s="2">
        <v>6001</v>
      </c>
      <c r="CE1118" s="2" t="s">
        <v>95</v>
      </c>
      <c r="CF1118" s="3">
        <v>43077</v>
      </c>
      <c r="CI1118" s="2">
        <v>1</v>
      </c>
      <c r="CJ1118" s="2">
        <v>1</v>
      </c>
      <c r="CK1118" s="2">
        <v>21</v>
      </c>
      <c r="CL1118" s="2" t="s">
        <v>89</v>
      </c>
    </row>
    <row r="1119" spans="1:90">
      <c r="A1119" s="2" t="s">
        <v>71</v>
      </c>
      <c r="B1119" s="2" t="s">
        <v>72</v>
      </c>
      <c r="C1119" s="2" t="s">
        <v>73</v>
      </c>
      <c r="E1119" s="2" t="str">
        <f>"FES1162594254"</f>
        <v>FES1162594254</v>
      </c>
      <c r="F1119" s="3">
        <v>43075</v>
      </c>
      <c r="G1119" s="2">
        <v>201806</v>
      </c>
      <c r="H1119" s="2" t="s">
        <v>74</v>
      </c>
      <c r="I1119" s="2" t="s">
        <v>75</v>
      </c>
      <c r="J1119" s="2" t="s">
        <v>97</v>
      </c>
      <c r="K1119" s="2" t="s">
        <v>77</v>
      </c>
      <c r="L1119" s="2" t="s">
        <v>173</v>
      </c>
      <c r="M1119" s="2" t="s">
        <v>174</v>
      </c>
      <c r="N1119" s="2" t="s">
        <v>175</v>
      </c>
      <c r="O1119" s="2" t="s">
        <v>101</v>
      </c>
      <c r="P1119" s="2" t="str">
        <f>"2170605571                    "</f>
        <v xml:space="preserve">2170605571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6.43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45.93</v>
      </c>
      <c r="BM1119" s="2">
        <v>6.43</v>
      </c>
      <c r="BN1119" s="2">
        <v>52.36</v>
      </c>
      <c r="BO1119" s="2">
        <v>52.36</v>
      </c>
      <c r="BQ1119" s="2" t="s">
        <v>102</v>
      </c>
      <c r="BR1119" s="2" t="s">
        <v>103</v>
      </c>
      <c r="BS1119" s="3">
        <v>43076</v>
      </c>
      <c r="BT1119" s="4">
        <v>0.55763888888888891</v>
      </c>
      <c r="BU1119" s="2" t="s">
        <v>1649</v>
      </c>
      <c r="BV1119" s="2" t="s">
        <v>89</v>
      </c>
      <c r="BW1119" s="2" t="s">
        <v>156</v>
      </c>
      <c r="BX1119" s="2" t="s">
        <v>839</v>
      </c>
      <c r="BY1119" s="2">
        <v>1200</v>
      </c>
      <c r="CA1119" s="2" t="s">
        <v>1088</v>
      </c>
      <c r="CC1119" s="2" t="s">
        <v>174</v>
      </c>
      <c r="CD1119" s="2">
        <v>7405</v>
      </c>
      <c r="CE1119" s="2" t="s">
        <v>120</v>
      </c>
      <c r="CF1119" s="3">
        <v>43076</v>
      </c>
      <c r="CI1119" s="2">
        <v>1</v>
      </c>
      <c r="CJ1119" s="2">
        <v>1</v>
      </c>
      <c r="CK1119" s="2">
        <v>21</v>
      </c>
      <c r="CL1119" s="2" t="s">
        <v>89</v>
      </c>
    </row>
    <row r="1120" spans="1:90">
      <c r="A1120" s="2" t="s">
        <v>71</v>
      </c>
      <c r="B1120" s="2" t="s">
        <v>72</v>
      </c>
      <c r="C1120" s="2" t="s">
        <v>73</v>
      </c>
      <c r="E1120" s="2" t="str">
        <f>"FES1162593352"</f>
        <v>FES1162593352</v>
      </c>
      <c r="F1120" s="3">
        <v>43075</v>
      </c>
      <c r="G1120" s="2">
        <v>201806</v>
      </c>
      <c r="H1120" s="2" t="s">
        <v>74</v>
      </c>
      <c r="I1120" s="2" t="s">
        <v>75</v>
      </c>
      <c r="J1120" s="2" t="s">
        <v>97</v>
      </c>
      <c r="K1120" s="2" t="s">
        <v>77</v>
      </c>
      <c r="L1120" s="2" t="s">
        <v>262</v>
      </c>
      <c r="M1120" s="2" t="s">
        <v>263</v>
      </c>
      <c r="N1120" s="2" t="s">
        <v>264</v>
      </c>
      <c r="O1120" s="2" t="s">
        <v>101</v>
      </c>
      <c r="P1120" s="2" t="str">
        <f>"2170601832                    "</f>
        <v xml:space="preserve">2170601832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14.47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4</v>
      </c>
      <c r="BJ1120" s="2">
        <v>4.0999999999999996</v>
      </c>
      <c r="BK1120" s="2">
        <v>4.5</v>
      </c>
      <c r="BL1120" s="2">
        <v>103.32</v>
      </c>
      <c r="BM1120" s="2">
        <v>14.46</v>
      </c>
      <c r="BN1120" s="2">
        <v>117.78</v>
      </c>
      <c r="BO1120" s="2">
        <v>117.78</v>
      </c>
      <c r="BQ1120" s="2" t="s">
        <v>102</v>
      </c>
      <c r="BR1120" s="2" t="s">
        <v>103</v>
      </c>
      <c r="BS1120" s="3">
        <v>43076</v>
      </c>
      <c r="BT1120" s="4">
        <v>0.3125</v>
      </c>
      <c r="BU1120" s="2" t="s">
        <v>324</v>
      </c>
      <c r="BV1120" s="2" t="s">
        <v>85</v>
      </c>
      <c r="BY1120" s="2">
        <v>20358</v>
      </c>
      <c r="BZ1120" s="2" t="s">
        <v>27</v>
      </c>
      <c r="CA1120" s="2" t="s">
        <v>1650</v>
      </c>
      <c r="CC1120" s="2" t="s">
        <v>263</v>
      </c>
      <c r="CD1120" s="2">
        <v>6230</v>
      </c>
      <c r="CE1120" s="2" t="s">
        <v>95</v>
      </c>
      <c r="CF1120" s="3">
        <v>43077</v>
      </c>
      <c r="CI1120" s="2">
        <v>1</v>
      </c>
      <c r="CJ1120" s="2">
        <v>1</v>
      </c>
      <c r="CK1120" s="2">
        <v>21</v>
      </c>
      <c r="CL1120" s="2" t="s">
        <v>89</v>
      </c>
    </row>
    <row r="1121" spans="1:90">
      <c r="A1121" s="2" t="s">
        <v>71</v>
      </c>
      <c r="B1121" s="2" t="s">
        <v>72</v>
      </c>
      <c r="C1121" s="2" t="s">
        <v>73</v>
      </c>
      <c r="E1121" s="2" t="str">
        <f>"FES1162594209"</f>
        <v>FES1162594209</v>
      </c>
      <c r="F1121" s="3">
        <v>43075</v>
      </c>
      <c r="G1121" s="2">
        <v>201806</v>
      </c>
      <c r="H1121" s="2" t="s">
        <v>74</v>
      </c>
      <c r="I1121" s="2" t="s">
        <v>75</v>
      </c>
      <c r="J1121" s="2" t="s">
        <v>97</v>
      </c>
      <c r="K1121" s="2" t="s">
        <v>77</v>
      </c>
      <c r="L1121" s="2" t="s">
        <v>145</v>
      </c>
      <c r="M1121" s="2" t="s">
        <v>146</v>
      </c>
      <c r="N1121" s="2" t="s">
        <v>709</v>
      </c>
      <c r="O1121" s="2" t="s">
        <v>101</v>
      </c>
      <c r="P1121" s="2" t="str">
        <f>"2170604082                    "</f>
        <v xml:space="preserve">2170604082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6.43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0.8</v>
      </c>
      <c r="BJ1121" s="2">
        <v>1.8</v>
      </c>
      <c r="BK1121" s="2">
        <v>2</v>
      </c>
      <c r="BL1121" s="2">
        <v>45.93</v>
      </c>
      <c r="BM1121" s="2">
        <v>6.43</v>
      </c>
      <c r="BN1121" s="2">
        <v>52.36</v>
      </c>
      <c r="BO1121" s="2">
        <v>52.36</v>
      </c>
      <c r="BQ1121" s="2" t="s">
        <v>102</v>
      </c>
      <c r="BR1121" s="2" t="s">
        <v>103</v>
      </c>
      <c r="BS1121" s="3">
        <v>43076</v>
      </c>
      <c r="BT1121" s="4">
        <v>0.39583333333333331</v>
      </c>
      <c r="BU1121" s="2" t="s">
        <v>1482</v>
      </c>
      <c r="BV1121" s="2" t="s">
        <v>85</v>
      </c>
      <c r="BY1121" s="2">
        <v>8833.86</v>
      </c>
      <c r="CC1121" s="2" t="s">
        <v>146</v>
      </c>
      <c r="CD1121" s="2">
        <v>5201</v>
      </c>
      <c r="CE1121" s="2" t="s">
        <v>95</v>
      </c>
      <c r="CF1121" s="3">
        <v>43080</v>
      </c>
      <c r="CI1121" s="2">
        <v>1</v>
      </c>
      <c r="CJ1121" s="2">
        <v>1</v>
      </c>
      <c r="CK1121" s="2">
        <v>21</v>
      </c>
      <c r="CL1121" s="2" t="s">
        <v>89</v>
      </c>
    </row>
    <row r="1122" spans="1:90">
      <c r="A1122" s="2" t="s">
        <v>71</v>
      </c>
      <c r="B1122" s="2" t="s">
        <v>72</v>
      </c>
      <c r="C1122" s="2" t="s">
        <v>73</v>
      </c>
      <c r="E1122" s="2" t="str">
        <f>"FES1162594275"</f>
        <v>FES1162594275</v>
      </c>
      <c r="F1122" s="3">
        <v>43075</v>
      </c>
      <c r="G1122" s="2">
        <v>201806</v>
      </c>
      <c r="H1122" s="2" t="s">
        <v>74</v>
      </c>
      <c r="I1122" s="2" t="s">
        <v>75</v>
      </c>
      <c r="J1122" s="2" t="s">
        <v>97</v>
      </c>
      <c r="K1122" s="2" t="s">
        <v>77</v>
      </c>
      <c r="L1122" s="2" t="s">
        <v>136</v>
      </c>
      <c r="M1122" s="2" t="s">
        <v>137</v>
      </c>
      <c r="N1122" s="2" t="s">
        <v>557</v>
      </c>
      <c r="O1122" s="2" t="s">
        <v>101</v>
      </c>
      <c r="P1122" s="2" t="str">
        <f>"21706065795                   "</f>
        <v xml:space="preserve">21706065795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6.43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2</v>
      </c>
      <c r="BJ1122" s="2">
        <v>1</v>
      </c>
      <c r="BK1122" s="2">
        <v>2</v>
      </c>
      <c r="BL1122" s="2">
        <v>45.93</v>
      </c>
      <c r="BM1122" s="2">
        <v>6.43</v>
      </c>
      <c r="BN1122" s="2">
        <v>52.36</v>
      </c>
      <c r="BO1122" s="2">
        <v>52.36</v>
      </c>
      <c r="BQ1122" s="2" t="s">
        <v>558</v>
      </c>
      <c r="BR1122" s="2" t="s">
        <v>103</v>
      </c>
      <c r="BS1122" s="3">
        <v>43076</v>
      </c>
      <c r="BT1122" s="4">
        <v>0.40277777777777773</v>
      </c>
      <c r="BU1122" s="2" t="s">
        <v>1651</v>
      </c>
      <c r="BV1122" s="2" t="s">
        <v>85</v>
      </c>
      <c r="BY1122" s="2">
        <v>4800.1400000000003</v>
      </c>
      <c r="BZ1122" s="2" t="s">
        <v>27</v>
      </c>
      <c r="CA1122" s="2" t="s">
        <v>140</v>
      </c>
      <c r="CC1122" s="2" t="s">
        <v>137</v>
      </c>
      <c r="CD1122" s="2">
        <v>6001</v>
      </c>
      <c r="CE1122" s="2" t="s">
        <v>87</v>
      </c>
      <c r="CF1122" s="3">
        <v>43077</v>
      </c>
      <c r="CI1122" s="2">
        <v>1</v>
      </c>
      <c r="CJ1122" s="2">
        <v>1</v>
      </c>
      <c r="CK1122" s="2">
        <v>21</v>
      </c>
      <c r="CL1122" s="2" t="s">
        <v>89</v>
      </c>
    </row>
    <row r="1123" spans="1:90">
      <c r="A1123" s="2" t="s">
        <v>71</v>
      </c>
      <c r="B1123" s="2" t="s">
        <v>72</v>
      </c>
      <c r="C1123" s="2" t="s">
        <v>73</v>
      </c>
      <c r="E1123" s="2" t="str">
        <f>"FES1162594155"</f>
        <v>FES1162594155</v>
      </c>
      <c r="F1123" s="3">
        <v>43075</v>
      </c>
      <c r="G1123" s="2">
        <v>201806</v>
      </c>
      <c r="H1123" s="2" t="s">
        <v>74</v>
      </c>
      <c r="I1123" s="2" t="s">
        <v>75</v>
      </c>
      <c r="J1123" s="2" t="s">
        <v>97</v>
      </c>
      <c r="K1123" s="2" t="s">
        <v>77</v>
      </c>
      <c r="L1123" s="2" t="s">
        <v>173</v>
      </c>
      <c r="M1123" s="2" t="s">
        <v>174</v>
      </c>
      <c r="N1123" s="2" t="s">
        <v>376</v>
      </c>
      <c r="O1123" s="2" t="s">
        <v>101</v>
      </c>
      <c r="P1123" s="2" t="str">
        <f>"2170603404                    "</f>
        <v xml:space="preserve">2170603404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6.43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45.93</v>
      </c>
      <c r="BM1123" s="2">
        <v>6.43</v>
      </c>
      <c r="BN1123" s="2">
        <v>52.36</v>
      </c>
      <c r="BO1123" s="2">
        <v>52.36</v>
      </c>
      <c r="BQ1123" s="2" t="s">
        <v>102</v>
      </c>
      <c r="BR1123" s="2" t="s">
        <v>103</v>
      </c>
      <c r="BS1123" s="3">
        <v>43076</v>
      </c>
      <c r="BT1123" s="4">
        <v>0.47847222222222219</v>
      </c>
      <c r="BU1123" s="2" t="s">
        <v>536</v>
      </c>
      <c r="BV1123" s="2" t="s">
        <v>89</v>
      </c>
      <c r="BW1123" s="2" t="s">
        <v>149</v>
      </c>
      <c r="BX1123" s="2" t="s">
        <v>246</v>
      </c>
      <c r="BY1123" s="2">
        <v>1200</v>
      </c>
      <c r="CA1123" s="2" t="s">
        <v>378</v>
      </c>
      <c r="CC1123" s="2" t="s">
        <v>174</v>
      </c>
      <c r="CD1123" s="2">
        <v>7490</v>
      </c>
      <c r="CE1123" s="2" t="s">
        <v>120</v>
      </c>
      <c r="CF1123" s="3">
        <v>43077</v>
      </c>
      <c r="CI1123" s="2">
        <v>1</v>
      </c>
      <c r="CJ1123" s="2">
        <v>1</v>
      </c>
      <c r="CK1123" s="2">
        <v>21</v>
      </c>
      <c r="CL1123" s="2" t="s">
        <v>89</v>
      </c>
    </row>
    <row r="1124" spans="1:90">
      <c r="A1124" s="2" t="s">
        <v>71</v>
      </c>
      <c r="B1124" s="2" t="s">
        <v>72</v>
      </c>
      <c r="C1124" s="2" t="s">
        <v>73</v>
      </c>
      <c r="E1124" s="2" t="str">
        <f>"FES1162593407"</f>
        <v>FES1162593407</v>
      </c>
      <c r="F1124" s="3">
        <v>43075</v>
      </c>
      <c r="G1124" s="2">
        <v>201806</v>
      </c>
      <c r="H1124" s="2" t="s">
        <v>74</v>
      </c>
      <c r="I1124" s="2" t="s">
        <v>75</v>
      </c>
      <c r="J1124" s="2" t="s">
        <v>97</v>
      </c>
      <c r="K1124" s="2" t="s">
        <v>77</v>
      </c>
      <c r="L1124" s="2" t="s">
        <v>136</v>
      </c>
      <c r="M1124" s="2" t="s">
        <v>137</v>
      </c>
      <c r="N1124" s="2" t="s">
        <v>1652</v>
      </c>
      <c r="O1124" s="2" t="s">
        <v>101</v>
      </c>
      <c r="P1124" s="2" t="str">
        <f>"2170603253                    "</f>
        <v xml:space="preserve">2170603253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49.85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15.2</v>
      </c>
      <c r="BJ1124" s="2">
        <v>3.4</v>
      </c>
      <c r="BK1124" s="2">
        <v>15.5</v>
      </c>
      <c r="BL1124" s="2">
        <v>355.84</v>
      </c>
      <c r="BM1124" s="2">
        <v>49.82</v>
      </c>
      <c r="BN1124" s="2">
        <v>405.66</v>
      </c>
      <c r="BO1124" s="2">
        <v>405.66</v>
      </c>
      <c r="BQ1124" s="2" t="s">
        <v>102</v>
      </c>
      <c r="BR1124" s="2" t="s">
        <v>103</v>
      </c>
      <c r="BS1124" s="3">
        <v>43076</v>
      </c>
      <c r="BT1124" s="4">
        <v>0.30902777777777779</v>
      </c>
      <c r="BU1124" s="2" t="s">
        <v>1653</v>
      </c>
      <c r="BV1124" s="2" t="s">
        <v>85</v>
      </c>
      <c r="BY1124" s="2">
        <v>16752.12</v>
      </c>
      <c r="CA1124" s="2" t="s">
        <v>180</v>
      </c>
      <c r="CC1124" s="2" t="s">
        <v>137</v>
      </c>
      <c r="CD1124" s="2">
        <v>6001</v>
      </c>
      <c r="CE1124" s="2" t="s">
        <v>95</v>
      </c>
      <c r="CF1124" s="3">
        <v>43080</v>
      </c>
      <c r="CI1124" s="2">
        <v>1</v>
      </c>
      <c r="CJ1124" s="2">
        <v>1</v>
      </c>
      <c r="CK1124" s="2">
        <v>21</v>
      </c>
      <c r="CL1124" s="2" t="s">
        <v>89</v>
      </c>
    </row>
    <row r="1125" spans="1:90">
      <c r="A1125" s="2" t="s">
        <v>71</v>
      </c>
      <c r="B1125" s="2" t="s">
        <v>72</v>
      </c>
      <c r="C1125" s="2" t="s">
        <v>73</v>
      </c>
      <c r="E1125" s="2" t="str">
        <f>"FES1162594152"</f>
        <v>FES1162594152</v>
      </c>
      <c r="F1125" s="3">
        <v>43075</v>
      </c>
      <c r="G1125" s="2">
        <v>201806</v>
      </c>
      <c r="H1125" s="2" t="s">
        <v>74</v>
      </c>
      <c r="I1125" s="2" t="s">
        <v>75</v>
      </c>
      <c r="J1125" s="2" t="s">
        <v>97</v>
      </c>
      <c r="K1125" s="2" t="s">
        <v>77</v>
      </c>
      <c r="L1125" s="2" t="s">
        <v>136</v>
      </c>
      <c r="M1125" s="2" t="s">
        <v>137</v>
      </c>
      <c r="N1125" s="2" t="s">
        <v>1026</v>
      </c>
      <c r="O1125" s="2" t="s">
        <v>101</v>
      </c>
      <c r="P1125" s="2" t="str">
        <f>"2170603388                    "</f>
        <v xml:space="preserve">2170603388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19.3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6</v>
      </c>
      <c r="BJ1125" s="2">
        <v>4.0999999999999996</v>
      </c>
      <c r="BK1125" s="2">
        <v>6</v>
      </c>
      <c r="BL1125" s="2">
        <v>137.76</v>
      </c>
      <c r="BM1125" s="2">
        <v>19.29</v>
      </c>
      <c r="BN1125" s="2">
        <v>157.05000000000001</v>
      </c>
      <c r="BO1125" s="2">
        <v>157.05000000000001</v>
      </c>
      <c r="BQ1125" s="2" t="s">
        <v>102</v>
      </c>
      <c r="BR1125" s="2" t="s">
        <v>103</v>
      </c>
      <c r="BS1125" s="3">
        <v>43076</v>
      </c>
      <c r="BT1125" s="4">
        <v>0.41666666666666669</v>
      </c>
      <c r="BU1125" s="2" t="s">
        <v>1654</v>
      </c>
      <c r="BV1125" s="2" t="s">
        <v>85</v>
      </c>
      <c r="BY1125" s="2">
        <v>20358</v>
      </c>
      <c r="CC1125" s="2" t="s">
        <v>137</v>
      </c>
      <c r="CD1125" s="2">
        <v>6001</v>
      </c>
      <c r="CE1125" s="2" t="s">
        <v>95</v>
      </c>
      <c r="CF1125" s="3">
        <v>43077</v>
      </c>
      <c r="CI1125" s="2">
        <v>1</v>
      </c>
      <c r="CJ1125" s="2">
        <v>1</v>
      </c>
      <c r="CK1125" s="2">
        <v>21</v>
      </c>
      <c r="CL1125" s="2" t="s">
        <v>89</v>
      </c>
    </row>
    <row r="1126" spans="1:90">
      <c r="A1126" s="2" t="s">
        <v>71</v>
      </c>
      <c r="B1126" s="2" t="s">
        <v>72</v>
      </c>
      <c r="C1126" s="2" t="s">
        <v>73</v>
      </c>
      <c r="E1126" s="2" t="str">
        <f>"FES1162594265"</f>
        <v>FES1162594265</v>
      </c>
      <c r="F1126" s="3">
        <v>43075</v>
      </c>
      <c r="G1126" s="2">
        <v>201806</v>
      </c>
      <c r="H1126" s="2" t="s">
        <v>74</v>
      </c>
      <c r="I1126" s="2" t="s">
        <v>75</v>
      </c>
      <c r="J1126" s="2" t="s">
        <v>97</v>
      </c>
      <c r="K1126" s="2" t="s">
        <v>77</v>
      </c>
      <c r="L1126" s="2" t="s">
        <v>212</v>
      </c>
      <c r="M1126" s="2" t="s">
        <v>212</v>
      </c>
      <c r="N1126" s="2" t="s">
        <v>370</v>
      </c>
      <c r="O1126" s="2" t="s">
        <v>101</v>
      </c>
      <c r="P1126" s="2" t="str">
        <f>"2170605715                    "</f>
        <v xml:space="preserve">2170605715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6.43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</v>
      </c>
      <c r="BJ1126" s="2">
        <v>0.2</v>
      </c>
      <c r="BK1126" s="2">
        <v>1</v>
      </c>
      <c r="BL1126" s="2">
        <v>45.93</v>
      </c>
      <c r="BM1126" s="2">
        <v>6.43</v>
      </c>
      <c r="BN1126" s="2">
        <v>52.36</v>
      </c>
      <c r="BO1126" s="2">
        <v>52.36</v>
      </c>
      <c r="BQ1126" s="2" t="s">
        <v>102</v>
      </c>
      <c r="BR1126" s="2" t="s">
        <v>103</v>
      </c>
      <c r="BS1126" s="3">
        <v>43076</v>
      </c>
      <c r="BT1126" s="4">
        <v>0.61111111111111105</v>
      </c>
      <c r="BU1126" s="2" t="s">
        <v>538</v>
      </c>
      <c r="BV1126" s="2" t="s">
        <v>89</v>
      </c>
      <c r="BW1126" s="2" t="s">
        <v>149</v>
      </c>
      <c r="BX1126" s="2" t="s">
        <v>1413</v>
      </c>
      <c r="BY1126" s="2">
        <v>1200</v>
      </c>
      <c r="CA1126" s="2" t="s">
        <v>532</v>
      </c>
      <c r="CC1126" s="2" t="s">
        <v>212</v>
      </c>
      <c r="CD1126" s="2">
        <v>7646</v>
      </c>
      <c r="CE1126" s="2" t="s">
        <v>120</v>
      </c>
      <c r="CF1126" s="3">
        <v>43076</v>
      </c>
      <c r="CI1126" s="2">
        <v>1</v>
      </c>
      <c r="CJ1126" s="2">
        <v>1</v>
      </c>
      <c r="CK1126" s="2">
        <v>21</v>
      </c>
      <c r="CL1126" s="2" t="s">
        <v>89</v>
      </c>
    </row>
    <row r="1127" spans="1:90">
      <c r="A1127" s="2" t="s">
        <v>71</v>
      </c>
      <c r="B1127" s="2" t="s">
        <v>72</v>
      </c>
      <c r="C1127" s="2" t="s">
        <v>73</v>
      </c>
      <c r="E1127" s="2" t="str">
        <f>"FES1162594304"</f>
        <v>FES1162594304</v>
      </c>
      <c r="F1127" s="3">
        <v>43075</v>
      </c>
      <c r="G1127" s="2">
        <v>201806</v>
      </c>
      <c r="H1127" s="2" t="s">
        <v>74</v>
      </c>
      <c r="I1127" s="2" t="s">
        <v>75</v>
      </c>
      <c r="J1127" s="2" t="s">
        <v>97</v>
      </c>
      <c r="K1127" s="2" t="s">
        <v>77</v>
      </c>
      <c r="L1127" s="2" t="s">
        <v>173</v>
      </c>
      <c r="M1127" s="2" t="s">
        <v>174</v>
      </c>
      <c r="N1127" s="2" t="s">
        <v>376</v>
      </c>
      <c r="O1127" s="2" t="s">
        <v>101</v>
      </c>
      <c r="P1127" s="2" t="str">
        <f>"2170603404                    "</f>
        <v xml:space="preserve">2170603404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6.43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0.2</v>
      </c>
      <c r="BK1127" s="2">
        <v>1</v>
      </c>
      <c r="BL1127" s="2">
        <v>45.93</v>
      </c>
      <c r="BM1127" s="2">
        <v>6.43</v>
      </c>
      <c r="BN1127" s="2">
        <v>52.36</v>
      </c>
      <c r="BO1127" s="2">
        <v>52.36</v>
      </c>
      <c r="BQ1127" s="2" t="s">
        <v>102</v>
      </c>
      <c r="BR1127" s="2" t="s">
        <v>103</v>
      </c>
      <c r="BS1127" s="3">
        <v>43076</v>
      </c>
      <c r="BT1127" s="4">
        <v>0.47847222222222219</v>
      </c>
      <c r="BU1127" s="2" t="s">
        <v>536</v>
      </c>
      <c r="BV1127" s="2" t="s">
        <v>89</v>
      </c>
      <c r="BW1127" s="2" t="s">
        <v>149</v>
      </c>
      <c r="BX1127" s="2" t="s">
        <v>246</v>
      </c>
      <c r="BY1127" s="2">
        <v>1200</v>
      </c>
      <c r="CA1127" s="2" t="s">
        <v>378</v>
      </c>
      <c r="CC1127" s="2" t="s">
        <v>174</v>
      </c>
      <c r="CD1127" s="2">
        <v>7490</v>
      </c>
      <c r="CE1127" s="2" t="s">
        <v>120</v>
      </c>
      <c r="CF1127" s="3">
        <v>43077</v>
      </c>
      <c r="CI1127" s="2">
        <v>1</v>
      </c>
      <c r="CJ1127" s="2">
        <v>1</v>
      </c>
      <c r="CK1127" s="2">
        <v>21</v>
      </c>
      <c r="CL1127" s="2" t="s">
        <v>89</v>
      </c>
    </row>
    <row r="1128" spans="1:90">
      <c r="A1128" s="2" t="s">
        <v>71</v>
      </c>
      <c r="B1128" s="2" t="s">
        <v>72</v>
      </c>
      <c r="C1128" s="2" t="s">
        <v>73</v>
      </c>
      <c r="E1128" s="2" t="str">
        <f>"FES1162594224"</f>
        <v>FES1162594224</v>
      </c>
      <c r="F1128" s="3">
        <v>43075</v>
      </c>
      <c r="G1128" s="2">
        <v>201806</v>
      </c>
      <c r="H1128" s="2" t="s">
        <v>74</v>
      </c>
      <c r="I1128" s="2" t="s">
        <v>75</v>
      </c>
      <c r="J1128" s="2" t="s">
        <v>97</v>
      </c>
      <c r="K1128" s="2" t="s">
        <v>77</v>
      </c>
      <c r="L1128" s="2" t="s">
        <v>449</v>
      </c>
      <c r="M1128" s="2" t="s">
        <v>450</v>
      </c>
      <c r="N1128" s="2" t="s">
        <v>841</v>
      </c>
      <c r="O1128" s="2" t="s">
        <v>101</v>
      </c>
      <c r="P1128" s="2" t="str">
        <f>"2170604620                    "</f>
        <v xml:space="preserve">2170604620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5.03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3.3</v>
      </c>
      <c r="BJ1128" s="2">
        <v>6.1</v>
      </c>
      <c r="BK1128" s="2">
        <v>7</v>
      </c>
      <c r="BL1128" s="2">
        <v>35.89</v>
      </c>
      <c r="BM1128" s="2">
        <v>5.0199999999999996</v>
      </c>
      <c r="BN1128" s="2">
        <v>40.909999999999997</v>
      </c>
      <c r="BO1128" s="2">
        <v>40.909999999999997</v>
      </c>
      <c r="BQ1128" s="2" t="s">
        <v>82</v>
      </c>
      <c r="BR1128" s="2" t="s">
        <v>103</v>
      </c>
      <c r="BS1128" s="3">
        <v>43076</v>
      </c>
      <c r="BT1128" s="4">
        <v>0.36180555555555555</v>
      </c>
      <c r="BU1128" s="2" t="s">
        <v>1655</v>
      </c>
      <c r="BV1128" s="2" t="s">
        <v>85</v>
      </c>
      <c r="BY1128" s="2">
        <v>30599.3</v>
      </c>
      <c r="CA1128" s="2" t="s">
        <v>843</v>
      </c>
      <c r="CC1128" s="2" t="s">
        <v>450</v>
      </c>
      <c r="CD1128" s="2">
        <v>1724</v>
      </c>
      <c r="CE1128" s="2" t="s">
        <v>87</v>
      </c>
      <c r="CF1128" s="3">
        <v>43080</v>
      </c>
      <c r="CI1128" s="2">
        <v>1</v>
      </c>
      <c r="CJ1128" s="2">
        <v>1</v>
      </c>
      <c r="CK1128" s="2">
        <v>22</v>
      </c>
      <c r="CL1128" s="2" t="s">
        <v>89</v>
      </c>
    </row>
    <row r="1129" spans="1:90">
      <c r="A1129" s="2" t="s">
        <v>71</v>
      </c>
      <c r="B1129" s="2" t="s">
        <v>72</v>
      </c>
      <c r="C1129" s="2" t="s">
        <v>73</v>
      </c>
      <c r="E1129" s="2" t="str">
        <f>"FES1162594050"</f>
        <v>FES1162594050</v>
      </c>
      <c r="F1129" s="3">
        <v>43075</v>
      </c>
      <c r="G1129" s="2">
        <v>201806</v>
      </c>
      <c r="H1129" s="2" t="s">
        <v>74</v>
      </c>
      <c r="I1129" s="2" t="s">
        <v>75</v>
      </c>
      <c r="J1129" s="2" t="s">
        <v>97</v>
      </c>
      <c r="K1129" s="2" t="s">
        <v>77</v>
      </c>
      <c r="L1129" s="2" t="s">
        <v>325</v>
      </c>
      <c r="M1129" s="2" t="s">
        <v>326</v>
      </c>
      <c r="N1129" s="2" t="s">
        <v>1656</v>
      </c>
      <c r="O1129" s="2" t="s">
        <v>101</v>
      </c>
      <c r="P1129" s="2" t="str">
        <f>"2170606057                    "</f>
        <v xml:space="preserve">2170606057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6.43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2</v>
      </c>
      <c r="BJ1129" s="2">
        <v>1.1000000000000001</v>
      </c>
      <c r="BK1129" s="2">
        <v>2</v>
      </c>
      <c r="BL1129" s="2">
        <v>45.93</v>
      </c>
      <c r="BM1129" s="2">
        <v>6.43</v>
      </c>
      <c r="BN1129" s="2">
        <v>52.36</v>
      </c>
      <c r="BO1129" s="2">
        <v>52.36</v>
      </c>
      <c r="BQ1129" s="2" t="s">
        <v>82</v>
      </c>
      <c r="BR1129" s="2" t="s">
        <v>103</v>
      </c>
      <c r="BS1129" s="3">
        <v>43076</v>
      </c>
      <c r="BT1129" s="4">
        <v>0.38750000000000001</v>
      </c>
      <c r="BU1129" s="2" t="s">
        <v>1657</v>
      </c>
      <c r="BV1129" s="2" t="s">
        <v>85</v>
      </c>
      <c r="BY1129" s="2">
        <v>5700</v>
      </c>
      <c r="CA1129" s="2" t="s">
        <v>1326</v>
      </c>
      <c r="CC1129" s="2" t="s">
        <v>326</v>
      </c>
      <c r="CD1129" s="2">
        <v>1939</v>
      </c>
      <c r="CE1129" s="2" t="s">
        <v>87</v>
      </c>
      <c r="CF1129" s="3">
        <v>43080</v>
      </c>
      <c r="CI1129" s="2">
        <v>1</v>
      </c>
      <c r="CJ1129" s="2">
        <v>1</v>
      </c>
      <c r="CK1129" s="2">
        <v>21</v>
      </c>
      <c r="CL1129" s="2" t="s">
        <v>89</v>
      </c>
    </row>
    <row r="1130" spans="1:90">
      <c r="A1130" s="2" t="s">
        <v>71</v>
      </c>
      <c r="B1130" s="2" t="s">
        <v>72</v>
      </c>
      <c r="C1130" s="2" t="s">
        <v>73</v>
      </c>
      <c r="E1130" s="2" t="str">
        <f>"FES1162594066"</f>
        <v>FES1162594066</v>
      </c>
      <c r="F1130" s="3">
        <v>43075</v>
      </c>
      <c r="G1130" s="2">
        <v>201806</v>
      </c>
      <c r="H1130" s="2" t="s">
        <v>74</v>
      </c>
      <c r="I1130" s="2" t="s">
        <v>75</v>
      </c>
      <c r="J1130" s="2" t="s">
        <v>97</v>
      </c>
      <c r="K1130" s="2" t="s">
        <v>77</v>
      </c>
      <c r="L1130" s="2" t="s">
        <v>277</v>
      </c>
      <c r="M1130" s="2" t="s">
        <v>278</v>
      </c>
      <c r="N1130" s="2" t="s">
        <v>1394</v>
      </c>
      <c r="O1130" s="2" t="s">
        <v>101</v>
      </c>
      <c r="P1130" s="2" t="str">
        <f>"21170606073                   "</f>
        <v xml:space="preserve">21170606073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5.03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1.1000000000000001</v>
      </c>
      <c r="BJ1130" s="2">
        <v>1.4</v>
      </c>
      <c r="BK1130" s="2">
        <v>2</v>
      </c>
      <c r="BL1130" s="2">
        <v>35.89</v>
      </c>
      <c r="BM1130" s="2">
        <v>5.0199999999999996</v>
      </c>
      <c r="BN1130" s="2">
        <v>40.909999999999997</v>
      </c>
      <c r="BO1130" s="2">
        <v>40.909999999999997</v>
      </c>
      <c r="BP1130" s="2" t="s">
        <v>1658</v>
      </c>
      <c r="BR1130" s="2" t="s">
        <v>103</v>
      </c>
      <c r="BS1130" s="3">
        <v>43076</v>
      </c>
      <c r="BT1130" s="4">
        <v>0.41666666666666669</v>
      </c>
      <c r="BU1130" s="2" t="s">
        <v>1659</v>
      </c>
      <c r="BV1130" s="2" t="s">
        <v>85</v>
      </c>
      <c r="BY1130" s="2">
        <v>7228.97</v>
      </c>
      <c r="CA1130" s="2" t="s">
        <v>320</v>
      </c>
      <c r="CC1130" s="2" t="s">
        <v>278</v>
      </c>
      <c r="CD1130" s="2">
        <v>2163</v>
      </c>
      <c r="CE1130" s="2" t="s">
        <v>87</v>
      </c>
      <c r="CF1130" s="3">
        <v>43080</v>
      </c>
      <c r="CI1130" s="2">
        <v>1</v>
      </c>
      <c r="CJ1130" s="2">
        <v>1</v>
      </c>
      <c r="CK1130" s="2">
        <v>22</v>
      </c>
      <c r="CL1130" s="2" t="s">
        <v>89</v>
      </c>
    </row>
    <row r="1131" spans="1:90">
      <c r="A1131" s="2" t="s">
        <v>71</v>
      </c>
      <c r="B1131" s="2" t="s">
        <v>72</v>
      </c>
      <c r="C1131" s="2" t="s">
        <v>73</v>
      </c>
      <c r="E1131" s="2" t="str">
        <f>"FES1162594179"</f>
        <v>FES1162594179</v>
      </c>
      <c r="F1131" s="3">
        <v>43075</v>
      </c>
      <c r="G1131" s="2">
        <v>201806</v>
      </c>
      <c r="H1131" s="2" t="s">
        <v>74</v>
      </c>
      <c r="I1131" s="2" t="s">
        <v>75</v>
      </c>
      <c r="J1131" s="2" t="s">
        <v>97</v>
      </c>
      <c r="K1131" s="2" t="s">
        <v>77</v>
      </c>
      <c r="L1131" s="2" t="s">
        <v>136</v>
      </c>
      <c r="M1131" s="2" t="s">
        <v>137</v>
      </c>
      <c r="N1131" s="2" t="s">
        <v>138</v>
      </c>
      <c r="O1131" s="2" t="s">
        <v>101</v>
      </c>
      <c r="P1131" s="2" t="str">
        <f>"2170603610                    "</f>
        <v xml:space="preserve">2170603610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6.43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45.93</v>
      </c>
      <c r="BM1131" s="2">
        <v>6.43</v>
      </c>
      <c r="BN1131" s="2">
        <v>52.36</v>
      </c>
      <c r="BO1131" s="2">
        <v>52.36</v>
      </c>
      <c r="BQ1131" s="2" t="s">
        <v>82</v>
      </c>
      <c r="BR1131" s="2" t="s">
        <v>103</v>
      </c>
      <c r="BS1131" s="3">
        <v>43076</v>
      </c>
      <c r="BT1131" s="4">
        <v>0.35416666666666669</v>
      </c>
      <c r="BU1131" s="2" t="s">
        <v>139</v>
      </c>
      <c r="BV1131" s="2" t="s">
        <v>85</v>
      </c>
      <c r="BY1131" s="2">
        <v>1200</v>
      </c>
      <c r="BZ1131" s="2" t="s">
        <v>27</v>
      </c>
      <c r="CA1131" s="2" t="s">
        <v>140</v>
      </c>
      <c r="CC1131" s="2" t="s">
        <v>137</v>
      </c>
      <c r="CD1131" s="2">
        <v>6001</v>
      </c>
      <c r="CE1131" s="2" t="s">
        <v>120</v>
      </c>
      <c r="CF1131" s="3">
        <v>43077</v>
      </c>
      <c r="CI1131" s="2">
        <v>1</v>
      </c>
      <c r="CJ1131" s="2">
        <v>1</v>
      </c>
      <c r="CK1131" s="2">
        <v>21</v>
      </c>
      <c r="CL1131" s="2" t="s">
        <v>89</v>
      </c>
    </row>
    <row r="1132" spans="1:90">
      <c r="A1132" s="2" t="s">
        <v>71</v>
      </c>
      <c r="B1132" s="2" t="s">
        <v>72</v>
      </c>
      <c r="C1132" s="2" t="s">
        <v>73</v>
      </c>
      <c r="E1132" s="2" t="str">
        <f>"FES1162594112"</f>
        <v>FES1162594112</v>
      </c>
      <c r="F1132" s="3">
        <v>43075</v>
      </c>
      <c r="G1132" s="2">
        <v>201806</v>
      </c>
      <c r="H1132" s="2" t="s">
        <v>74</v>
      </c>
      <c r="I1132" s="2" t="s">
        <v>75</v>
      </c>
      <c r="J1132" s="2" t="s">
        <v>97</v>
      </c>
      <c r="K1132" s="2" t="s">
        <v>77</v>
      </c>
      <c r="L1132" s="2" t="s">
        <v>136</v>
      </c>
      <c r="M1132" s="2" t="s">
        <v>137</v>
      </c>
      <c r="N1132" s="2" t="s">
        <v>138</v>
      </c>
      <c r="O1132" s="2" t="s">
        <v>101</v>
      </c>
      <c r="P1132" s="2" t="str">
        <f>"2170597290                    "</f>
        <v xml:space="preserve">2170597290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6.43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45.93</v>
      </c>
      <c r="BM1132" s="2">
        <v>6.43</v>
      </c>
      <c r="BN1132" s="2">
        <v>52.36</v>
      </c>
      <c r="BO1132" s="2">
        <v>52.36</v>
      </c>
      <c r="BQ1132" s="2" t="s">
        <v>82</v>
      </c>
      <c r="BR1132" s="2" t="s">
        <v>103</v>
      </c>
      <c r="BS1132" s="3">
        <v>43076</v>
      </c>
      <c r="BT1132" s="4">
        <v>0.35416666666666669</v>
      </c>
      <c r="BU1132" s="2" t="s">
        <v>139</v>
      </c>
      <c r="BV1132" s="2" t="s">
        <v>85</v>
      </c>
      <c r="BY1132" s="2">
        <v>1200</v>
      </c>
      <c r="BZ1132" s="2" t="s">
        <v>27</v>
      </c>
      <c r="CA1132" s="2" t="s">
        <v>140</v>
      </c>
      <c r="CC1132" s="2" t="s">
        <v>137</v>
      </c>
      <c r="CD1132" s="2">
        <v>6001</v>
      </c>
      <c r="CE1132" s="2" t="s">
        <v>120</v>
      </c>
      <c r="CF1132" s="3">
        <v>43077</v>
      </c>
      <c r="CI1132" s="2">
        <v>1</v>
      </c>
      <c r="CJ1132" s="2">
        <v>1</v>
      </c>
      <c r="CK1132" s="2">
        <v>21</v>
      </c>
      <c r="CL1132" s="2" t="s">
        <v>89</v>
      </c>
    </row>
    <row r="1133" spans="1:90">
      <c r="A1133" s="2" t="s">
        <v>71</v>
      </c>
      <c r="B1133" s="2" t="s">
        <v>72</v>
      </c>
      <c r="C1133" s="2" t="s">
        <v>73</v>
      </c>
      <c r="E1133" s="2" t="str">
        <f>"FES1162594436"</f>
        <v>FES1162594436</v>
      </c>
      <c r="F1133" s="3">
        <v>43075</v>
      </c>
      <c r="G1133" s="2">
        <v>201806</v>
      </c>
      <c r="H1133" s="2" t="s">
        <v>74</v>
      </c>
      <c r="I1133" s="2" t="s">
        <v>75</v>
      </c>
      <c r="J1133" s="2" t="s">
        <v>97</v>
      </c>
      <c r="K1133" s="2" t="s">
        <v>77</v>
      </c>
      <c r="L1133" s="2" t="s">
        <v>189</v>
      </c>
      <c r="M1133" s="2" t="s">
        <v>190</v>
      </c>
      <c r="N1133" s="2" t="s">
        <v>574</v>
      </c>
      <c r="O1133" s="2" t="s">
        <v>101</v>
      </c>
      <c r="P1133" s="2" t="str">
        <f>"217060284                     "</f>
        <v xml:space="preserve">217060284 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6.43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1</v>
      </c>
      <c r="BJ1133" s="2">
        <v>0.2</v>
      </c>
      <c r="BK1133" s="2">
        <v>1</v>
      </c>
      <c r="BL1133" s="2">
        <v>45.93</v>
      </c>
      <c r="BM1133" s="2">
        <v>6.43</v>
      </c>
      <c r="BN1133" s="2">
        <v>52.36</v>
      </c>
      <c r="BO1133" s="2">
        <v>52.36</v>
      </c>
      <c r="BQ1133" s="2" t="s">
        <v>102</v>
      </c>
      <c r="BR1133" s="2" t="s">
        <v>103</v>
      </c>
      <c r="BS1133" s="3">
        <v>43076</v>
      </c>
      <c r="BT1133" s="4">
        <v>0.54513888888888895</v>
      </c>
      <c r="BU1133" s="2" t="s">
        <v>1089</v>
      </c>
      <c r="BV1133" s="2" t="s">
        <v>89</v>
      </c>
      <c r="BW1133" s="2" t="s">
        <v>156</v>
      </c>
      <c r="BX1133" s="2" t="s">
        <v>565</v>
      </c>
      <c r="BY1133" s="2">
        <v>1200</v>
      </c>
      <c r="CC1133" s="2" t="s">
        <v>190</v>
      </c>
      <c r="CD1133" s="2">
        <v>157</v>
      </c>
      <c r="CE1133" s="2" t="s">
        <v>120</v>
      </c>
      <c r="CF1133" s="3">
        <v>43080</v>
      </c>
      <c r="CI1133" s="2">
        <v>1</v>
      </c>
      <c r="CJ1133" s="2">
        <v>1</v>
      </c>
      <c r="CK1133" s="2">
        <v>21</v>
      </c>
      <c r="CL1133" s="2" t="s">
        <v>89</v>
      </c>
    </row>
    <row r="1134" spans="1:90">
      <c r="A1134" s="2" t="s">
        <v>71</v>
      </c>
      <c r="B1134" s="2" t="s">
        <v>72</v>
      </c>
      <c r="C1134" s="2" t="s">
        <v>73</v>
      </c>
      <c r="E1134" s="2" t="str">
        <f>"FES1162594362"</f>
        <v>FES1162594362</v>
      </c>
      <c r="F1134" s="3">
        <v>43075</v>
      </c>
      <c r="G1134" s="2">
        <v>201806</v>
      </c>
      <c r="H1134" s="2" t="s">
        <v>74</v>
      </c>
      <c r="I1134" s="2" t="s">
        <v>75</v>
      </c>
      <c r="J1134" s="2" t="s">
        <v>97</v>
      </c>
      <c r="K1134" s="2" t="s">
        <v>77</v>
      </c>
      <c r="L1134" s="2" t="s">
        <v>566</v>
      </c>
      <c r="M1134" s="2" t="s">
        <v>567</v>
      </c>
      <c r="N1134" s="2" t="s">
        <v>888</v>
      </c>
      <c r="O1134" s="2" t="s">
        <v>101</v>
      </c>
      <c r="P1134" s="2" t="str">
        <f>"2170606190                    "</f>
        <v xml:space="preserve">2170606190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9.0500000000000007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64.599999999999994</v>
      </c>
      <c r="BM1134" s="2">
        <v>9.0399999999999991</v>
      </c>
      <c r="BN1134" s="2">
        <v>73.64</v>
      </c>
      <c r="BO1134" s="2">
        <v>73.64</v>
      </c>
      <c r="BQ1134" s="2" t="s">
        <v>102</v>
      </c>
      <c r="BR1134" s="2" t="s">
        <v>103</v>
      </c>
      <c r="BS1134" s="3">
        <v>43076</v>
      </c>
      <c r="BT1134" s="4">
        <v>0.45</v>
      </c>
      <c r="BU1134" s="2" t="s">
        <v>889</v>
      </c>
      <c r="BV1134" s="2" t="s">
        <v>85</v>
      </c>
      <c r="BY1134" s="2">
        <v>1200</v>
      </c>
      <c r="CA1134" s="2" t="s">
        <v>890</v>
      </c>
      <c r="CC1134" s="2" t="s">
        <v>567</v>
      </c>
      <c r="CD1134" s="2">
        <v>1739</v>
      </c>
      <c r="CE1134" s="2" t="s">
        <v>120</v>
      </c>
      <c r="CF1134" s="3">
        <v>43080</v>
      </c>
      <c r="CI1134" s="2">
        <v>1</v>
      </c>
      <c r="CJ1134" s="2">
        <v>1</v>
      </c>
      <c r="CK1134" s="2">
        <v>24</v>
      </c>
      <c r="CL1134" s="2" t="s">
        <v>89</v>
      </c>
    </row>
    <row r="1135" spans="1:90">
      <c r="A1135" s="2" t="s">
        <v>71</v>
      </c>
      <c r="B1135" s="2" t="s">
        <v>72</v>
      </c>
      <c r="C1135" s="2" t="s">
        <v>73</v>
      </c>
      <c r="E1135" s="2" t="str">
        <f>"FES1162594147"</f>
        <v>FES1162594147</v>
      </c>
      <c r="F1135" s="3">
        <v>43075</v>
      </c>
      <c r="G1135" s="2">
        <v>201806</v>
      </c>
      <c r="H1135" s="2" t="s">
        <v>74</v>
      </c>
      <c r="I1135" s="2" t="s">
        <v>75</v>
      </c>
      <c r="J1135" s="2" t="s">
        <v>97</v>
      </c>
      <c r="K1135" s="2" t="s">
        <v>77</v>
      </c>
      <c r="L1135" s="2" t="s">
        <v>152</v>
      </c>
      <c r="M1135" s="2" t="s">
        <v>153</v>
      </c>
      <c r="N1135" s="2" t="s">
        <v>1660</v>
      </c>
      <c r="O1135" s="2" t="s">
        <v>101</v>
      </c>
      <c r="P1135" s="2" t="str">
        <f>"2170603235                    "</f>
        <v xml:space="preserve">2170603235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5.03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5.3</v>
      </c>
      <c r="BJ1135" s="2">
        <v>3.5</v>
      </c>
      <c r="BK1135" s="2">
        <v>6</v>
      </c>
      <c r="BL1135" s="2">
        <v>35.89</v>
      </c>
      <c r="BM1135" s="2">
        <v>5.0199999999999996</v>
      </c>
      <c r="BN1135" s="2">
        <v>40.909999999999997</v>
      </c>
      <c r="BO1135" s="2">
        <v>40.909999999999997</v>
      </c>
      <c r="BQ1135" s="2" t="s">
        <v>128</v>
      </c>
      <c r="BR1135" s="2" t="s">
        <v>103</v>
      </c>
      <c r="BS1135" s="3">
        <v>43077</v>
      </c>
      <c r="BT1135" s="4">
        <v>0.4375</v>
      </c>
      <c r="BU1135" s="2" t="s">
        <v>428</v>
      </c>
      <c r="BV1135" s="2" t="s">
        <v>89</v>
      </c>
      <c r="BW1135" s="2" t="s">
        <v>149</v>
      </c>
      <c r="BX1135" s="2" t="s">
        <v>456</v>
      </c>
      <c r="BY1135" s="2">
        <v>17594.88</v>
      </c>
      <c r="CC1135" s="2" t="s">
        <v>153</v>
      </c>
      <c r="CD1135" s="2">
        <v>1401</v>
      </c>
      <c r="CE1135" s="2" t="s">
        <v>95</v>
      </c>
      <c r="CF1135" s="3">
        <v>43080</v>
      </c>
      <c r="CI1135" s="2">
        <v>1</v>
      </c>
      <c r="CJ1135" s="2">
        <v>2</v>
      </c>
      <c r="CK1135" s="2">
        <v>22</v>
      </c>
      <c r="CL1135" s="2" t="s">
        <v>89</v>
      </c>
    </row>
    <row r="1136" spans="1:90">
      <c r="A1136" s="2" t="s">
        <v>71</v>
      </c>
      <c r="B1136" s="2" t="s">
        <v>72</v>
      </c>
      <c r="C1136" s="2" t="s">
        <v>73</v>
      </c>
      <c r="E1136" s="2" t="str">
        <f>"FES1162594337"</f>
        <v>FES1162594337</v>
      </c>
      <c r="F1136" s="3">
        <v>43075</v>
      </c>
      <c r="G1136" s="2">
        <v>201806</v>
      </c>
      <c r="H1136" s="2" t="s">
        <v>74</v>
      </c>
      <c r="I1136" s="2" t="s">
        <v>75</v>
      </c>
      <c r="J1136" s="2" t="s">
        <v>97</v>
      </c>
      <c r="K1136" s="2" t="s">
        <v>77</v>
      </c>
      <c r="L1136" s="2" t="s">
        <v>173</v>
      </c>
      <c r="M1136" s="2" t="s">
        <v>174</v>
      </c>
      <c r="N1136" s="2" t="s">
        <v>1208</v>
      </c>
      <c r="O1136" s="2" t="s">
        <v>101</v>
      </c>
      <c r="P1136" s="2" t="str">
        <f>"2170606169                    "</f>
        <v xml:space="preserve">2170606169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6.43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1.6</v>
      </c>
      <c r="BJ1136" s="2">
        <v>1.5</v>
      </c>
      <c r="BK1136" s="2">
        <v>2</v>
      </c>
      <c r="BL1136" s="2">
        <v>45.93</v>
      </c>
      <c r="BM1136" s="2">
        <v>6.43</v>
      </c>
      <c r="BN1136" s="2">
        <v>52.36</v>
      </c>
      <c r="BO1136" s="2">
        <v>52.36</v>
      </c>
      <c r="BQ1136" s="2" t="s">
        <v>102</v>
      </c>
      <c r="BR1136" s="2" t="s">
        <v>103</v>
      </c>
      <c r="BS1136" s="3">
        <v>43076</v>
      </c>
      <c r="BT1136" s="4">
        <v>0.55069444444444449</v>
      </c>
      <c r="BU1136" s="2" t="s">
        <v>1209</v>
      </c>
      <c r="BV1136" s="2" t="s">
        <v>89</v>
      </c>
      <c r="BW1136" s="2" t="s">
        <v>149</v>
      </c>
      <c r="BX1136" s="2" t="s">
        <v>246</v>
      </c>
      <c r="BY1136" s="2">
        <v>7502.7</v>
      </c>
      <c r="CA1136" s="2" t="s">
        <v>743</v>
      </c>
      <c r="CC1136" s="2" t="s">
        <v>174</v>
      </c>
      <c r="CD1136" s="2">
        <v>7925</v>
      </c>
      <c r="CE1136" s="2" t="s">
        <v>95</v>
      </c>
      <c r="CF1136" s="3">
        <v>43077</v>
      </c>
      <c r="CI1136" s="2">
        <v>1</v>
      </c>
      <c r="CJ1136" s="2">
        <v>1</v>
      </c>
      <c r="CK1136" s="2">
        <v>21</v>
      </c>
      <c r="CL1136" s="2" t="s">
        <v>89</v>
      </c>
    </row>
    <row r="1137" spans="1:90">
      <c r="A1137" s="2" t="s">
        <v>71</v>
      </c>
      <c r="B1137" s="2" t="s">
        <v>72</v>
      </c>
      <c r="C1137" s="2" t="s">
        <v>73</v>
      </c>
      <c r="E1137" s="2" t="str">
        <f>"FES1162594279"</f>
        <v>FES1162594279</v>
      </c>
      <c r="F1137" s="3">
        <v>43075</v>
      </c>
      <c r="G1137" s="2">
        <v>201806</v>
      </c>
      <c r="H1137" s="2" t="s">
        <v>74</v>
      </c>
      <c r="I1137" s="2" t="s">
        <v>75</v>
      </c>
      <c r="J1137" s="2" t="s">
        <v>97</v>
      </c>
      <c r="K1137" s="2" t="s">
        <v>77</v>
      </c>
      <c r="L1137" s="2" t="s">
        <v>173</v>
      </c>
      <c r="M1137" s="2" t="s">
        <v>174</v>
      </c>
      <c r="N1137" s="2" t="s">
        <v>376</v>
      </c>
      <c r="O1137" s="2" t="s">
        <v>101</v>
      </c>
      <c r="P1137" s="2" t="str">
        <f>"2170605829                    "</f>
        <v xml:space="preserve">2170605829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6.43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1</v>
      </c>
      <c r="BJ1137" s="2">
        <v>0.2</v>
      </c>
      <c r="BK1137" s="2">
        <v>1</v>
      </c>
      <c r="BL1137" s="2">
        <v>45.93</v>
      </c>
      <c r="BM1137" s="2">
        <v>6.43</v>
      </c>
      <c r="BN1137" s="2">
        <v>52.36</v>
      </c>
      <c r="BO1137" s="2">
        <v>52.36</v>
      </c>
      <c r="BQ1137" s="2" t="s">
        <v>102</v>
      </c>
      <c r="BR1137" s="2" t="s">
        <v>103</v>
      </c>
      <c r="BS1137" s="3">
        <v>43076</v>
      </c>
      <c r="BT1137" s="4">
        <v>0.47847222222222219</v>
      </c>
      <c r="BU1137" s="2" t="s">
        <v>536</v>
      </c>
      <c r="BV1137" s="2" t="s">
        <v>89</v>
      </c>
      <c r="BW1137" s="2" t="s">
        <v>149</v>
      </c>
      <c r="BX1137" s="2" t="s">
        <v>246</v>
      </c>
      <c r="BY1137" s="2">
        <v>1200</v>
      </c>
      <c r="CA1137" s="2" t="s">
        <v>378</v>
      </c>
      <c r="CC1137" s="2" t="s">
        <v>174</v>
      </c>
      <c r="CD1137" s="2">
        <v>7490</v>
      </c>
      <c r="CE1137" s="2" t="s">
        <v>120</v>
      </c>
      <c r="CF1137" s="3">
        <v>43077</v>
      </c>
      <c r="CI1137" s="2">
        <v>1</v>
      </c>
      <c r="CJ1137" s="2">
        <v>1</v>
      </c>
      <c r="CK1137" s="2">
        <v>21</v>
      </c>
      <c r="CL1137" s="2" t="s">
        <v>89</v>
      </c>
    </row>
    <row r="1138" spans="1:90">
      <c r="A1138" s="2" t="s">
        <v>71</v>
      </c>
      <c r="B1138" s="2" t="s">
        <v>72</v>
      </c>
      <c r="C1138" s="2" t="s">
        <v>73</v>
      </c>
      <c r="E1138" s="2" t="str">
        <f>"FES1162594272"</f>
        <v>FES1162594272</v>
      </c>
      <c r="F1138" s="3">
        <v>43075</v>
      </c>
      <c r="G1138" s="2">
        <v>201806</v>
      </c>
      <c r="H1138" s="2" t="s">
        <v>74</v>
      </c>
      <c r="I1138" s="2" t="s">
        <v>75</v>
      </c>
      <c r="J1138" s="2" t="s">
        <v>97</v>
      </c>
      <c r="K1138" s="2" t="s">
        <v>77</v>
      </c>
      <c r="L1138" s="2" t="s">
        <v>521</v>
      </c>
      <c r="M1138" s="2" t="s">
        <v>522</v>
      </c>
      <c r="N1138" s="2" t="s">
        <v>523</v>
      </c>
      <c r="O1138" s="2" t="s">
        <v>101</v>
      </c>
      <c r="P1138" s="2" t="str">
        <f>"2170605764                    "</f>
        <v xml:space="preserve">2170605764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6.43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</v>
      </c>
      <c r="BJ1138" s="2">
        <v>0.2</v>
      </c>
      <c r="BK1138" s="2">
        <v>1</v>
      </c>
      <c r="BL1138" s="2">
        <v>45.93</v>
      </c>
      <c r="BM1138" s="2">
        <v>6.43</v>
      </c>
      <c r="BN1138" s="2">
        <v>52.36</v>
      </c>
      <c r="BO1138" s="2">
        <v>52.36</v>
      </c>
      <c r="BQ1138" s="2" t="s">
        <v>102</v>
      </c>
      <c r="BR1138" s="2" t="s">
        <v>103</v>
      </c>
      <c r="BS1138" s="3">
        <v>43076</v>
      </c>
      <c r="BT1138" s="4">
        <v>0.41666666666666669</v>
      </c>
      <c r="BU1138" s="2" t="s">
        <v>1565</v>
      </c>
      <c r="BV1138" s="2" t="s">
        <v>85</v>
      </c>
      <c r="BY1138" s="2">
        <v>1200</v>
      </c>
      <c r="CA1138" s="2" t="s">
        <v>293</v>
      </c>
      <c r="CC1138" s="2" t="s">
        <v>522</v>
      </c>
      <c r="CD1138" s="2">
        <v>6536</v>
      </c>
      <c r="CE1138" s="2" t="s">
        <v>120</v>
      </c>
      <c r="CF1138" s="3">
        <v>43080</v>
      </c>
      <c r="CI1138" s="2">
        <v>1</v>
      </c>
      <c r="CJ1138" s="2">
        <v>1</v>
      </c>
      <c r="CK1138" s="2">
        <v>21</v>
      </c>
      <c r="CL1138" s="2" t="s">
        <v>89</v>
      </c>
    </row>
    <row r="1139" spans="1:90">
      <c r="A1139" s="2" t="s">
        <v>71</v>
      </c>
      <c r="B1139" s="2" t="s">
        <v>72</v>
      </c>
      <c r="C1139" s="2" t="s">
        <v>73</v>
      </c>
      <c r="E1139" s="2" t="str">
        <f>"FES1162594248"</f>
        <v>FES1162594248</v>
      </c>
      <c r="F1139" s="3">
        <v>43075</v>
      </c>
      <c r="G1139" s="2">
        <v>201806</v>
      </c>
      <c r="H1139" s="2" t="s">
        <v>74</v>
      </c>
      <c r="I1139" s="2" t="s">
        <v>75</v>
      </c>
      <c r="J1139" s="2" t="s">
        <v>97</v>
      </c>
      <c r="K1139" s="2" t="s">
        <v>77</v>
      </c>
      <c r="L1139" s="2" t="s">
        <v>521</v>
      </c>
      <c r="M1139" s="2" t="s">
        <v>522</v>
      </c>
      <c r="N1139" s="2" t="s">
        <v>523</v>
      </c>
      <c r="O1139" s="2" t="s">
        <v>101</v>
      </c>
      <c r="P1139" s="2" t="str">
        <f>"2170605441                    "</f>
        <v xml:space="preserve">2170605441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6.43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1</v>
      </c>
      <c r="BJ1139" s="2">
        <v>0.2</v>
      </c>
      <c r="BK1139" s="2">
        <v>1</v>
      </c>
      <c r="BL1139" s="2">
        <v>45.93</v>
      </c>
      <c r="BM1139" s="2">
        <v>6.43</v>
      </c>
      <c r="BN1139" s="2">
        <v>52.36</v>
      </c>
      <c r="BO1139" s="2">
        <v>52.36</v>
      </c>
      <c r="BQ1139" s="2" t="s">
        <v>102</v>
      </c>
      <c r="BR1139" s="2" t="s">
        <v>103</v>
      </c>
      <c r="BS1139" s="3">
        <v>43076</v>
      </c>
      <c r="BT1139" s="4">
        <v>0.41666666666666669</v>
      </c>
      <c r="BU1139" s="2" t="s">
        <v>1565</v>
      </c>
      <c r="BV1139" s="2" t="s">
        <v>85</v>
      </c>
      <c r="BY1139" s="2">
        <v>1200</v>
      </c>
      <c r="CA1139" s="2" t="s">
        <v>293</v>
      </c>
      <c r="CC1139" s="2" t="s">
        <v>522</v>
      </c>
      <c r="CD1139" s="2">
        <v>6536</v>
      </c>
      <c r="CE1139" s="2" t="s">
        <v>120</v>
      </c>
      <c r="CF1139" s="3">
        <v>43080</v>
      </c>
      <c r="CI1139" s="2">
        <v>1</v>
      </c>
      <c r="CJ1139" s="2">
        <v>1</v>
      </c>
      <c r="CK1139" s="2">
        <v>21</v>
      </c>
      <c r="CL1139" s="2" t="s">
        <v>89</v>
      </c>
    </row>
    <row r="1140" spans="1:90">
      <c r="A1140" s="2" t="s">
        <v>71</v>
      </c>
      <c r="B1140" s="2" t="s">
        <v>72</v>
      </c>
      <c r="C1140" s="2" t="s">
        <v>73</v>
      </c>
      <c r="E1140" s="2" t="str">
        <f>"FES1162592162"</f>
        <v>FES1162592162</v>
      </c>
      <c r="F1140" s="3">
        <v>43075</v>
      </c>
      <c r="G1140" s="2">
        <v>201806</v>
      </c>
      <c r="H1140" s="2" t="s">
        <v>74</v>
      </c>
      <c r="I1140" s="2" t="s">
        <v>75</v>
      </c>
      <c r="J1140" s="2" t="s">
        <v>97</v>
      </c>
      <c r="K1140" s="2" t="s">
        <v>77</v>
      </c>
      <c r="L1140" s="2" t="s">
        <v>136</v>
      </c>
      <c r="M1140" s="2" t="s">
        <v>137</v>
      </c>
      <c r="N1140" s="2" t="s">
        <v>138</v>
      </c>
      <c r="O1140" s="2" t="s">
        <v>101</v>
      </c>
      <c r="P1140" s="2" t="str">
        <f>"2170601781                    "</f>
        <v xml:space="preserve">2170601781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6.43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1</v>
      </c>
      <c r="BJ1140" s="2">
        <v>0.2</v>
      </c>
      <c r="BK1140" s="2">
        <v>1</v>
      </c>
      <c r="BL1140" s="2">
        <v>45.93</v>
      </c>
      <c r="BM1140" s="2">
        <v>6.43</v>
      </c>
      <c r="BN1140" s="2">
        <v>52.36</v>
      </c>
      <c r="BO1140" s="2">
        <v>52.36</v>
      </c>
      <c r="BQ1140" s="2" t="s">
        <v>82</v>
      </c>
      <c r="BR1140" s="2" t="s">
        <v>103</v>
      </c>
      <c r="BS1140" s="3">
        <v>43076</v>
      </c>
      <c r="BT1140" s="4">
        <v>0.35416666666666669</v>
      </c>
      <c r="BU1140" s="2" t="s">
        <v>139</v>
      </c>
      <c r="BV1140" s="2" t="s">
        <v>85</v>
      </c>
      <c r="BY1140" s="2">
        <v>1200</v>
      </c>
      <c r="BZ1140" s="2" t="s">
        <v>27</v>
      </c>
      <c r="CA1140" s="2" t="s">
        <v>140</v>
      </c>
      <c r="CC1140" s="2" t="s">
        <v>137</v>
      </c>
      <c r="CD1140" s="2">
        <v>6001</v>
      </c>
      <c r="CE1140" s="2" t="s">
        <v>120</v>
      </c>
      <c r="CF1140" s="3">
        <v>43077</v>
      </c>
      <c r="CI1140" s="2">
        <v>1</v>
      </c>
      <c r="CJ1140" s="2">
        <v>1</v>
      </c>
      <c r="CK1140" s="2">
        <v>21</v>
      </c>
      <c r="CL1140" s="2" t="s">
        <v>89</v>
      </c>
    </row>
    <row r="1141" spans="1:90">
      <c r="A1141" s="2" t="s">
        <v>71</v>
      </c>
      <c r="B1141" s="2" t="s">
        <v>72</v>
      </c>
      <c r="C1141" s="2" t="s">
        <v>73</v>
      </c>
      <c r="E1141" s="2" t="str">
        <f>"FES1162594271"</f>
        <v>FES1162594271</v>
      </c>
      <c r="F1141" s="3">
        <v>43075</v>
      </c>
      <c r="G1141" s="2">
        <v>201806</v>
      </c>
      <c r="H1141" s="2" t="s">
        <v>74</v>
      </c>
      <c r="I1141" s="2" t="s">
        <v>75</v>
      </c>
      <c r="J1141" s="2" t="s">
        <v>97</v>
      </c>
      <c r="K1141" s="2" t="s">
        <v>77</v>
      </c>
      <c r="L1141" s="2" t="s">
        <v>521</v>
      </c>
      <c r="M1141" s="2" t="s">
        <v>522</v>
      </c>
      <c r="N1141" s="2" t="s">
        <v>523</v>
      </c>
      <c r="O1141" s="2" t="s">
        <v>101</v>
      </c>
      <c r="P1141" s="2" t="str">
        <f>"2170605763                    "</f>
        <v xml:space="preserve">2170605763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6.43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45.93</v>
      </c>
      <c r="BM1141" s="2">
        <v>6.43</v>
      </c>
      <c r="BN1141" s="2">
        <v>52.36</v>
      </c>
      <c r="BO1141" s="2">
        <v>52.36</v>
      </c>
      <c r="BQ1141" s="2" t="s">
        <v>102</v>
      </c>
      <c r="BR1141" s="2" t="s">
        <v>103</v>
      </c>
      <c r="BS1141" s="3">
        <v>43076</v>
      </c>
      <c r="BT1141" s="4">
        <v>0.41666666666666669</v>
      </c>
      <c r="BU1141" s="2" t="s">
        <v>1565</v>
      </c>
      <c r="BV1141" s="2" t="s">
        <v>85</v>
      </c>
      <c r="BY1141" s="2">
        <v>1200</v>
      </c>
      <c r="CA1141" s="2" t="s">
        <v>293</v>
      </c>
      <c r="CC1141" s="2" t="s">
        <v>522</v>
      </c>
      <c r="CD1141" s="2">
        <v>6536</v>
      </c>
      <c r="CE1141" s="2" t="s">
        <v>120</v>
      </c>
      <c r="CF1141" s="3">
        <v>43080</v>
      </c>
      <c r="CI1141" s="2">
        <v>1</v>
      </c>
      <c r="CJ1141" s="2">
        <v>1</v>
      </c>
      <c r="CK1141" s="2">
        <v>21</v>
      </c>
      <c r="CL1141" s="2" t="s">
        <v>89</v>
      </c>
    </row>
    <row r="1142" spans="1:90">
      <c r="A1142" s="2" t="s">
        <v>71</v>
      </c>
      <c r="B1142" s="2" t="s">
        <v>72</v>
      </c>
      <c r="C1142" s="2" t="s">
        <v>73</v>
      </c>
      <c r="E1142" s="2" t="str">
        <f>"FES1162594205"</f>
        <v>FES1162594205</v>
      </c>
      <c r="F1142" s="3">
        <v>43075</v>
      </c>
      <c r="G1142" s="2">
        <v>201806</v>
      </c>
      <c r="H1142" s="2" t="s">
        <v>74</v>
      </c>
      <c r="I1142" s="2" t="s">
        <v>75</v>
      </c>
      <c r="J1142" s="2" t="s">
        <v>97</v>
      </c>
      <c r="K1142" s="2" t="s">
        <v>77</v>
      </c>
      <c r="L1142" s="2" t="s">
        <v>173</v>
      </c>
      <c r="M1142" s="2" t="s">
        <v>174</v>
      </c>
      <c r="N1142" s="2" t="s">
        <v>517</v>
      </c>
      <c r="O1142" s="2" t="s">
        <v>101</v>
      </c>
      <c r="P1142" s="2" t="str">
        <f>"2170604017                    "</f>
        <v xml:space="preserve">2170604017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6.43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</v>
      </c>
      <c r="BJ1142" s="2">
        <v>0.2</v>
      </c>
      <c r="BK1142" s="2">
        <v>1</v>
      </c>
      <c r="BL1142" s="2">
        <v>45.93</v>
      </c>
      <c r="BM1142" s="2">
        <v>6.43</v>
      </c>
      <c r="BN1142" s="2">
        <v>52.36</v>
      </c>
      <c r="BO1142" s="2">
        <v>52.36</v>
      </c>
      <c r="BQ1142" s="2" t="s">
        <v>518</v>
      </c>
      <c r="BR1142" s="2" t="s">
        <v>103</v>
      </c>
      <c r="BS1142" s="3">
        <v>43076</v>
      </c>
      <c r="BT1142" s="4">
        <v>0.51944444444444449</v>
      </c>
      <c r="BU1142" s="2" t="s">
        <v>519</v>
      </c>
      <c r="BV1142" s="2" t="s">
        <v>89</v>
      </c>
      <c r="BW1142" s="2" t="s">
        <v>149</v>
      </c>
      <c r="BX1142" s="2" t="s">
        <v>246</v>
      </c>
      <c r="BY1142" s="2">
        <v>1200</v>
      </c>
      <c r="CA1142" s="2" t="s">
        <v>520</v>
      </c>
      <c r="CC1142" s="2" t="s">
        <v>174</v>
      </c>
      <c r="CD1142" s="2">
        <v>7550</v>
      </c>
      <c r="CE1142" s="2" t="s">
        <v>120</v>
      </c>
      <c r="CF1142" s="3">
        <v>43076</v>
      </c>
      <c r="CI1142" s="2">
        <v>1</v>
      </c>
      <c r="CJ1142" s="2">
        <v>1</v>
      </c>
      <c r="CK1142" s="2">
        <v>21</v>
      </c>
      <c r="CL1142" s="2" t="s">
        <v>89</v>
      </c>
    </row>
    <row r="1143" spans="1:90">
      <c r="A1143" s="2" t="s">
        <v>71</v>
      </c>
      <c r="B1143" s="2" t="s">
        <v>72</v>
      </c>
      <c r="C1143" s="2" t="s">
        <v>73</v>
      </c>
      <c r="E1143" s="2" t="str">
        <f>"FES1162594253"</f>
        <v>FES1162594253</v>
      </c>
      <c r="F1143" s="3">
        <v>43075</v>
      </c>
      <c r="G1143" s="2">
        <v>201806</v>
      </c>
      <c r="H1143" s="2" t="s">
        <v>74</v>
      </c>
      <c r="I1143" s="2" t="s">
        <v>75</v>
      </c>
      <c r="J1143" s="2" t="s">
        <v>97</v>
      </c>
      <c r="K1143" s="2" t="s">
        <v>77</v>
      </c>
      <c r="L1143" s="2" t="s">
        <v>253</v>
      </c>
      <c r="M1143" s="2" t="s">
        <v>254</v>
      </c>
      <c r="N1143" s="2" t="s">
        <v>255</v>
      </c>
      <c r="O1143" s="2" t="s">
        <v>101</v>
      </c>
      <c r="P1143" s="2" t="str">
        <f>"2170605529                    "</f>
        <v xml:space="preserve">2170605529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6.43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45.93</v>
      </c>
      <c r="BM1143" s="2">
        <v>6.43</v>
      </c>
      <c r="BN1143" s="2">
        <v>52.36</v>
      </c>
      <c r="BO1143" s="2">
        <v>52.36</v>
      </c>
      <c r="BQ1143" s="2" t="s">
        <v>1661</v>
      </c>
      <c r="BR1143" s="2" t="s">
        <v>103</v>
      </c>
      <c r="BS1143" s="3">
        <v>43077</v>
      </c>
      <c r="BT1143" s="4">
        <v>0.39097222222222222</v>
      </c>
      <c r="BU1143" s="2" t="s">
        <v>1662</v>
      </c>
      <c r="BV1143" s="2" t="s">
        <v>89</v>
      </c>
      <c r="BW1143" s="2" t="s">
        <v>437</v>
      </c>
      <c r="BX1143" s="2" t="s">
        <v>1140</v>
      </c>
      <c r="BY1143" s="2">
        <v>1200</v>
      </c>
      <c r="CA1143" s="2" t="s">
        <v>1010</v>
      </c>
      <c r="CC1143" s="2" t="s">
        <v>254</v>
      </c>
      <c r="CD1143" s="2">
        <v>1900</v>
      </c>
      <c r="CE1143" s="2" t="s">
        <v>120</v>
      </c>
      <c r="CF1143" s="3">
        <v>43081</v>
      </c>
      <c r="CI1143" s="2">
        <v>1</v>
      </c>
      <c r="CJ1143" s="2">
        <v>2</v>
      </c>
      <c r="CK1143" s="2">
        <v>21</v>
      </c>
      <c r="CL1143" s="2" t="s">
        <v>89</v>
      </c>
    </row>
    <row r="1144" spans="1:90">
      <c r="A1144" s="2" t="s">
        <v>71</v>
      </c>
      <c r="B1144" s="2" t="s">
        <v>72</v>
      </c>
      <c r="C1144" s="2" t="s">
        <v>73</v>
      </c>
      <c r="E1144" s="2" t="str">
        <f>"FES1162594186"</f>
        <v>FES1162594186</v>
      </c>
      <c r="F1144" s="3">
        <v>43075</v>
      </c>
      <c r="G1144" s="2">
        <v>201806</v>
      </c>
      <c r="H1144" s="2" t="s">
        <v>74</v>
      </c>
      <c r="I1144" s="2" t="s">
        <v>75</v>
      </c>
      <c r="J1144" s="2" t="s">
        <v>97</v>
      </c>
      <c r="K1144" s="2" t="s">
        <v>77</v>
      </c>
      <c r="L1144" s="2" t="s">
        <v>74</v>
      </c>
      <c r="M1144" s="2" t="s">
        <v>75</v>
      </c>
      <c r="N1144" s="2" t="s">
        <v>1663</v>
      </c>
      <c r="O1144" s="2" t="s">
        <v>101</v>
      </c>
      <c r="P1144" s="2" t="str">
        <f>"2170603712                    "</f>
        <v xml:space="preserve">2170603712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5.03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1</v>
      </c>
      <c r="BJ1144" s="2">
        <v>0.2</v>
      </c>
      <c r="BK1144" s="2">
        <v>1</v>
      </c>
      <c r="BL1144" s="2">
        <v>35.89</v>
      </c>
      <c r="BM1144" s="2">
        <v>5.0199999999999996</v>
      </c>
      <c r="BN1144" s="2">
        <v>40.909999999999997</v>
      </c>
      <c r="BO1144" s="2">
        <v>40.909999999999997</v>
      </c>
      <c r="BQ1144" s="2" t="s">
        <v>1664</v>
      </c>
      <c r="BR1144" s="2" t="s">
        <v>103</v>
      </c>
      <c r="BS1144" s="3">
        <v>43076</v>
      </c>
      <c r="BT1144" s="4">
        <v>0.39513888888888887</v>
      </c>
      <c r="BU1144" s="2" t="s">
        <v>1665</v>
      </c>
      <c r="BV1144" s="2" t="s">
        <v>85</v>
      </c>
      <c r="BY1144" s="2">
        <v>1200</v>
      </c>
      <c r="CA1144" s="2" t="s">
        <v>366</v>
      </c>
      <c r="CC1144" s="2" t="s">
        <v>75</v>
      </c>
      <c r="CD1144" s="2">
        <v>1600</v>
      </c>
      <c r="CE1144" s="2" t="s">
        <v>120</v>
      </c>
      <c r="CF1144" s="3">
        <v>43080</v>
      </c>
      <c r="CI1144" s="2">
        <v>1</v>
      </c>
      <c r="CJ1144" s="2">
        <v>1</v>
      </c>
      <c r="CK1144" s="2">
        <v>22</v>
      </c>
      <c r="CL1144" s="2" t="s">
        <v>89</v>
      </c>
    </row>
    <row r="1145" spans="1:90">
      <c r="A1145" s="2" t="s">
        <v>71</v>
      </c>
      <c r="B1145" s="2" t="s">
        <v>72</v>
      </c>
      <c r="C1145" s="2" t="s">
        <v>73</v>
      </c>
      <c r="E1145" s="2" t="str">
        <f>"FES1162594180"</f>
        <v>FES1162594180</v>
      </c>
      <c r="F1145" s="3">
        <v>43075</v>
      </c>
      <c r="G1145" s="2">
        <v>201806</v>
      </c>
      <c r="H1145" s="2" t="s">
        <v>74</v>
      </c>
      <c r="I1145" s="2" t="s">
        <v>75</v>
      </c>
      <c r="J1145" s="2" t="s">
        <v>97</v>
      </c>
      <c r="K1145" s="2" t="s">
        <v>77</v>
      </c>
      <c r="L1145" s="2" t="s">
        <v>115</v>
      </c>
      <c r="M1145" s="2" t="s">
        <v>116</v>
      </c>
      <c r="N1145" s="2" t="s">
        <v>1416</v>
      </c>
      <c r="O1145" s="2" t="s">
        <v>101</v>
      </c>
      <c r="P1145" s="2" t="str">
        <f>"2170603612                    "</f>
        <v xml:space="preserve">2170603612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5.03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35.89</v>
      </c>
      <c r="BM1145" s="2">
        <v>5.0199999999999996</v>
      </c>
      <c r="BN1145" s="2">
        <v>40.909999999999997</v>
      </c>
      <c r="BO1145" s="2">
        <v>40.909999999999997</v>
      </c>
      <c r="BR1145" s="2" t="s">
        <v>103</v>
      </c>
      <c r="BS1145" s="3">
        <v>43076</v>
      </c>
      <c r="BT1145" s="4">
        <v>0.41666666666666669</v>
      </c>
      <c r="BU1145" s="2" t="s">
        <v>1417</v>
      </c>
      <c r="BV1145" s="2" t="s">
        <v>85</v>
      </c>
      <c r="BY1145" s="2">
        <v>1200</v>
      </c>
      <c r="CA1145" s="2" t="s">
        <v>119</v>
      </c>
      <c r="CC1145" s="2" t="s">
        <v>116</v>
      </c>
      <c r="CD1145" s="2">
        <v>1459</v>
      </c>
      <c r="CE1145" s="2" t="s">
        <v>120</v>
      </c>
      <c r="CF1145" s="3">
        <v>43080</v>
      </c>
      <c r="CI1145" s="2">
        <v>1</v>
      </c>
      <c r="CJ1145" s="2">
        <v>1</v>
      </c>
      <c r="CK1145" s="2">
        <v>22</v>
      </c>
      <c r="CL1145" s="2" t="s">
        <v>89</v>
      </c>
    </row>
    <row r="1146" spans="1:90">
      <c r="A1146" s="2" t="s">
        <v>71</v>
      </c>
      <c r="B1146" s="2" t="s">
        <v>72</v>
      </c>
      <c r="C1146" s="2" t="s">
        <v>73</v>
      </c>
      <c r="E1146" s="2" t="str">
        <f>"FES1162594206"</f>
        <v>FES1162594206</v>
      </c>
      <c r="F1146" s="3">
        <v>43075</v>
      </c>
      <c r="G1146" s="2">
        <v>201806</v>
      </c>
      <c r="H1146" s="2" t="s">
        <v>74</v>
      </c>
      <c r="I1146" s="2" t="s">
        <v>75</v>
      </c>
      <c r="J1146" s="2" t="s">
        <v>97</v>
      </c>
      <c r="K1146" s="2" t="s">
        <v>77</v>
      </c>
      <c r="L1146" s="2" t="s">
        <v>115</v>
      </c>
      <c r="M1146" s="2" t="s">
        <v>116</v>
      </c>
      <c r="N1146" s="2" t="s">
        <v>1065</v>
      </c>
      <c r="O1146" s="2" t="s">
        <v>101</v>
      </c>
      <c r="P1146" s="2" t="str">
        <f>"2170604067                    "</f>
        <v xml:space="preserve">2170604067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5.03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35.89</v>
      </c>
      <c r="BM1146" s="2">
        <v>5.0199999999999996</v>
      </c>
      <c r="BN1146" s="2">
        <v>40.909999999999997</v>
      </c>
      <c r="BO1146" s="2">
        <v>40.909999999999997</v>
      </c>
      <c r="BQ1146" s="2" t="s">
        <v>1066</v>
      </c>
      <c r="BR1146" s="2" t="s">
        <v>103</v>
      </c>
      <c r="BS1146" s="3">
        <v>43076</v>
      </c>
      <c r="BT1146" s="4">
        <v>0.39583333333333331</v>
      </c>
      <c r="BU1146" s="2" t="s">
        <v>1666</v>
      </c>
      <c r="BV1146" s="2" t="s">
        <v>85</v>
      </c>
      <c r="BY1146" s="2">
        <v>1200</v>
      </c>
      <c r="CA1146" s="2" t="s">
        <v>386</v>
      </c>
      <c r="CC1146" s="2" t="s">
        <v>116</v>
      </c>
      <c r="CD1146" s="2">
        <v>1459</v>
      </c>
      <c r="CE1146" s="2" t="s">
        <v>120</v>
      </c>
      <c r="CF1146" s="3">
        <v>43080</v>
      </c>
      <c r="CI1146" s="2">
        <v>1</v>
      </c>
      <c r="CJ1146" s="2">
        <v>1</v>
      </c>
      <c r="CK1146" s="2">
        <v>22</v>
      </c>
      <c r="CL1146" s="2" t="s">
        <v>89</v>
      </c>
    </row>
    <row r="1147" spans="1:90">
      <c r="A1147" s="2" t="s">
        <v>71</v>
      </c>
      <c r="B1147" s="2" t="s">
        <v>72</v>
      </c>
      <c r="C1147" s="2" t="s">
        <v>73</v>
      </c>
      <c r="E1147" s="2" t="str">
        <f>"FES1162594353"</f>
        <v>FES1162594353</v>
      </c>
      <c r="F1147" s="3">
        <v>43075</v>
      </c>
      <c r="G1147" s="2">
        <v>201806</v>
      </c>
      <c r="H1147" s="2" t="s">
        <v>74</v>
      </c>
      <c r="I1147" s="2" t="s">
        <v>75</v>
      </c>
      <c r="J1147" s="2" t="s">
        <v>97</v>
      </c>
      <c r="K1147" s="2" t="s">
        <v>77</v>
      </c>
      <c r="L1147" s="2" t="s">
        <v>106</v>
      </c>
      <c r="M1147" s="2" t="s">
        <v>107</v>
      </c>
      <c r="N1147" s="2" t="s">
        <v>108</v>
      </c>
      <c r="O1147" s="2" t="s">
        <v>101</v>
      </c>
      <c r="P1147" s="2" t="str">
        <f>"2170606191                    "</f>
        <v xml:space="preserve">2170606191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5.03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</v>
      </c>
      <c r="BJ1147" s="2">
        <v>0.2</v>
      </c>
      <c r="BK1147" s="2">
        <v>1</v>
      </c>
      <c r="BL1147" s="2">
        <v>35.89</v>
      </c>
      <c r="BM1147" s="2">
        <v>5.0199999999999996</v>
      </c>
      <c r="BN1147" s="2">
        <v>40.909999999999997</v>
      </c>
      <c r="BO1147" s="2">
        <v>40.909999999999997</v>
      </c>
      <c r="BQ1147" s="2" t="s">
        <v>82</v>
      </c>
      <c r="BR1147" s="2" t="s">
        <v>103</v>
      </c>
      <c r="BS1147" s="3">
        <v>43076</v>
      </c>
      <c r="BT1147" s="4">
        <v>0.45833333333333331</v>
      </c>
      <c r="BU1147" s="2" t="s">
        <v>563</v>
      </c>
      <c r="BV1147" s="2" t="s">
        <v>89</v>
      </c>
      <c r="BW1147" s="2" t="s">
        <v>156</v>
      </c>
      <c r="BX1147" s="2" t="s">
        <v>438</v>
      </c>
      <c r="BY1147" s="2">
        <v>1200</v>
      </c>
      <c r="CA1147" s="2" t="s">
        <v>110</v>
      </c>
      <c r="CC1147" s="2" t="s">
        <v>107</v>
      </c>
      <c r="CD1147" s="2">
        <v>2094</v>
      </c>
      <c r="CE1147" s="2" t="s">
        <v>120</v>
      </c>
      <c r="CF1147" s="3">
        <v>43080</v>
      </c>
      <c r="CI1147" s="2">
        <v>1</v>
      </c>
      <c r="CJ1147" s="2">
        <v>1</v>
      </c>
      <c r="CK1147" s="2">
        <v>22</v>
      </c>
      <c r="CL1147" s="2" t="s">
        <v>89</v>
      </c>
    </row>
    <row r="1148" spans="1:90">
      <c r="A1148" s="2" t="s">
        <v>71</v>
      </c>
      <c r="B1148" s="2" t="s">
        <v>72</v>
      </c>
      <c r="C1148" s="2" t="s">
        <v>73</v>
      </c>
      <c r="E1148" s="2" t="str">
        <f>"FES1162594260"</f>
        <v>FES1162594260</v>
      </c>
      <c r="F1148" s="3">
        <v>43075</v>
      </c>
      <c r="G1148" s="2">
        <v>201806</v>
      </c>
      <c r="H1148" s="2" t="s">
        <v>74</v>
      </c>
      <c r="I1148" s="2" t="s">
        <v>75</v>
      </c>
      <c r="J1148" s="2" t="s">
        <v>97</v>
      </c>
      <c r="K1148" s="2" t="s">
        <v>77</v>
      </c>
      <c r="L1148" s="2" t="s">
        <v>325</v>
      </c>
      <c r="M1148" s="2" t="s">
        <v>326</v>
      </c>
      <c r="N1148" s="2" t="s">
        <v>1667</v>
      </c>
      <c r="O1148" s="2" t="s">
        <v>101</v>
      </c>
      <c r="P1148" s="2" t="str">
        <f>"1162594260                    "</f>
        <v xml:space="preserve">1162594260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6.43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45.93</v>
      </c>
      <c r="BM1148" s="2">
        <v>6.43</v>
      </c>
      <c r="BN1148" s="2">
        <v>52.36</v>
      </c>
      <c r="BO1148" s="2">
        <v>52.36</v>
      </c>
      <c r="BR1148" s="2" t="s">
        <v>103</v>
      </c>
      <c r="BS1148" s="3">
        <v>43076</v>
      </c>
      <c r="BT1148" s="4">
        <v>0.5</v>
      </c>
      <c r="BU1148" s="2" t="s">
        <v>275</v>
      </c>
      <c r="BV1148" s="2" t="s">
        <v>89</v>
      </c>
      <c r="BY1148" s="2">
        <v>1200</v>
      </c>
      <c r="CC1148" s="2" t="s">
        <v>326</v>
      </c>
      <c r="CD1148" s="2">
        <v>1939</v>
      </c>
      <c r="CE1148" s="2" t="s">
        <v>120</v>
      </c>
      <c r="CF1148" s="3">
        <v>43080</v>
      </c>
      <c r="CI1148" s="2">
        <v>1</v>
      </c>
      <c r="CJ1148" s="2">
        <v>1</v>
      </c>
      <c r="CK1148" s="2">
        <v>21</v>
      </c>
      <c r="CL1148" s="2" t="s">
        <v>89</v>
      </c>
    </row>
    <row r="1149" spans="1:90">
      <c r="A1149" s="2" t="s">
        <v>71</v>
      </c>
      <c r="B1149" s="2" t="s">
        <v>72</v>
      </c>
      <c r="C1149" s="2" t="s">
        <v>73</v>
      </c>
      <c r="E1149" s="2" t="str">
        <f>"FES1162594092"</f>
        <v>FES1162594092</v>
      </c>
      <c r="F1149" s="3">
        <v>43075</v>
      </c>
      <c r="G1149" s="2">
        <v>201806</v>
      </c>
      <c r="H1149" s="2" t="s">
        <v>74</v>
      </c>
      <c r="I1149" s="2" t="s">
        <v>75</v>
      </c>
      <c r="J1149" s="2" t="s">
        <v>97</v>
      </c>
      <c r="K1149" s="2" t="s">
        <v>77</v>
      </c>
      <c r="L1149" s="2" t="s">
        <v>325</v>
      </c>
      <c r="M1149" s="2" t="s">
        <v>326</v>
      </c>
      <c r="N1149" s="2" t="s">
        <v>1129</v>
      </c>
      <c r="O1149" s="2" t="s">
        <v>101</v>
      </c>
      <c r="P1149" s="2" t="str">
        <f>"2170604189                    "</f>
        <v xml:space="preserve">2170604189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6.43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45.93</v>
      </c>
      <c r="BM1149" s="2">
        <v>6.43</v>
      </c>
      <c r="BN1149" s="2">
        <v>52.36</v>
      </c>
      <c r="BO1149" s="2">
        <v>52.36</v>
      </c>
      <c r="BQ1149" s="2" t="s">
        <v>102</v>
      </c>
      <c r="BR1149" s="2" t="s">
        <v>103</v>
      </c>
      <c r="BS1149" s="3">
        <v>43076</v>
      </c>
      <c r="BT1149" s="4">
        <v>0.52430555555555558</v>
      </c>
      <c r="BU1149" s="2" t="s">
        <v>1599</v>
      </c>
      <c r="BV1149" s="2" t="s">
        <v>89</v>
      </c>
      <c r="BY1149" s="2">
        <v>1200</v>
      </c>
      <c r="CC1149" s="2" t="s">
        <v>326</v>
      </c>
      <c r="CD1149" s="2">
        <v>1939</v>
      </c>
      <c r="CE1149" s="2" t="s">
        <v>120</v>
      </c>
      <c r="CF1149" s="3">
        <v>43080</v>
      </c>
      <c r="CI1149" s="2">
        <v>1</v>
      </c>
      <c r="CJ1149" s="2">
        <v>1</v>
      </c>
      <c r="CK1149" s="2">
        <v>21</v>
      </c>
      <c r="CL1149" s="2" t="s">
        <v>89</v>
      </c>
    </row>
    <row r="1150" spans="1:90">
      <c r="A1150" s="2" t="s">
        <v>71</v>
      </c>
      <c r="B1150" s="2" t="s">
        <v>72</v>
      </c>
      <c r="C1150" s="2" t="s">
        <v>73</v>
      </c>
      <c r="E1150" s="2" t="str">
        <f>"FES1162594305"</f>
        <v>FES1162594305</v>
      </c>
      <c r="F1150" s="3">
        <v>43075</v>
      </c>
      <c r="G1150" s="2">
        <v>201806</v>
      </c>
      <c r="H1150" s="2" t="s">
        <v>74</v>
      </c>
      <c r="I1150" s="2" t="s">
        <v>75</v>
      </c>
      <c r="J1150" s="2" t="s">
        <v>97</v>
      </c>
      <c r="K1150" s="2" t="s">
        <v>77</v>
      </c>
      <c r="L1150" s="2" t="s">
        <v>111</v>
      </c>
      <c r="M1150" s="2" t="s">
        <v>112</v>
      </c>
      <c r="N1150" s="2" t="s">
        <v>694</v>
      </c>
      <c r="O1150" s="2" t="s">
        <v>101</v>
      </c>
      <c r="P1150" s="2" t="str">
        <f>"2170603582                    "</f>
        <v xml:space="preserve">2170603582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6.43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45.93</v>
      </c>
      <c r="BM1150" s="2">
        <v>6.43</v>
      </c>
      <c r="BN1150" s="2">
        <v>52.36</v>
      </c>
      <c r="BO1150" s="2">
        <v>52.36</v>
      </c>
      <c r="BQ1150" s="2" t="s">
        <v>102</v>
      </c>
      <c r="BR1150" s="2" t="s">
        <v>103</v>
      </c>
      <c r="BS1150" s="3">
        <v>43076</v>
      </c>
      <c r="BT1150" s="4">
        <v>0.34375</v>
      </c>
      <c r="BU1150" s="2" t="s">
        <v>1668</v>
      </c>
      <c r="BV1150" s="2" t="s">
        <v>85</v>
      </c>
      <c r="BY1150" s="2">
        <v>1200</v>
      </c>
      <c r="CC1150" s="2" t="s">
        <v>112</v>
      </c>
      <c r="CD1150" s="2">
        <v>6220</v>
      </c>
      <c r="CE1150" s="2" t="s">
        <v>120</v>
      </c>
      <c r="CF1150" s="3">
        <v>43077</v>
      </c>
      <c r="CI1150" s="2">
        <v>1</v>
      </c>
      <c r="CJ1150" s="2">
        <v>1</v>
      </c>
      <c r="CK1150" s="2">
        <v>21</v>
      </c>
      <c r="CL1150" s="2" t="s">
        <v>89</v>
      </c>
    </row>
    <row r="1151" spans="1:90">
      <c r="A1151" s="2" t="s">
        <v>71</v>
      </c>
      <c r="B1151" s="2" t="s">
        <v>72</v>
      </c>
      <c r="C1151" s="2" t="s">
        <v>73</v>
      </c>
      <c r="E1151" s="2" t="str">
        <f>"FES1162594113"</f>
        <v>FES1162594113</v>
      </c>
      <c r="F1151" s="3">
        <v>43075</v>
      </c>
      <c r="G1151" s="2">
        <v>201806</v>
      </c>
      <c r="H1151" s="2" t="s">
        <v>74</v>
      </c>
      <c r="I1151" s="2" t="s">
        <v>75</v>
      </c>
      <c r="J1151" s="2" t="s">
        <v>97</v>
      </c>
      <c r="K1151" s="2" t="s">
        <v>77</v>
      </c>
      <c r="L1151" s="2" t="s">
        <v>136</v>
      </c>
      <c r="M1151" s="2" t="s">
        <v>137</v>
      </c>
      <c r="N1151" s="2" t="s">
        <v>138</v>
      </c>
      <c r="O1151" s="2" t="s">
        <v>101</v>
      </c>
      <c r="P1151" s="2" t="str">
        <f>"2170597927                    "</f>
        <v xml:space="preserve">2170597927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6.43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1</v>
      </c>
      <c r="BJ1151" s="2">
        <v>0.2</v>
      </c>
      <c r="BK1151" s="2">
        <v>1</v>
      </c>
      <c r="BL1151" s="2">
        <v>45.93</v>
      </c>
      <c r="BM1151" s="2">
        <v>6.43</v>
      </c>
      <c r="BN1151" s="2">
        <v>52.36</v>
      </c>
      <c r="BO1151" s="2">
        <v>52.36</v>
      </c>
      <c r="BQ1151" s="2" t="s">
        <v>82</v>
      </c>
      <c r="BR1151" s="2" t="s">
        <v>103</v>
      </c>
      <c r="BS1151" s="3">
        <v>43076</v>
      </c>
      <c r="BT1151" s="4">
        <v>0.35416666666666669</v>
      </c>
      <c r="BU1151" s="2" t="s">
        <v>139</v>
      </c>
      <c r="BV1151" s="2" t="s">
        <v>85</v>
      </c>
      <c r="BY1151" s="2">
        <v>1200</v>
      </c>
      <c r="BZ1151" s="2" t="s">
        <v>27</v>
      </c>
      <c r="CA1151" s="2" t="s">
        <v>140</v>
      </c>
      <c r="CC1151" s="2" t="s">
        <v>137</v>
      </c>
      <c r="CD1151" s="2">
        <v>6001</v>
      </c>
      <c r="CE1151" s="2" t="s">
        <v>120</v>
      </c>
      <c r="CF1151" s="3">
        <v>43077</v>
      </c>
      <c r="CI1151" s="2">
        <v>1</v>
      </c>
      <c r="CJ1151" s="2">
        <v>1</v>
      </c>
      <c r="CK1151" s="2">
        <v>21</v>
      </c>
      <c r="CL1151" s="2" t="s">
        <v>89</v>
      </c>
    </row>
    <row r="1152" spans="1:90">
      <c r="A1152" s="2" t="s">
        <v>71</v>
      </c>
      <c r="B1152" s="2" t="s">
        <v>72</v>
      </c>
      <c r="C1152" s="2" t="s">
        <v>73</v>
      </c>
      <c r="E1152" s="2" t="str">
        <f>"FES1162594246"</f>
        <v>FES1162594246</v>
      </c>
      <c r="F1152" s="3">
        <v>43075</v>
      </c>
      <c r="G1152" s="2">
        <v>201806</v>
      </c>
      <c r="H1152" s="2" t="s">
        <v>74</v>
      </c>
      <c r="I1152" s="2" t="s">
        <v>75</v>
      </c>
      <c r="J1152" s="2" t="s">
        <v>97</v>
      </c>
      <c r="K1152" s="2" t="s">
        <v>77</v>
      </c>
      <c r="L1152" s="2" t="s">
        <v>253</v>
      </c>
      <c r="M1152" s="2" t="s">
        <v>254</v>
      </c>
      <c r="N1152" s="2" t="s">
        <v>255</v>
      </c>
      <c r="O1152" s="2" t="s">
        <v>101</v>
      </c>
      <c r="P1152" s="2" t="str">
        <f>"2170605406                    "</f>
        <v xml:space="preserve">2170605406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6.43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45.93</v>
      </c>
      <c r="BM1152" s="2">
        <v>6.43</v>
      </c>
      <c r="BN1152" s="2">
        <v>52.36</v>
      </c>
      <c r="BO1152" s="2">
        <v>52.36</v>
      </c>
      <c r="BQ1152" s="2" t="s">
        <v>1661</v>
      </c>
      <c r="BR1152" s="2" t="s">
        <v>103</v>
      </c>
      <c r="BS1152" s="3">
        <v>43076</v>
      </c>
      <c r="BT1152" s="4">
        <v>0.41597222222222219</v>
      </c>
      <c r="BU1152" s="2" t="s">
        <v>1669</v>
      </c>
      <c r="BV1152" s="2" t="s">
        <v>85</v>
      </c>
      <c r="BY1152" s="2">
        <v>1200</v>
      </c>
      <c r="CA1152" s="2" t="s">
        <v>1010</v>
      </c>
      <c r="CC1152" s="2" t="s">
        <v>254</v>
      </c>
      <c r="CD1152" s="2">
        <v>1900</v>
      </c>
      <c r="CE1152" s="2" t="s">
        <v>120</v>
      </c>
      <c r="CF1152" s="3">
        <v>43080</v>
      </c>
      <c r="CI1152" s="2">
        <v>1</v>
      </c>
      <c r="CJ1152" s="2">
        <v>1</v>
      </c>
      <c r="CK1152" s="2">
        <v>21</v>
      </c>
      <c r="CL1152" s="2" t="s">
        <v>89</v>
      </c>
    </row>
    <row r="1153" spans="1:90">
      <c r="A1153" s="2" t="s">
        <v>71</v>
      </c>
      <c r="B1153" s="2" t="s">
        <v>72</v>
      </c>
      <c r="C1153" s="2" t="s">
        <v>73</v>
      </c>
      <c r="E1153" s="2" t="str">
        <f>"FES1162594191"</f>
        <v>FES1162594191</v>
      </c>
      <c r="F1153" s="3">
        <v>43075</v>
      </c>
      <c r="G1153" s="2">
        <v>201806</v>
      </c>
      <c r="H1153" s="2" t="s">
        <v>74</v>
      </c>
      <c r="I1153" s="2" t="s">
        <v>75</v>
      </c>
      <c r="J1153" s="2" t="s">
        <v>97</v>
      </c>
      <c r="K1153" s="2" t="s">
        <v>77</v>
      </c>
      <c r="L1153" s="2" t="s">
        <v>106</v>
      </c>
      <c r="M1153" s="2" t="s">
        <v>107</v>
      </c>
      <c r="N1153" s="2" t="s">
        <v>108</v>
      </c>
      <c r="O1153" s="2" t="s">
        <v>101</v>
      </c>
      <c r="P1153" s="2" t="str">
        <f>"2170603756                    "</f>
        <v xml:space="preserve">2170603756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5.03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1</v>
      </c>
      <c r="BJ1153" s="2">
        <v>0.2</v>
      </c>
      <c r="BK1153" s="2">
        <v>1</v>
      </c>
      <c r="BL1153" s="2">
        <v>35.89</v>
      </c>
      <c r="BM1153" s="2">
        <v>5.0199999999999996</v>
      </c>
      <c r="BN1153" s="2">
        <v>40.909999999999997</v>
      </c>
      <c r="BO1153" s="2">
        <v>40.909999999999997</v>
      </c>
      <c r="BQ1153" s="2" t="s">
        <v>82</v>
      </c>
      <c r="BR1153" s="2" t="s">
        <v>103</v>
      </c>
      <c r="BS1153" s="3">
        <v>43076</v>
      </c>
      <c r="BT1153" s="4">
        <v>0.45833333333333331</v>
      </c>
      <c r="BU1153" s="2" t="s">
        <v>563</v>
      </c>
      <c r="BV1153" s="2" t="s">
        <v>89</v>
      </c>
      <c r="BW1153" s="2" t="s">
        <v>156</v>
      </c>
      <c r="BX1153" s="2" t="s">
        <v>438</v>
      </c>
      <c r="BY1153" s="2">
        <v>1200</v>
      </c>
      <c r="CA1153" s="2" t="s">
        <v>110</v>
      </c>
      <c r="CC1153" s="2" t="s">
        <v>107</v>
      </c>
      <c r="CD1153" s="2">
        <v>2094</v>
      </c>
      <c r="CE1153" s="2" t="s">
        <v>120</v>
      </c>
      <c r="CF1153" s="3">
        <v>43080</v>
      </c>
      <c r="CI1153" s="2">
        <v>1</v>
      </c>
      <c r="CJ1153" s="2">
        <v>1</v>
      </c>
      <c r="CK1153" s="2">
        <v>22</v>
      </c>
      <c r="CL1153" s="2" t="s">
        <v>89</v>
      </c>
    </row>
    <row r="1154" spans="1:90">
      <c r="A1154" s="2" t="s">
        <v>71</v>
      </c>
      <c r="B1154" s="2" t="s">
        <v>72</v>
      </c>
      <c r="C1154" s="2" t="s">
        <v>73</v>
      </c>
      <c r="E1154" s="2" t="str">
        <f>"FES1162594261"</f>
        <v>FES1162594261</v>
      </c>
      <c r="F1154" s="3">
        <v>43075</v>
      </c>
      <c r="G1154" s="2">
        <v>201806</v>
      </c>
      <c r="H1154" s="2" t="s">
        <v>74</v>
      </c>
      <c r="I1154" s="2" t="s">
        <v>75</v>
      </c>
      <c r="J1154" s="2" t="s">
        <v>97</v>
      </c>
      <c r="K1154" s="2" t="s">
        <v>77</v>
      </c>
      <c r="L1154" s="2" t="s">
        <v>136</v>
      </c>
      <c r="M1154" s="2" t="s">
        <v>137</v>
      </c>
      <c r="N1154" s="2" t="s">
        <v>662</v>
      </c>
      <c r="O1154" s="2" t="s">
        <v>101</v>
      </c>
      <c r="P1154" s="2" t="str">
        <f>"2170605666                    "</f>
        <v xml:space="preserve">2170605666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6.43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</v>
      </c>
      <c r="BJ1154" s="2">
        <v>0.2</v>
      </c>
      <c r="BK1154" s="2">
        <v>1</v>
      </c>
      <c r="BL1154" s="2">
        <v>45.93</v>
      </c>
      <c r="BM1154" s="2">
        <v>6.43</v>
      </c>
      <c r="BN1154" s="2">
        <v>52.36</v>
      </c>
      <c r="BO1154" s="2">
        <v>52.36</v>
      </c>
      <c r="BQ1154" s="2" t="s">
        <v>128</v>
      </c>
      <c r="BR1154" s="2" t="s">
        <v>103</v>
      </c>
      <c r="BS1154" s="3">
        <v>43076</v>
      </c>
      <c r="BT1154" s="4">
        <v>0.3034722222222222</v>
      </c>
      <c r="BU1154" s="2" t="s">
        <v>1479</v>
      </c>
      <c r="BV1154" s="2" t="s">
        <v>85</v>
      </c>
      <c r="BY1154" s="2">
        <v>1200</v>
      </c>
      <c r="BZ1154" s="2" t="s">
        <v>27</v>
      </c>
      <c r="CA1154" s="2" t="s">
        <v>140</v>
      </c>
      <c r="CC1154" s="2" t="s">
        <v>137</v>
      </c>
      <c r="CD1154" s="2">
        <v>6012</v>
      </c>
      <c r="CE1154" s="2" t="s">
        <v>120</v>
      </c>
      <c r="CF1154" s="3">
        <v>43077</v>
      </c>
      <c r="CI1154" s="2">
        <v>1</v>
      </c>
      <c r="CJ1154" s="2">
        <v>1</v>
      </c>
      <c r="CK1154" s="2">
        <v>21</v>
      </c>
      <c r="CL1154" s="2" t="s">
        <v>89</v>
      </c>
    </row>
    <row r="1155" spans="1:90">
      <c r="A1155" s="2" t="s">
        <v>71</v>
      </c>
      <c r="B1155" s="2" t="s">
        <v>72</v>
      </c>
      <c r="C1155" s="2" t="s">
        <v>73</v>
      </c>
      <c r="E1155" s="2" t="str">
        <f>"FES1162594267"</f>
        <v>FES1162594267</v>
      </c>
      <c r="F1155" s="3">
        <v>43075</v>
      </c>
      <c r="G1155" s="2">
        <v>201806</v>
      </c>
      <c r="H1155" s="2" t="s">
        <v>74</v>
      </c>
      <c r="I1155" s="2" t="s">
        <v>75</v>
      </c>
      <c r="J1155" s="2" t="s">
        <v>97</v>
      </c>
      <c r="K1155" s="2" t="s">
        <v>77</v>
      </c>
      <c r="L1155" s="2" t="s">
        <v>106</v>
      </c>
      <c r="M1155" s="2" t="s">
        <v>107</v>
      </c>
      <c r="N1155" s="2" t="s">
        <v>472</v>
      </c>
      <c r="O1155" s="2" t="s">
        <v>101</v>
      </c>
      <c r="P1155" s="2" t="str">
        <f>"2170605722                    "</f>
        <v xml:space="preserve">2170605722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5.03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0.2</v>
      </c>
      <c r="BK1155" s="2">
        <v>1</v>
      </c>
      <c r="BL1155" s="2">
        <v>35.89</v>
      </c>
      <c r="BM1155" s="2">
        <v>5.0199999999999996</v>
      </c>
      <c r="BN1155" s="2">
        <v>40.909999999999997</v>
      </c>
      <c r="BO1155" s="2">
        <v>40.909999999999997</v>
      </c>
      <c r="BQ1155" s="2" t="s">
        <v>102</v>
      </c>
      <c r="BR1155" s="2" t="s">
        <v>103</v>
      </c>
      <c r="BS1155" s="3">
        <v>43076</v>
      </c>
      <c r="BT1155" s="4">
        <v>0.40972222222222227</v>
      </c>
      <c r="BU1155" s="2" t="s">
        <v>473</v>
      </c>
      <c r="BV1155" s="2" t="s">
        <v>85</v>
      </c>
      <c r="BY1155" s="2">
        <v>1200</v>
      </c>
      <c r="CA1155" s="2" t="s">
        <v>110</v>
      </c>
      <c r="CC1155" s="2" t="s">
        <v>107</v>
      </c>
      <c r="CD1155" s="2">
        <v>2197</v>
      </c>
      <c r="CE1155" s="2" t="s">
        <v>120</v>
      </c>
      <c r="CF1155" s="3">
        <v>43080</v>
      </c>
      <c r="CI1155" s="2">
        <v>1</v>
      </c>
      <c r="CJ1155" s="2">
        <v>1</v>
      </c>
      <c r="CK1155" s="2">
        <v>22</v>
      </c>
      <c r="CL1155" s="2" t="s">
        <v>89</v>
      </c>
    </row>
    <row r="1156" spans="1:90">
      <c r="A1156" s="2" t="s">
        <v>71</v>
      </c>
      <c r="B1156" s="2" t="s">
        <v>72</v>
      </c>
      <c r="C1156" s="2" t="s">
        <v>73</v>
      </c>
      <c r="E1156" s="2" t="str">
        <f>"FES1162593557"</f>
        <v>FES1162593557</v>
      </c>
      <c r="F1156" s="3">
        <v>43075</v>
      </c>
      <c r="G1156" s="2">
        <v>201806</v>
      </c>
      <c r="H1156" s="2" t="s">
        <v>74</v>
      </c>
      <c r="I1156" s="2" t="s">
        <v>75</v>
      </c>
      <c r="J1156" s="2" t="s">
        <v>97</v>
      </c>
      <c r="K1156" s="2" t="s">
        <v>77</v>
      </c>
      <c r="L1156" s="2" t="s">
        <v>325</v>
      </c>
      <c r="M1156" s="2" t="s">
        <v>326</v>
      </c>
      <c r="N1156" s="2" t="s">
        <v>1667</v>
      </c>
      <c r="O1156" s="2" t="s">
        <v>101</v>
      </c>
      <c r="P1156" s="2" t="str">
        <f>"2170605664                    "</f>
        <v xml:space="preserve">2170605664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6.43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1</v>
      </c>
      <c r="BJ1156" s="2">
        <v>0.2</v>
      </c>
      <c r="BK1156" s="2">
        <v>1</v>
      </c>
      <c r="BL1156" s="2">
        <v>45.93</v>
      </c>
      <c r="BM1156" s="2">
        <v>6.43</v>
      </c>
      <c r="BN1156" s="2">
        <v>52.36</v>
      </c>
      <c r="BO1156" s="2">
        <v>52.36</v>
      </c>
      <c r="BR1156" s="2" t="s">
        <v>103</v>
      </c>
      <c r="BS1156" s="3">
        <v>43076</v>
      </c>
      <c r="BT1156" s="4">
        <v>0.65416666666666667</v>
      </c>
      <c r="BU1156" s="2" t="s">
        <v>275</v>
      </c>
      <c r="BV1156" s="2" t="s">
        <v>89</v>
      </c>
      <c r="BY1156" s="2">
        <v>1200</v>
      </c>
      <c r="CC1156" s="2" t="s">
        <v>326</v>
      </c>
      <c r="CD1156" s="2">
        <v>1939</v>
      </c>
      <c r="CE1156" s="2" t="s">
        <v>120</v>
      </c>
      <c r="CF1156" s="3">
        <v>43080</v>
      </c>
      <c r="CI1156" s="2">
        <v>1</v>
      </c>
      <c r="CJ1156" s="2">
        <v>1</v>
      </c>
      <c r="CK1156" s="2">
        <v>21</v>
      </c>
      <c r="CL1156" s="2" t="s">
        <v>89</v>
      </c>
    </row>
    <row r="1157" spans="1:90">
      <c r="A1157" s="2" t="s">
        <v>71</v>
      </c>
      <c r="B1157" s="2" t="s">
        <v>72</v>
      </c>
      <c r="C1157" s="2" t="s">
        <v>73</v>
      </c>
      <c r="E1157" s="2" t="str">
        <f>"FES1162594340"</f>
        <v>FES1162594340</v>
      </c>
      <c r="F1157" s="3">
        <v>43075</v>
      </c>
      <c r="G1157" s="2">
        <v>201806</v>
      </c>
      <c r="H1157" s="2" t="s">
        <v>74</v>
      </c>
      <c r="I1157" s="2" t="s">
        <v>75</v>
      </c>
      <c r="J1157" s="2" t="s">
        <v>97</v>
      </c>
      <c r="K1157" s="2" t="s">
        <v>77</v>
      </c>
      <c r="L1157" s="2" t="s">
        <v>136</v>
      </c>
      <c r="M1157" s="2" t="s">
        <v>137</v>
      </c>
      <c r="N1157" s="2" t="s">
        <v>138</v>
      </c>
      <c r="O1157" s="2" t="s">
        <v>101</v>
      </c>
      <c r="P1157" s="2" t="str">
        <f>"2170597612                    "</f>
        <v xml:space="preserve">2170597612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6.43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2</v>
      </c>
      <c r="BJ1157" s="2">
        <v>0.2</v>
      </c>
      <c r="BK1157" s="2">
        <v>2</v>
      </c>
      <c r="BL1157" s="2">
        <v>45.93</v>
      </c>
      <c r="BM1157" s="2">
        <v>6.43</v>
      </c>
      <c r="BN1157" s="2">
        <v>52.36</v>
      </c>
      <c r="BO1157" s="2">
        <v>52.36</v>
      </c>
      <c r="BQ1157" s="2" t="s">
        <v>82</v>
      </c>
      <c r="BR1157" s="2" t="s">
        <v>103</v>
      </c>
      <c r="BS1157" s="3">
        <v>43076</v>
      </c>
      <c r="BT1157" s="4">
        <v>0.35416666666666669</v>
      </c>
      <c r="BU1157" s="2" t="s">
        <v>139</v>
      </c>
      <c r="BV1157" s="2" t="s">
        <v>85</v>
      </c>
      <c r="BY1157" s="2">
        <v>1200</v>
      </c>
      <c r="CA1157" s="2" t="s">
        <v>140</v>
      </c>
      <c r="CC1157" s="2" t="s">
        <v>137</v>
      </c>
      <c r="CD1157" s="2">
        <v>6001</v>
      </c>
      <c r="CE1157" s="2" t="s">
        <v>120</v>
      </c>
      <c r="CF1157" s="3">
        <v>43080</v>
      </c>
      <c r="CI1157" s="2">
        <v>1</v>
      </c>
      <c r="CJ1157" s="2">
        <v>1</v>
      </c>
      <c r="CK1157" s="2">
        <v>21</v>
      </c>
      <c r="CL1157" s="2" t="s">
        <v>89</v>
      </c>
    </row>
    <row r="1158" spans="1:90">
      <c r="A1158" s="2" t="s">
        <v>71</v>
      </c>
      <c r="B1158" s="2" t="s">
        <v>72</v>
      </c>
      <c r="C1158" s="2" t="s">
        <v>73</v>
      </c>
      <c r="E1158" s="2" t="str">
        <f>"FES1162594127"</f>
        <v>FES1162594127</v>
      </c>
      <c r="F1158" s="3">
        <v>43075</v>
      </c>
      <c r="G1158" s="2">
        <v>201806</v>
      </c>
      <c r="H1158" s="2" t="s">
        <v>74</v>
      </c>
      <c r="I1158" s="2" t="s">
        <v>75</v>
      </c>
      <c r="J1158" s="2" t="s">
        <v>97</v>
      </c>
      <c r="K1158" s="2" t="s">
        <v>77</v>
      </c>
      <c r="L1158" s="2" t="s">
        <v>189</v>
      </c>
      <c r="M1158" s="2" t="s">
        <v>190</v>
      </c>
      <c r="N1158" s="2" t="s">
        <v>574</v>
      </c>
      <c r="O1158" s="2" t="s">
        <v>101</v>
      </c>
      <c r="P1158" s="2" t="str">
        <f>"2170601838                    "</f>
        <v xml:space="preserve">2170601838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6.43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1</v>
      </c>
      <c r="BJ1158" s="2">
        <v>0.2</v>
      </c>
      <c r="BK1158" s="2">
        <v>1</v>
      </c>
      <c r="BL1158" s="2">
        <v>45.93</v>
      </c>
      <c r="BM1158" s="2">
        <v>6.43</v>
      </c>
      <c r="BN1158" s="2">
        <v>52.36</v>
      </c>
      <c r="BO1158" s="2">
        <v>52.36</v>
      </c>
      <c r="BQ1158" s="2" t="s">
        <v>102</v>
      </c>
      <c r="BR1158" s="2" t="s">
        <v>103</v>
      </c>
      <c r="BS1158" s="3">
        <v>43076</v>
      </c>
      <c r="BT1158" s="4">
        <v>0.54513888888888895</v>
      </c>
      <c r="BU1158" s="2" t="s">
        <v>1089</v>
      </c>
      <c r="BV1158" s="2" t="s">
        <v>89</v>
      </c>
      <c r="BW1158" s="2" t="s">
        <v>156</v>
      </c>
      <c r="BX1158" s="2" t="s">
        <v>565</v>
      </c>
      <c r="BY1158" s="2">
        <v>1200</v>
      </c>
      <c r="CC1158" s="2" t="s">
        <v>190</v>
      </c>
      <c r="CD1158" s="2">
        <v>157</v>
      </c>
      <c r="CE1158" s="2" t="s">
        <v>120</v>
      </c>
      <c r="CF1158" s="3">
        <v>43080</v>
      </c>
      <c r="CI1158" s="2">
        <v>1</v>
      </c>
      <c r="CJ1158" s="2">
        <v>1</v>
      </c>
      <c r="CK1158" s="2">
        <v>21</v>
      </c>
      <c r="CL1158" s="2" t="s">
        <v>89</v>
      </c>
    </row>
    <row r="1159" spans="1:90">
      <c r="A1159" s="2" t="s">
        <v>71</v>
      </c>
      <c r="B1159" s="2" t="s">
        <v>72</v>
      </c>
      <c r="C1159" s="2" t="s">
        <v>73</v>
      </c>
      <c r="E1159" s="2" t="str">
        <f>"FES1162594105"</f>
        <v>FES1162594105</v>
      </c>
      <c r="F1159" s="3">
        <v>43075</v>
      </c>
      <c r="G1159" s="2">
        <v>201806</v>
      </c>
      <c r="H1159" s="2" t="s">
        <v>74</v>
      </c>
      <c r="I1159" s="2" t="s">
        <v>75</v>
      </c>
      <c r="J1159" s="2" t="s">
        <v>97</v>
      </c>
      <c r="K1159" s="2" t="s">
        <v>77</v>
      </c>
      <c r="L1159" s="2" t="s">
        <v>440</v>
      </c>
      <c r="M1159" s="2" t="s">
        <v>441</v>
      </c>
      <c r="N1159" s="2" t="s">
        <v>1670</v>
      </c>
      <c r="O1159" s="2" t="s">
        <v>101</v>
      </c>
      <c r="P1159" s="2" t="str">
        <f>"2170600769                    "</f>
        <v xml:space="preserve">2170600769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9.0500000000000007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1</v>
      </c>
      <c r="BJ1159" s="2">
        <v>0.2</v>
      </c>
      <c r="BK1159" s="2">
        <v>1</v>
      </c>
      <c r="BL1159" s="2">
        <v>64.599999999999994</v>
      </c>
      <c r="BM1159" s="2">
        <v>9.0399999999999991</v>
      </c>
      <c r="BN1159" s="2">
        <v>73.64</v>
      </c>
      <c r="BO1159" s="2">
        <v>73.64</v>
      </c>
      <c r="BQ1159" s="2" t="s">
        <v>82</v>
      </c>
      <c r="BR1159" s="2" t="s">
        <v>103</v>
      </c>
      <c r="BS1159" s="3">
        <v>43080</v>
      </c>
      <c r="BT1159" s="4">
        <v>0.4236111111111111</v>
      </c>
      <c r="BU1159" s="2" t="s">
        <v>1671</v>
      </c>
      <c r="BV1159" s="2" t="s">
        <v>89</v>
      </c>
      <c r="BW1159" s="2" t="s">
        <v>149</v>
      </c>
      <c r="BX1159" s="2" t="s">
        <v>292</v>
      </c>
      <c r="BY1159" s="2">
        <v>1200</v>
      </c>
      <c r="CC1159" s="2" t="s">
        <v>441</v>
      </c>
      <c r="CD1159" s="2">
        <v>1759</v>
      </c>
      <c r="CE1159" s="2" t="s">
        <v>120</v>
      </c>
      <c r="CF1159" s="3">
        <v>43081</v>
      </c>
      <c r="CI1159" s="2">
        <v>1</v>
      </c>
      <c r="CJ1159" s="2">
        <v>3</v>
      </c>
      <c r="CK1159" s="2">
        <v>24</v>
      </c>
      <c r="CL1159" s="2" t="s">
        <v>89</v>
      </c>
    </row>
    <row r="1160" spans="1:90">
      <c r="A1160" s="2" t="s">
        <v>71</v>
      </c>
      <c r="B1160" s="2" t="s">
        <v>72</v>
      </c>
      <c r="C1160" s="2" t="s">
        <v>73</v>
      </c>
      <c r="E1160" s="2" t="str">
        <f>"FES1162594356"</f>
        <v>FES1162594356</v>
      </c>
      <c r="F1160" s="3">
        <v>43075</v>
      </c>
      <c r="G1160" s="2">
        <v>201806</v>
      </c>
      <c r="H1160" s="2" t="s">
        <v>74</v>
      </c>
      <c r="I1160" s="2" t="s">
        <v>75</v>
      </c>
      <c r="J1160" s="2" t="s">
        <v>97</v>
      </c>
      <c r="K1160" s="2" t="s">
        <v>77</v>
      </c>
      <c r="L1160" s="2" t="s">
        <v>106</v>
      </c>
      <c r="M1160" s="2" t="s">
        <v>107</v>
      </c>
      <c r="N1160" s="2" t="s">
        <v>108</v>
      </c>
      <c r="O1160" s="2" t="s">
        <v>101</v>
      </c>
      <c r="P1160" s="2" t="str">
        <f>"2170606196                    "</f>
        <v xml:space="preserve">2170606196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5.03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1</v>
      </c>
      <c r="BJ1160" s="2">
        <v>0.2</v>
      </c>
      <c r="BK1160" s="2">
        <v>1</v>
      </c>
      <c r="BL1160" s="2">
        <v>35.89</v>
      </c>
      <c r="BM1160" s="2">
        <v>5.0199999999999996</v>
      </c>
      <c r="BN1160" s="2">
        <v>40.909999999999997</v>
      </c>
      <c r="BO1160" s="2">
        <v>40.909999999999997</v>
      </c>
      <c r="BQ1160" s="2" t="s">
        <v>82</v>
      </c>
      <c r="BR1160" s="2" t="s">
        <v>103</v>
      </c>
      <c r="BS1160" s="3">
        <v>43076</v>
      </c>
      <c r="BT1160" s="4">
        <v>0.45833333333333331</v>
      </c>
      <c r="BU1160" s="2" t="s">
        <v>563</v>
      </c>
      <c r="BV1160" s="2" t="s">
        <v>89</v>
      </c>
      <c r="BW1160" s="2" t="s">
        <v>156</v>
      </c>
      <c r="BX1160" s="2" t="s">
        <v>438</v>
      </c>
      <c r="BY1160" s="2">
        <v>1200</v>
      </c>
      <c r="CA1160" s="2" t="s">
        <v>110</v>
      </c>
      <c r="CC1160" s="2" t="s">
        <v>107</v>
      </c>
      <c r="CD1160" s="2">
        <v>2094</v>
      </c>
      <c r="CE1160" s="2" t="s">
        <v>120</v>
      </c>
      <c r="CF1160" s="3">
        <v>43080</v>
      </c>
      <c r="CI1160" s="2">
        <v>1</v>
      </c>
      <c r="CJ1160" s="2">
        <v>1</v>
      </c>
      <c r="CK1160" s="2">
        <v>22</v>
      </c>
      <c r="CL1160" s="2" t="s">
        <v>89</v>
      </c>
    </row>
    <row r="1161" spans="1:90">
      <c r="A1161" s="2" t="s">
        <v>71</v>
      </c>
      <c r="B1161" s="2" t="s">
        <v>72</v>
      </c>
      <c r="C1161" s="2" t="s">
        <v>73</v>
      </c>
      <c r="E1161" s="2" t="str">
        <f>"FES1162591662"</f>
        <v>FES1162591662</v>
      </c>
      <c r="F1161" s="3">
        <v>43075</v>
      </c>
      <c r="G1161" s="2">
        <v>201806</v>
      </c>
      <c r="H1161" s="2" t="s">
        <v>74</v>
      </c>
      <c r="I1161" s="2" t="s">
        <v>75</v>
      </c>
      <c r="J1161" s="2" t="s">
        <v>97</v>
      </c>
      <c r="K1161" s="2" t="s">
        <v>77</v>
      </c>
      <c r="L1161" s="2" t="s">
        <v>74</v>
      </c>
      <c r="M1161" s="2" t="s">
        <v>75</v>
      </c>
      <c r="N1161" s="2" t="s">
        <v>204</v>
      </c>
      <c r="O1161" s="2" t="s">
        <v>101</v>
      </c>
      <c r="P1161" s="2" t="str">
        <f>"217060293                     "</f>
        <v xml:space="preserve">217060293 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5.03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1</v>
      </c>
      <c r="BJ1161" s="2">
        <v>0.2</v>
      </c>
      <c r="BK1161" s="2">
        <v>1</v>
      </c>
      <c r="BL1161" s="2">
        <v>35.89</v>
      </c>
      <c r="BM1161" s="2">
        <v>5.0199999999999996</v>
      </c>
      <c r="BN1161" s="2">
        <v>40.909999999999997</v>
      </c>
      <c r="BO1161" s="2">
        <v>40.909999999999997</v>
      </c>
      <c r="BQ1161" s="2" t="s">
        <v>102</v>
      </c>
      <c r="BR1161" s="2" t="s">
        <v>103</v>
      </c>
      <c r="BS1161" s="3">
        <v>43076</v>
      </c>
      <c r="BT1161" s="4">
        <v>0.41666666666666669</v>
      </c>
      <c r="BU1161" s="2" t="s">
        <v>1410</v>
      </c>
      <c r="BV1161" s="2" t="s">
        <v>85</v>
      </c>
      <c r="BY1161" s="2">
        <v>1200</v>
      </c>
      <c r="CA1161" s="2" t="s">
        <v>1411</v>
      </c>
      <c r="CC1161" s="2" t="s">
        <v>75</v>
      </c>
      <c r="CD1161" s="2">
        <v>1645</v>
      </c>
      <c r="CE1161" s="2" t="s">
        <v>120</v>
      </c>
      <c r="CF1161" s="3">
        <v>43080</v>
      </c>
      <c r="CI1161" s="2">
        <v>1</v>
      </c>
      <c r="CJ1161" s="2">
        <v>1</v>
      </c>
      <c r="CK1161" s="2">
        <v>22</v>
      </c>
      <c r="CL1161" s="2" t="s">
        <v>89</v>
      </c>
    </row>
    <row r="1162" spans="1:90">
      <c r="A1162" s="2" t="s">
        <v>71</v>
      </c>
      <c r="B1162" s="2" t="s">
        <v>72</v>
      </c>
      <c r="C1162" s="2" t="s">
        <v>73</v>
      </c>
      <c r="E1162" s="2" t="str">
        <f>"FES1162594280"</f>
        <v>FES1162594280</v>
      </c>
      <c r="F1162" s="3">
        <v>43075</v>
      </c>
      <c r="G1162" s="2">
        <v>201806</v>
      </c>
      <c r="H1162" s="2" t="s">
        <v>74</v>
      </c>
      <c r="I1162" s="2" t="s">
        <v>75</v>
      </c>
      <c r="J1162" s="2" t="s">
        <v>97</v>
      </c>
      <c r="K1162" s="2" t="s">
        <v>77</v>
      </c>
      <c r="L1162" s="2" t="s">
        <v>106</v>
      </c>
      <c r="M1162" s="2" t="s">
        <v>107</v>
      </c>
      <c r="N1162" s="2" t="s">
        <v>830</v>
      </c>
      <c r="O1162" s="2" t="s">
        <v>101</v>
      </c>
      <c r="P1162" s="2" t="str">
        <f>"2170605865                    "</f>
        <v xml:space="preserve">2170605865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5.03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35.89</v>
      </c>
      <c r="BM1162" s="2">
        <v>5.0199999999999996</v>
      </c>
      <c r="BN1162" s="2">
        <v>40.909999999999997</v>
      </c>
      <c r="BO1162" s="2">
        <v>40.909999999999997</v>
      </c>
      <c r="BQ1162" s="2" t="s">
        <v>102</v>
      </c>
      <c r="BR1162" s="2" t="s">
        <v>103</v>
      </c>
      <c r="BS1162" s="3">
        <v>43076</v>
      </c>
      <c r="BT1162" s="4">
        <v>0.49236111111111108</v>
      </c>
      <c r="BU1162" s="2" t="s">
        <v>1637</v>
      </c>
      <c r="BV1162" s="2" t="s">
        <v>89</v>
      </c>
      <c r="BW1162" s="2" t="s">
        <v>156</v>
      </c>
      <c r="BX1162" s="2" t="s">
        <v>438</v>
      </c>
      <c r="BY1162" s="2">
        <v>1200</v>
      </c>
      <c r="CA1162" s="2" t="s">
        <v>110</v>
      </c>
      <c r="CC1162" s="2" t="s">
        <v>107</v>
      </c>
      <c r="CD1162" s="2">
        <v>2011</v>
      </c>
      <c r="CE1162" s="2" t="s">
        <v>120</v>
      </c>
      <c r="CF1162" s="3">
        <v>43080</v>
      </c>
      <c r="CI1162" s="2">
        <v>1</v>
      </c>
      <c r="CJ1162" s="2">
        <v>1</v>
      </c>
      <c r="CK1162" s="2">
        <v>22</v>
      </c>
      <c r="CL1162" s="2" t="s">
        <v>89</v>
      </c>
    </row>
    <row r="1163" spans="1:90">
      <c r="A1163" s="2" t="s">
        <v>71</v>
      </c>
      <c r="B1163" s="2" t="s">
        <v>72</v>
      </c>
      <c r="C1163" s="2" t="s">
        <v>73</v>
      </c>
      <c r="E1163" s="2" t="str">
        <f>"FES1162594231"</f>
        <v>FES1162594231</v>
      </c>
      <c r="F1163" s="3">
        <v>43075</v>
      </c>
      <c r="G1163" s="2">
        <v>201806</v>
      </c>
      <c r="H1163" s="2" t="s">
        <v>74</v>
      </c>
      <c r="I1163" s="2" t="s">
        <v>75</v>
      </c>
      <c r="J1163" s="2" t="s">
        <v>97</v>
      </c>
      <c r="K1163" s="2" t="s">
        <v>77</v>
      </c>
      <c r="L1163" s="2" t="s">
        <v>173</v>
      </c>
      <c r="M1163" s="2" t="s">
        <v>174</v>
      </c>
      <c r="N1163" s="2" t="s">
        <v>100</v>
      </c>
      <c r="O1163" s="2" t="s">
        <v>101</v>
      </c>
      <c r="P1163" s="2" t="str">
        <f>"2170604767                    "</f>
        <v xml:space="preserve">2170604767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6.43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1.3</v>
      </c>
      <c r="BJ1163" s="2">
        <v>0.7</v>
      </c>
      <c r="BK1163" s="2">
        <v>1.5</v>
      </c>
      <c r="BL1163" s="2">
        <v>45.93</v>
      </c>
      <c r="BM1163" s="2">
        <v>6.43</v>
      </c>
      <c r="BN1163" s="2">
        <v>52.36</v>
      </c>
      <c r="BO1163" s="2">
        <v>52.36</v>
      </c>
      <c r="BQ1163" s="2" t="s">
        <v>128</v>
      </c>
      <c r="BR1163" s="2" t="s">
        <v>103</v>
      </c>
      <c r="BS1163" s="3">
        <v>43076</v>
      </c>
      <c r="BT1163" s="4">
        <v>0.66249999999999998</v>
      </c>
      <c r="BU1163" s="2" t="s">
        <v>1672</v>
      </c>
      <c r="BV1163" s="2" t="s">
        <v>89</v>
      </c>
      <c r="BW1163" s="2" t="s">
        <v>156</v>
      </c>
      <c r="BX1163" s="2" t="s">
        <v>839</v>
      </c>
      <c r="BY1163" s="2">
        <v>3608.35</v>
      </c>
      <c r="CA1163" s="2" t="s">
        <v>749</v>
      </c>
      <c r="CC1163" s="2" t="s">
        <v>174</v>
      </c>
      <c r="CD1163" s="2">
        <v>7560</v>
      </c>
      <c r="CE1163" s="2" t="s">
        <v>87</v>
      </c>
      <c r="CF1163" s="3">
        <v>43077</v>
      </c>
      <c r="CI1163" s="2">
        <v>1</v>
      </c>
      <c r="CJ1163" s="2">
        <v>1</v>
      </c>
      <c r="CK1163" s="2">
        <v>21</v>
      </c>
      <c r="CL1163" s="2" t="s">
        <v>89</v>
      </c>
    </row>
    <row r="1164" spans="1:90">
      <c r="A1164" s="2" t="s">
        <v>71</v>
      </c>
      <c r="B1164" s="2" t="s">
        <v>72</v>
      </c>
      <c r="C1164" s="2" t="s">
        <v>73</v>
      </c>
      <c r="E1164" s="2" t="str">
        <f>"FES1162594326"</f>
        <v>FES1162594326</v>
      </c>
      <c r="F1164" s="3">
        <v>43075</v>
      </c>
      <c r="G1164" s="2">
        <v>201806</v>
      </c>
      <c r="H1164" s="2" t="s">
        <v>74</v>
      </c>
      <c r="I1164" s="2" t="s">
        <v>75</v>
      </c>
      <c r="J1164" s="2" t="s">
        <v>97</v>
      </c>
      <c r="K1164" s="2" t="s">
        <v>77</v>
      </c>
      <c r="L1164" s="2" t="s">
        <v>173</v>
      </c>
      <c r="M1164" s="2" t="s">
        <v>174</v>
      </c>
      <c r="N1164" s="2" t="s">
        <v>498</v>
      </c>
      <c r="O1164" s="2" t="s">
        <v>101</v>
      </c>
      <c r="P1164" s="2" t="str">
        <f>"2170605166                    "</f>
        <v xml:space="preserve">2170605166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6.43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</v>
      </c>
      <c r="BJ1164" s="2">
        <v>0.2</v>
      </c>
      <c r="BK1164" s="2">
        <v>1</v>
      </c>
      <c r="BL1164" s="2">
        <v>45.93</v>
      </c>
      <c r="BM1164" s="2">
        <v>6.43</v>
      </c>
      <c r="BN1164" s="2">
        <v>52.36</v>
      </c>
      <c r="BO1164" s="2">
        <v>52.36</v>
      </c>
      <c r="BQ1164" s="2" t="s">
        <v>499</v>
      </c>
      <c r="BR1164" s="2" t="s">
        <v>103</v>
      </c>
      <c r="BS1164" s="3">
        <v>43076</v>
      </c>
      <c r="BT1164" s="4">
        <v>0.41666666666666669</v>
      </c>
      <c r="BU1164" s="2" t="s">
        <v>500</v>
      </c>
      <c r="BV1164" s="2" t="s">
        <v>85</v>
      </c>
      <c r="BY1164" s="2">
        <v>1200</v>
      </c>
      <c r="CA1164" s="2" t="s">
        <v>360</v>
      </c>
      <c r="CC1164" s="2" t="s">
        <v>174</v>
      </c>
      <c r="CD1164" s="2">
        <v>7405</v>
      </c>
      <c r="CE1164" s="2" t="s">
        <v>120</v>
      </c>
      <c r="CF1164" s="3">
        <v>43077</v>
      </c>
      <c r="CI1164" s="2">
        <v>1</v>
      </c>
      <c r="CJ1164" s="2">
        <v>1</v>
      </c>
      <c r="CK1164" s="2">
        <v>21</v>
      </c>
      <c r="CL1164" s="2" t="s">
        <v>89</v>
      </c>
    </row>
    <row r="1165" spans="1:90">
      <c r="A1165" s="2" t="s">
        <v>71</v>
      </c>
      <c r="B1165" s="2" t="s">
        <v>72</v>
      </c>
      <c r="C1165" s="2" t="s">
        <v>73</v>
      </c>
      <c r="E1165" s="2" t="str">
        <f>"FES1162594239"</f>
        <v>FES1162594239</v>
      </c>
      <c r="F1165" s="3">
        <v>43075</v>
      </c>
      <c r="G1165" s="2">
        <v>201806</v>
      </c>
      <c r="H1165" s="2" t="s">
        <v>74</v>
      </c>
      <c r="I1165" s="2" t="s">
        <v>75</v>
      </c>
      <c r="J1165" s="2" t="s">
        <v>97</v>
      </c>
      <c r="K1165" s="2" t="s">
        <v>77</v>
      </c>
      <c r="L1165" s="2" t="s">
        <v>173</v>
      </c>
      <c r="M1165" s="2" t="s">
        <v>174</v>
      </c>
      <c r="N1165" s="2" t="s">
        <v>517</v>
      </c>
      <c r="O1165" s="2" t="s">
        <v>101</v>
      </c>
      <c r="P1165" s="2" t="str">
        <f>"2170605021                    "</f>
        <v xml:space="preserve">2170605021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6.43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1</v>
      </c>
      <c r="BJ1165" s="2">
        <v>0.2</v>
      </c>
      <c r="BK1165" s="2">
        <v>1</v>
      </c>
      <c r="BL1165" s="2">
        <v>45.93</v>
      </c>
      <c r="BM1165" s="2">
        <v>6.43</v>
      </c>
      <c r="BN1165" s="2">
        <v>52.36</v>
      </c>
      <c r="BO1165" s="2">
        <v>52.36</v>
      </c>
      <c r="BQ1165" s="2" t="s">
        <v>518</v>
      </c>
      <c r="BR1165" s="2" t="s">
        <v>103</v>
      </c>
      <c r="BS1165" s="3">
        <v>43076</v>
      </c>
      <c r="BT1165" s="4">
        <v>0.51944444444444449</v>
      </c>
      <c r="BU1165" s="2" t="s">
        <v>519</v>
      </c>
      <c r="BV1165" s="2" t="s">
        <v>89</v>
      </c>
      <c r="BW1165" s="2" t="s">
        <v>149</v>
      </c>
      <c r="BX1165" s="2" t="s">
        <v>246</v>
      </c>
      <c r="BY1165" s="2">
        <v>1200</v>
      </c>
      <c r="CA1165" s="2" t="s">
        <v>520</v>
      </c>
      <c r="CC1165" s="2" t="s">
        <v>174</v>
      </c>
      <c r="CD1165" s="2">
        <v>7550</v>
      </c>
      <c r="CE1165" s="2" t="s">
        <v>120</v>
      </c>
      <c r="CF1165" s="3">
        <v>43076</v>
      </c>
      <c r="CI1165" s="2">
        <v>1</v>
      </c>
      <c r="CJ1165" s="2">
        <v>1</v>
      </c>
      <c r="CK1165" s="2">
        <v>21</v>
      </c>
      <c r="CL1165" s="2" t="s">
        <v>89</v>
      </c>
    </row>
    <row r="1166" spans="1:90">
      <c r="A1166" s="2" t="s">
        <v>71</v>
      </c>
      <c r="B1166" s="2" t="s">
        <v>72</v>
      </c>
      <c r="C1166" s="2" t="s">
        <v>73</v>
      </c>
      <c r="E1166" s="2" t="str">
        <f>"FES1162594235"</f>
        <v>FES1162594235</v>
      </c>
      <c r="F1166" s="3">
        <v>43075</v>
      </c>
      <c r="G1166" s="2">
        <v>201806</v>
      </c>
      <c r="H1166" s="2" t="s">
        <v>74</v>
      </c>
      <c r="I1166" s="2" t="s">
        <v>75</v>
      </c>
      <c r="J1166" s="2" t="s">
        <v>97</v>
      </c>
      <c r="K1166" s="2" t="s">
        <v>77</v>
      </c>
      <c r="L1166" s="2" t="s">
        <v>173</v>
      </c>
      <c r="M1166" s="2" t="s">
        <v>174</v>
      </c>
      <c r="N1166" s="2" t="s">
        <v>1477</v>
      </c>
      <c r="O1166" s="2" t="s">
        <v>101</v>
      </c>
      <c r="P1166" s="2" t="str">
        <f>"2170604873                    "</f>
        <v xml:space="preserve">2170604873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6.43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1</v>
      </c>
      <c r="BJ1166" s="2">
        <v>0.2</v>
      </c>
      <c r="BK1166" s="2">
        <v>1</v>
      </c>
      <c r="BL1166" s="2">
        <v>45.93</v>
      </c>
      <c r="BM1166" s="2">
        <v>6.43</v>
      </c>
      <c r="BN1166" s="2">
        <v>52.36</v>
      </c>
      <c r="BO1166" s="2">
        <v>52.36</v>
      </c>
      <c r="BQ1166" s="2" t="s">
        <v>82</v>
      </c>
      <c r="BR1166" s="2" t="s">
        <v>103</v>
      </c>
      <c r="BS1166" s="3">
        <v>43076</v>
      </c>
      <c r="BT1166" s="4">
        <v>0.46458333333333335</v>
      </c>
      <c r="BU1166" s="2" t="s">
        <v>1478</v>
      </c>
      <c r="BV1166" s="2" t="s">
        <v>89</v>
      </c>
      <c r="BW1166" s="2" t="s">
        <v>149</v>
      </c>
      <c r="BX1166" s="2" t="s">
        <v>246</v>
      </c>
      <c r="BY1166" s="2">
        <v>1200</v>
      </c>
      <c r="CA1166" s="2" t="s">
        <v>378</v>
      </c>
      <c r="CC1166" s="2" t="s">
        <v>174</v>
      </c>
      <c r="CD1166" s="2">
        <v>7490</v>
      </c>
      <c r="CE1166" s="2" t="s">
        <v>120</v>
      </c>
      <c r="CF1166" s="3">
        <v>43077</v>
      </c>
      <c r="CI1166" s="2">
        <v>1</v>
      </c>
      <c r="CJ1166" s="2">
        <v>1</v>
      </c>
      <c r="CK1166" s="2">
        <v>21</v>
      </c>
      <c r="CL1166" s="2" t="s">
        <v>89</v>
      </c>
    </row>
    <row r="1167" spans="1:90">
      <c r="A1167" s="2" t="s">
        <v>71</v>
      </c>
      <c r="B1167" s="2" t="s">
        <v>72</v>
      </c>
      <c r="C1167" s="2" t="s">
        <v>73</v>
      </c>
      <c r="E1167" s="2" t="str">
        <f>"FES1162594190"</f>
        <v>FES1162594190</v>
      </c>
      <c r="F1167" s="3">
        <v>43075</v>
      </c>
      <c r="G1167" s="2">
        <v>201806</v>
      </c>
      <c r="H1167" s="2" t="s">
        <v>74</v>
      </c>
      <c r="I1167" s="2" t="s">
        <v>75</v>
      </c>
      <c r="J1167" s="2" t="s">
        <v>97</v>
      </c>
      <c r="K1167" s="2" t="s">
        <v>77</v>
      </c>
      <c r="L1167" s="2" t="s">
        <v>136</v>
      </c>
      <c r="M1167" s="2" t="s">
        <v>137</v>
      </c>
      <c r="N1167" s="2" t="s">
        <v>918</v>
      </c>
      <c r="O1167" s="2" t="s">
        <v>101</v>
      </c>
      <c r="P1167" s="2" t="str">
        <f>"2170603737                    "</f>
        <v xml:space="preserve">2170603737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6.43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1</v>
      </c>
      <c r="BJ1167" s="2">
        <v>0.2</v>
      </c>
      <c r="BK1167" s="2">
        <v>1</v>
      </c>
      <c r="BL1167" s="2">
        <v>45.93</v>
      </c>
      <c r="BM1167" s="2">
        <v>6.43</v>
      </c>
      <c r="BN1167" s="2">
        <v>52.36</v>
      </c>
      <c r="BO1167" s="2">
        <v>52.36</v>
      </c>
      <c r="BQ1167" s="2" t="s">
        <v>128</v>
      </c>
      <c r="BR1167" s="2" t="s">
        <v>103</v>
      </c>
      <c r="BS1167" s="3">
        <v>43076</v>
      </c>
      <c r="BT1167" s="4">
        <v>0.31041666666666667</v>
      </c>
      <c r="BU1167" s="2" t="s">
        <v>965</v>
      </c>
      <c r="BV1167" s="2" t="s">
        <v>85</v>
      </c>
      <c r="BY1167" s="2">
        <v>1200</v>
      </c>
      <c r="BZ1167" s="2" t="s">
        <v>27</v>
      </c>
      <c r="CC1167" s="2" t="s">
        <v>137</v>
      </c>
      <c r="CD1167" s="2">
        <v>6012</v>
      </c>
      <c r="CE1167" s="2" t="s">
        <v>120</v>
      </c>
      <c r="CF1167" s="3">
        <v>43077</v>
      </c>
      <c r="CI1167" s="2">
        <v>1</v>
      </c>
      <c r="CJ1167" s="2">
        <v>1</v>
      </c>
      <c r="CK1167" s="2">
        <v>21</v>
      </c>
      <c r="CL1167" s="2" t="s">
        <v>89</v>
      </c>
    </row>
    <row r="1168" spans="1:90">
      <c r="A1168" s="2" t="s">
        <v>71</v>
      </c>
      <c r="B1168" s="2" t="s">
        <v>72</v>
      </c>
      <c r="C1168" s="2" t="s">
        <v>73</v>
      </c>
      <c r="E1168" s="2" t="str">
        <f>"FES1162594345"</f>
        <v>FES1162594345</v>
      </c>
      <c r="F1168" s="3">
        <v>43075</v>
      </c>
      <c r="G1168" s="2">
        <v>201806</v>
      </c>
      <c r="H1168" s="2" t="s">
        <v>74</v>
      </c>
      <c r="I1168" s="2" t="s">
        <v>75</v>
      </c>
      <c r="J1168" s="2" t="s">
        <v>97</v>
      </c>
      <c r="K1168" s="2" t="s">
        <v>77</v>
      </c>
      <c r="L1168" s="2" t="s">
        <v>682</v>
      </c>
      <c r="M1168" s="2" t="s">
        <v>683</v>
      </c>
      <c r="N1168" s="2" t="s">
        <v>684</v>
      </c>
      <c r="O1168" s="2" t="s">
        <v>101</v>
      </c>
      <c r="P1168" s="2" t="str">
        <f>"2170606177                    "</f>
        <v xml:space="preserve">2170606177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12.47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1</v>
      </c>
      <c r="BJ1168" s="2">
        <v>0.2</v>
      </c>
      <c r="BK1168" s="2">
        <v>1</v>
      </c>
      <c r="BL1168" s="2">
        <v>89</v>
      </c>
      <c r="BM1168" s="2">
        <v>12.46</v>
      </c>
      <c r="BN1168" s="2">
        <v>101.46</v>
      </c>
      <c r="BO1168" s="2">
        <v>101.46</v>
      </c>
      <c r="BQ1168" s="2" t="s">
        <v>128</v>
      </c>
      <c r="BR1168" s="2" t="s">
        <v>103</v>
      </c>
      <c r="BS1168" s="3">
        <v>43076</v>
      </c>
      <c r="BT1168" s="4">
        <v>0</v>
      </c>
      <c r="BU1168" s="2" t="s">
        <v>1673</v>
      </c>
      <c r="BV1168" s="2" t="s">
        <v>85</v>
      </c>
      <c r="BY1168" s="2">
        <v>1200</v>
      </c>
      <c r="CC1168" s="2" t="s">
        <v>683</v>
      </c>
      <c r="CD1168" s="2">
        <v>6300</v>
      </c>
      <c r="CE1168" s="2" t="s">
        <v>120</v>
      </c>
      <c r="CF1168" s="3">
        <v>43087</v>
      </c>
      <c r="CI1168" s="2">
        <v>3</v>
      </c>
      <c r="CJ1168" s="2">
        <v>1</v>
      </c>
      <c r="CK1168" s="2">
        <v>23</v>
      </c>
      <c r="CL1168" s="2" t="s">
        <v>89</v>
      </c>
    </row>
    <row r="1169" spans="1:90">
      <c r="A1169" s="2" t="s">
        <v>71</v>
      </c>
      <c r="B1169" s="2" t="s">
        <v>72</v>
      </c>
      <c r="C1169" s="2" t="s">
        <v>73</v>
      </c>
      <c r="E1169" s="2" t="str">
        <f>"FES1162594233"</f>
        <v>FES1162594233</v>
      </c>
      <c r="F1169" s="3">
        <v>43075</v>
      </c>
      <c r="G1169" s="2">
        <v>201806</v>
      </c>
      <c r="H1169" s="2" t="s">
        <v>74</v>
      </c>
      <c r="I1169" s="2" t="s">
        <v>75</v>
      </c>
      <c r="J1169" s="2" t="s">
        <v>97</v>
      </c>
      <c r="K1169" s="2" t="s">
        <v>77</v>
      </c>
      <c r="L1169" s="2" t="s">
        <v>173</v>
      </c>
      <c r="M1169" s="2" t="s">
        <v>174</v>
      </c>
      <c r="N1169" s="2" t="s">
        <v>1674</v>
      </c>
      <c r="O1169" s="2" t="s">
        <v>101</v>
      </c>
      <c r="P1169" s="2" t="str">
        <f>"2170604858                    "</f>
        <v xml:space="preserve">2170604858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6.43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45.93</v>
      </c>
      <c r="BM1169" s="2">
        <v>6.43</v>
      </c>
      <c r="BN1169" s="2">
        <v>52.36</v>
      </c>
      <c r="BO1169" s="2">
        <v>52.36</v>
      </c>
      <c r="BR1169" s="2" t="s">
        <v>103</v>
      </c>
      <c r="BS1169" s="3">
        <v>43076</v>
      </c>
      <c r="BT1169" s="4">
        <v>0.40833333333333338</v>
      </c>
      <c r="BU1169" s="2" t="s">
        <v>452</v>
      </c>
      <c r="BV1169" s="2" t="s">
        <v>85</v>
      </c>
      <c r="BY1169" s="2">
        <v>1200</v>
      </c>
      <c r="BZ1169" s="2" t="s">
        <v>27</v>
      </c>
      <c r="CA1169" s="2" t="s">
        <v>1389</v>
      </c>
      <c r="CC1169" s="2" t="s">
        <v>174</v>
      </c>
      <c r="CD1169" s="2">
        <v>7460</v>
      </c>
      <c r="CE1169" s="2" t="s">
        <v>120</v>
      </c>
      <c r="CF1169" s="3">
        <v>43076</v>
      </c>
      <c r="CI1169" s="2">
        <v>1</v>
      </c>
      <c r="CJ1169" s="2">
        <v>1</v>
      </c>
      <c r="CK1169" s="2">
        <v>21</v>
      </c>
      <c r="CL1169" s="2" t="s">
        <v>89</v>
      </c>
    </row>
    <row r="1170" spans="1:90">
      <c r="A1170" s="2" t="s">
        <v>71</v>
      </c>
      <c r="B1170" s="2" t="s">
        <v>72</v>
      </c>
      <c r="C1170" s="2" t="s">
        <v>73</v>
      </c>
      <c r="E1170" s="2" t="str">
        <f>"FES1162594236"</f>
        <v>FES1162594236</v>
      </c>
      <c r="F1170" s="3">
        <v>43075</v>
      </c>
      <c r="G1170" s="2">
        <v>201806</v>
      </c>
      <c r="H1170" s="2" t="s">
        <v>74</v>
      </c>
      <c r="I1170" s="2" t="s">
        <v>75</v>
      </c>
      <c r="J1170" s="2" t="s">
        <v>97</v>
      </c>
      <c r="K1170" s="2" t="s">
        <v>77</v>
      </c>
      <c r="L1170" s="2" t="s">
        <v>212</v>
      </c>
      <c r="M1170" s="2" t="s">
        <v>212</v>
      </c>
      <c r="N1170" s="2" t="s">
        <v>370</v>
      </c>
      <c r="O1170" s="2" t="s">
        <v>101</v>
      </c>
      <c r="P1170" s="2" t="str">
        <f>"2170604893                    "</f>
        <v xml:space="preserve">2170604893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6.43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45.93</v>
      </c>
      <c r="BM1170" s="2">
        <v>6.43</v>
      </c>
      <c r="BN1170" s="2">
        <v>52.36</v>
      </c>
      <c r="BO1170" s="2">
        <v>52.36</v>
      </c>
      <c r="BQ1170" s="2" t="s">
        <v>102</v>
      </c>
      <c r="BR1170" s="2" t="s">
        <v>103</v>
      </c>
      <c r="BS1170" s="3">
        <v>43076</v>
      </c>
      <c r="BT1170" s="4">
        <v>0.61111111111111105</v>
      </c>
      <c r="BU1170" s="2" t="s">
        <v>538</v>
      </c>
      <c r="BV1170" s="2" t="s">
        <v>89</v>
      </c>
      <c r="BW1170" s="2" t="s">
        <v>149</v>
      </c>
      <c r="BX1170" s="2" t="s">
        <v>1413</v>
      </c>
      <c r="BY1170" s="2">
        <v>1200</v>
      </c>
      <c r="CC1170" s="2" t="s">
        <v>212</v>
      </c>
      <c r="CD1170" s="2">
        <v>7646</v>
      </c>
      <c r="CE1170" s="2" t="s">
        <v>120</v>
      </c>
      <c r="CF1170" s="3">
        <v>43076</v>
      </c>
      <c r="CI1170" s="2">
        <v>1</v>
      </c>
      <c r="CJ1170" s="2">
        <v>1</v>
      </c>
      <c r="CK1170" s="2">
        <v>21</v>
      </c>
      <c r="CL1170" s="2" t="s">
        <v>89</v>
      </c>
    </row>
    <row r="1171" spans="1:90">
      <c r="A1171" s="2" t="s">
        <v>71</v>
      </c>
      <c r="B1171" s="2" t="s">
        <v>72</v>
      </c>
      <c r="C1171" s="2" t="s">
        <v>73</v>
      </c>
      <c r="E1171" s="2" t="str">
        <f>"FES1162594252"</f>
        <v>FES1162594252</v>
      </c>
      <c r="F1171" s="3">
        <v>43075</v>
      </c>
      <c r="G1171" s="2">
        <v>201806</v>
      </c>
      <c r="H1171" s="2" t="s">
        <v>74</v>
      </c>
      <c r="I1171" s="2" t="s">
        <v>75</v>
      </c>
      <c r="J1171" s="2" t="s">
        <v>97</v>
      </c>
      <c r="K1171" s="2" t="s">
        <v>77</v>
      </c>
      <c r="L1171" s="2" t="s">
        <v>1115</v>
      </c>
      <c r="M1171" s="2" t="s">
        <v>1116</v>
      </c>
      <c r="N1171" s="2" t="s">
        <v>1117</v>
      </c>
      <c r="O1171" s="2" t="s">
        <v>101</v>
      </c>
      <c r="P1171" s="2" t="str">
        <f>"2170605525                    "</f>
        <v xml:space="preserve">2170605525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12.47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1</v>
      </c>
      <c r="BJ1171" s="2">
        <v>0.2</v>
      </c>
      <c r="BK1171" s="2">
        <v>1</v>
      </c>
      <c r="BL1171" s="2">
        <v>89</v>
      </c>
      <c r="BM1171" s="2">
        <v>12.46</v>
      </c>
      <c r="BN1171" s="2">
        <v>101.46</v>
      </c>
      <c r="BO1171" s="2">
        <v>101.46</v>
      </c>
      <c r="BQ1171" s="2" t="s">
        <v>102</v>
      </c>
      <c r="BR1171" s="2" t="s">
        <v>103</v>
      </c>
      <c r="BS1171" s="3">
        <v>43076</v>
      </c>
      <c r="BT1171" s="4">
        <v>0.5</v>
      </c>
      <c r="BU1171" s="2" t="s">
        <v>1675</v>
      </c>
      <c r="BV1171" s="2" t="s">
        <v>85</v>
      </c>
      <c r="BY1171" s="2">
        <v>1200</v>
      </c>
      <c r="CA1171" s="2" t="s">
        <v>1676</v>
      </c>
      <c r="CC1171" s="2" t="s">
        <v>1116</v>
      </c>
      <c r="CD1171" s="2">
        <v>5660</v>
      </c>
      <c r="CE1171" s="2" t="s">
        <v>120</v>
      </c>
      <c r="CF1171" s="3">
        <v>43080</v>
      </c>
      <c r="CI1171" s="2">
        <v>3</v>
      </c>
      <c r="CJ1171" s="2">
        <v>1</v>
      </c>
      <c r="CK1171" s="2">
        <v>23</v>
      </c>
      <c r="CL1171" s="2" t="s">
        <v>89</v>
      </c>
    </row>
    <row r="1172" spans="1:90">
      <c r="A1172" s="2" t="s">
        <v>71</v>
      </c>
      <c r="B1172" s="2" t="s">
        <v>72</v>
      </c>
      <c r="C1172" s="2" t="s">
        <v>73</v>
      </c>
      <c r="E1172" s="2" t="str">
        <f>"FES1162594176"</f>
        <v>FES1162594176</v>
      </c>
      <c r="F1172" s="3">
        <v>43075</v>
      </c>
      <c r="G1172" s="2">
        <v>201806</v>
      </c>
      <c r="H1172" s="2" t="s">
        <v>74</v>
      </c>
      <c r="I1172" s="2" t="s">
        <v>75</v>
      </c>
      <c r="J1172" s="2" t="s">
        <v>97</v>
      </c>
      <c r="K1172" s="2" t="s">
        <v>77</v>
      </c>
      <c r="L1172" s="2" t="s">
        <v>212</v>
      </c>
      <c r="M1172" s="2" t="s">
        <v>212</v>
      </c>
      <c r="N1172" s="2" t="s">
        <v>1677</v>
      </c>
      <c r="O1172" s="2" t="s">
        <v>101</v>
      </c>
      <c r="P1172" s="2" t="str">
        <f>"217060586                     "</f>
        <v xml:space="preserve">217060586 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6.43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</v>
      </c>
      <c r="BJ1172" s="2">
        <v>0.2</v>
      </c>
      <c r="BK1172" s="2">
        <v>1</v>
      </c>
      <c r="BL1172" s="2">
        <v>45.93</v>
      </c>
      <c r="BM1172" s="2">
        <v>6.43</v>
      </c>
      <c r="BN1172" s="2">
        <v>52.36</v>
      </c>
      <c r="BO1172" s="2">
        <v>52.36</v>
      </c>
      <c r="BQ1172" s="2" t="s">
        <v>1678</v>
      </c>
      <c r="BR1172" s="2" t="s">
        <v>103</v>
      </c>
      <c r="BS1172" s="3">
        <v>43076</v>
      </c>
      <c r="BT1172" s="4">
        <v>0.59722222222222221</v>
      </c>
      <c r="BU1172" s="2" t="s">
        <v>1679</v>
      </c>
      <c r="BV1172" s="2" t="s">
        <v>89</v>
      </c>
      <c r="BW1172" s="2" t="s">
        <v>149</v>
      </c>
      <c r="BX1172" s="2" t="s">
        <v>1413</v>
      </c>
      <c r="BY1172" s="2">
        <v>1200</v>
      </c>
      <c r="CA1172" s="2" t="s">
        <v>532</v>
      </c>
      <c r="CC1172" s="2" t="s">
        <v>212</v>
      </c>
      <c r="CD1172" s="2">
        <v>7646</v>
      </c>
      <c r="CE1172" s="2" t="s">
        <v>120</v>
      </c>
      <c r="CF1172" s="3">
        <v>43076</v>
      </c>
      <c r="CI1172" s="2">
        <v>1</v>
      </c>
      <c r="CJ1172" s="2">
        <v>1</v>
      </c>
      <c r="CK1172" s="2">
        <v>21</v>
      </c>
      <c r="CL1172" s="2" t="s">
        <v>89</v>
      </c>
    </row>
    <row r="1173" spans="1:90">
      <c r="A1173" s="2" t="s">
        <v>71</v>
      </c>
      <c r="B1173" s="2" t="s">
        <v>72</v>
      </c>
      <c r="C1173" s="2" t="s">
        <v>73</v>
      </c>
      <c r="E1173" s="2" t="str">
        <f>"FES1162594201"</f>
        <v>FES1162594201</v>
      </c>
      <c r="F1173" s="3">
        <v>43075</v>
      </c>
      <c r="G1173" s="2">
        <v>201806</v>
      </c>
      <c r="H1173" s="2" t="s">
        <v>74</v>
      </c>
      <c r="I1173" s="2" t="s">
        <v>75</v>
      </c>
      <c r="J1173" s="2" t="s">
        <v>97</v>
      </c>
      <c r="K1173" s="2" t="s">
        <v>77</v>
      </c>
      <c r="L1173" s="2" t="s">
        <v>98</v>
      </c>
      <c r="M1173" s="2" t="s">
        <v>99</v>
      </c>
      <c r="N1173" s="2" t="s">
        <v>1680</v>
      </c>
      <c r="O1173" s="2" t="s">
        <v>101</v>
      </c>
      <c r="P1173" s="2" t="str">
        <f>"2170603856                    "</f>
        <v xml:space="preserve">2170603856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6.43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45.93</v>
      </c>
      <c r="BM1173" s="2">
        <v>6.43</v>
      </c>
      <c r="BN1173" s="2">
        <v>52.36</v>
      </c>
      <c r="BO1173" s="2">
        <v>52.36</v>
      </c>
      <c r="BQ1173" s="2" t="s">
        <v>187</v>
      </c>
      <c r="BR1173" s="2" t="s">
        <v>103</v>
      </c>
      <c r="BS1173" s="3">
        <v>43076</v>
      </c>
      <c r="BT1173" s="4">
        <v>0.42083333333333334</v>
      </c>
      <c r="BU1173" s="2" t="s">
        <v>1681</v>
      </c>
      <c r="BV1173" s="2" t="s">
        <v>85</v>
      </c>
      <c r="BY1173" s="2">
        <v>1200</v>
      </c>
      <c r="CA1173" s="2" t="s">
        <v>105</v>
      </c>
      <c r="CC1173" s="2" t="s">
        <v>99</v>
      </c>
      <c r="CD1173" s="2">
        <v>3201</v>
      </c>
      <c r="CE1173" s="2" t="s">
        <v>120</v>
      </c>
      <c r="CF1173" s="3">
        <v>43080</v>
      </c>
      <c r="CI1173" s="2">
        <v>1</v>
      </c>
      <c r="CJ1173" s="2">
        <v>1</v>
      </c>
      <c r="CK1173" s="2">
        <v>21</v>
      </c>
      <c r="CL1173" s="2" t="s">
        <v>89</v>
      </c>
    </row>
    <row r="1174" spans="1:90">
      <c r="A1174" s="2" t="s">
        <v>71</v>
      </c>
      <c r="B1174" s="2" t="s">
        <v>72</v>
      </c>
      <c r="C1174" s="2" t="s">
        <v>73</v>
      </c>
      <c r="E1174" s="2" t="str">
        <f>"FES1162594320"</f>
        <v>FES1162594320</v>
      </c>
      <c r="F1174" s="3">
        <v>43075</v>
      </c>
      <c r="G1174" s="2">
        <v>201806</v>
      </c>
      <c r="H1174" s="2" t="s">
        <v>74</v>
      </c>
      <c r="I1174" s="2" t="s">
        <v>75</v>
      </c>
      <c r="J1174" s="2" t="s">
        <v>97</v>
      </c>
      <c r="K1174" s="2" t="s">
        <v>77</v>
      </c>
      <c r="L1174" s="2" t="s">
        <v>168</v>
      </c>
      <c r="M1174" s="2" t="s">
        <v>169</v>
      </c>
      <c r="N1174" s="2" t="s">
        <v>217</v>
      </c>
      <c r="O1174" s="2" t="s">
        <v>101</v>
      </c>
      <c r="P1174" s="2" t="str">
        <f>"21706000624                   "</f>
        <v xml:space="preserve">21706000624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6.43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45.93</v>
      </c>
      <c r="BM1174" s="2">
        <v>6.43</v>
      </c>
      <c r="BN1174" s="2">
        <v>52.36</v>
      </c>
      <c r="BO1174" s="2">
        <v>52.36</v>
      </c>
      <c r="BQ1174" s="2" t="s">
        <v>102</v>
      </c>
      <c r="BR1174" s="2" t="s">
        <v>103</v>
      </c>
      <c r="BS1174" s="3">
        <v>43076</v>
      </c>
      <c r="BT1174" s="4">
        <v>0.54375000000000007</v>
      </c>
      <c r="BU1174" s="2" t="s">
        <v>1585</v>
      </c>
      <c r="BV1174" s="2" t="s">
        <v>89</v>
      </c>
      <c r="BW1174" s="2" t="s">
        <v>149</v>
      </c>
      <c r="BX1174" s="2" t="s">
        <v>594</v>
      </c>
      <c r="BY1174" s="2">
        <v>1200</v>
      </c>
      <c r="CA1174" s="2" t="s">
        <v>1235</v>
      </c>
      <c r="CC1174" s="2" t="s">
        <v>169</v>
      </c>
      <c r="CD1174" s="2">
        <v>3620</v>
      </c>
      <c r="CE1174" s="2" t="s">
        <v>120</v>
      </c>
      <c r="CF1174" s="3">
        <v>43080</v>
      </c>
      <c r="CI1174" s="2">
        <v>1</v>
      </c>
      <c r="CJ1174" s="2">
        <v>1</v>
      </c>
      <c r="CK1174" s="2">
        <v>21</v>
      </c>
      <c r="CL1174" s="2" t="s">
        <v>89</v>
      </c>
    </row>
    <row r="1175" spans="1:90">
      <c r="A1175" s="2" t="s">
        <v>71</v>
      </c>
      <c r="B1175" s="2" t="s">
        <v>72</v>
      </c>
      <c r="C1175" s="2" t="s">
        <v>73</v>
      </c>
      <c r="E1175" s="2" t="str">
        <f>"FES1162594298"</f>
        <v>FES1162594298</v>
      </c>
      <c r="F1175" s="3">
        <v>43075</v>
      </c>
      <c r="G1175" s="2">
        <v>201806</v>
      </c>
      <c r="H1175" s="2" t="s">
        <v>74</v>
      </c>
      <c r="I1175" s="2" t="s">
        <v>75</v>
      </c>
      <c r="J1175" s="2" t="s">
        <v>97</v>
      </c>
      <c r="K1175" s="2" t="s">
        <v>77</v>
      </c>
      <c r="L1175" s="2" t="s">
        <v>173</v>
      </c>
      <c r="M1175" s="2" t="s">
        <v>174</v>
      </c>
      <c r="N1175" s="2" t="s">
        <v>1045</v>
      </c>
      <c r="O1175" s="2" t="s">
        <v>101</v>
      </c>
      <c r="P1175" s="2" t="str">
        <f>"2170606145                    "</f>
        <v xml:space="preserve">2170606145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11.26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2.5</v>
      </c>
      <c r="BJ1175" s="2">
        <v>3.4</v>
      </c>
      <c r="BK1175" s="2">
        <v>3.5</v>
      </c>
      <c r="BL1175" s="2">
        <v>80.37</v>
      </c>
      <c r="BM1175" s="2">
        <v>11.25</v>
      </c>
      <c r="BN1175" s="2">
        <v>91.62</v>
      </c>
      <c r="BO1175" s="2">
        <v>91.62</v>
      </c>
      <c r="BQ1175" s="2" t="s">
        <v>142</v>
      </c>
      <c r="BR1175" s="2" t="s">
        <v>103</v>
      </c>
      <c r="BS1175" s="3">
        <v>43076</v>
      </c>
      <c r="BT1175" s="4">
        <v>0.46666666666666662</v>
      </c>
      <c r="BU1175" s="2" t="s">
        <v>1046</v>
      </c>
      <c r="BV1175" s="2" t="s">
        <v>89</v>
      </c>
      <c r="BW1175" s="2" t="s">
        <v>149</v>
      </c>
      <c r="BX1175" s="2" t="s">
        <v>246</v>
      </c>
      <c r="BY1175" s="2">
        <v>16946.73</v>
      </c>
      <c r="CA1175" s="2" t="s">
        <v>1682</v>
      </c>
      <c r="CC1175" s="2" t="s">
        <v>174</v>
      </c>
      <c r="CD1175" s="2">
        <v>7441</v>
      </c>
      <c r="CE1175" s="2" t="s">
        <v>95</v>
      </c>
      <c r="CF1175" s="3">
        <v>43076</v>
      </c>
      <c r="CI1175" s="2">
        <v>1</v>
      </c>
      <c r="CJ1175" s="2">
        <v>1</v>
      </c>
      <c r="CK1175" s="2">
        <v>21</v>
      </c>
      <c r="CL1175" s="2" t="s">
        <v>89</v>
      </c>
    </row>
    <row r="1176" spans="1:90">
      <c r="A1176" s="2" t="s">
        <v>71</v>
      </c>
      <c r="B1176" s="2" t="s">
        <v>72</v>
      </c>
      <c r="C1176" s="2" t="s">
        <v>73</v>
      </c>
      <c r="E1176" s="2" t="str">
        <f>"FES1162593793"</f>
        <v>FES1162593793</v>
      </c>
      <c r="F1176" s="3">
        <v>43074</v>
      </c>
      <c r="G1176" s="2">
        <v>201806</v>
      </c>
      <c r="H1176" s="2" t="s">
        <v>74</v>
      </c>
      <c r="I1176" s="2" t="s">
        <v>75</v>
      </c>
      <c r="J1176" s="2" t="s">
        <v>97</v>
      </c>
      <c r="K1176" s="2" t="s">
        <v>77</v>
      </c>
      <c r="L1176" s="2" t="s">
        <v>526</v>
      </c>
      <c r="M1176" s="2" t="s">
        <v>527</v>
      </c>
      <c r="N1176" s="2" t="s">
        <v>528</v>
      </c>
      <c r="O1176" s="2" t="s">
        <v>101</v>
      </c>
      <c r="P1176" s="2" t="str">
        <f>"2170604607                    "</f>
        <v xml:space="preserve">2170604607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5.65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1</v>
      </c>
      <c r="BJ1176" s="2">
        <v>0.2</v>
      </c>
      <c r="BK1176" s="2">
        <v>1</v>
      </c>
      <c r="BL1176" s="2">
        <v>45.15</v>
      </c>
      <c r="BM1176" s="2">
        <v>6.32</v>
      </c>
      <c r="BN1176" s="2">
        <v>51.47</v>
      </c>
      <c r="BO1176" s="2">
        <v>51.47</v>
      </c>
      <c r="BQ1176" s="2" t="s">
        <v>128</v>
      </c>
      <c r="BR1176" s="2" t="s">
        <v>103</v>
      </c>
      <c r="BS1176" s="3">
        <v>43075</v>
      </c>
      <c r="BT1176" s="4">
        <v>0.58680555555555558</v>
      </c>
      <c r="BU1176" s="2" t="s">
        <v>1120</v>
      </c>
      <c r="BV1176" s="2" t="s">
        <v>85</v>
      </c>
      <c r="BY1176" s="2">
        <v>1200</v>
      </c>
      <c r="BZ1176" s="2" t="s">
        <v>27</v>
      </c>
      <c r="CA1176" s="2" t="s">
        <v>530</v>
      </c>
      <c r="CC1176" s="2" t="s">
        <v>527</v>
      </c>
      <c r="CD1176" s="2">
        <v>6850</v>
      </c>
      <c r="CE1176" s="2" t="s">
        <v>120</v>
      </c>
      <c r="CF1176" s="3">
        <v>43075</v>
      </c>
      <c r="CI1176" s="2">
        <v>3</v>
      </c>
      <c r="CJ1176" s="2">
        <v>1</v>
      </c>
      <c r="CK1176" s="2">
        <v>21</v>
      </c>
      <c r="CL1176" s="2" t="s">
        <v>89</v>
      </c>
    </row>
    <row r="1177" spans="1:90">
      <c r="A1177" s="2" t="s">
        <v>71</v>
      </c>
      <c r="B1177" s="2" t="s">
        <v>72</v>
      </c>
      <c r="C1177" s="2" t="s">
        <v>73</v>
      </c>
      <c r="E1177" s="2" t="str">
        <f>"009936862908"</f>
        <v>009936862908</v>
      </c>
      <c r="F1177" s="3">
        <v>43074</v>
      </c>
      <c r="G1177" s="2">
        <v>201806</v>
      </c>
      <c r="H1177" s="2" t="s">
        <v>651</v>
      </c>
      <c r="I1177" s="2" t="s">
        <v>652</v>
      </c>
      <c r="J1177" s="2" t="s">
        <v>1683</v>
      </c>
      <c r="K1177" s="2" t="s">
        <v>77</v>
      </c>
      <c r="L1177" s="2" t="s">
        <v>106</v>
      </c>
      <c r="M1177" s="2" t="s">
        <v>107</v>
      </c>
      <c r="N1177" s="2" t="s">
        <v>1684</v>
      </c>
      <c r="O1177" s="2" t="s">
        <v>101</v>
      </c>
      <c r="P1177" s="2" t="str">
        <f>"                              "</f>
        <v xml:space="preserve">          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7.94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1.5</v>
      </c>
      <c r="BJ1177" s="2">
        <v>2</v>
      </c>
      <c r="BK1177" s="2">
        <v>2</v>
      </c>
      <c r="BL1177" s="2">
        <v>63.49</v>
      </c>
      <c r="BM1177" s="2">
        <v>8.89</v>
      </c>
      <c r="BN1177" s="2">
        <v>72.38</v>
      </c>
      <c r="BO1177" s="2">
        <v>72.38</v>
      </c>
      <c r="BQ1177" s="2" t="s">
        <v>1685</v>
      </c>
      <c r="BS1177" s="3">
        <v>43075</v>
      </c>
      <c r="BT1177" s="4">
        <v>0.40625</v>
      </c>
      <c r="BU1177" s="2" t="s">
        <v>1686</v>
      </c>
      <c r="BV1177" s="2" t="s">
        <v>85</v>
      </c>
      <c r="BY1177" s="2">
        <v>10054.51</v>
      </c>
      <c r="BZ1177" s="2" t="s">
        <v>27</v>
      </c>
      <c r="CA1177" s="2" t="s">
        <v>366</v>
      </c>
      <c r="CC1177" s="2" t="s">
        <v>107</v>
      </c>
      <c r="CD1177" s="2">
        <v>2000</v>
      </c>
      <c r="CE1177" s="2" t="s">
        <v>95</v>
      </c>
      <c r="CF1177" s="3">
        <v>43077</v>
      </c>
      <c r="CI1177" s="2">
        <v>1</v>
      </c>
      <c r="CJ1177" s="2">
        <v>1</v>
      </c>
      <c r="CK1177" s="2">
        <v>24</v>
      </c>
      <c r="CL1177" s="2" t="s">
        <v>89</v>
      </c>
    </row>
    <row r="1178" spans="1:90">
      <c r="A1178" s="2" t="s">
        <v>71</v>
      </c>
      <c r="B1178" s="2" t="s">
        <v>72</v>
      </c>
      <c r="C1178" s="2" t="s">
        <v>73</v>
      </c>
      <c r="E1178" s="2" t="str">
        <f>"FES1162594527"</f>
        <v>FES1162594527</v>
      </c>
      <c r="F1178" s="3">
        <v>43076</v>
      </c>
      <c r="G1178" s="2">
        <v>201806</v>
      </c>
      <c r="H1178" s="2" t="s">
        <v>74</v>
      </c>
      <c r="I1178" s="2" t="s">
        <v>75</v>
      </c>
      <c r="J1178" s="2" t="s">
        <v>97</v>
      </c>
      <c r="K1178" s="2" t="s">
        <v>77</v>
      </c>
      <c r="L1178" s="2" t="s">
        <v>106</v>
      </c>
      <c r="M1178" s="2" t="s">
        <v>107</v>
      </c>
      <c r="N1178" s="2" t="s">
        <v>1687</v>
      </c>
      <c r="O1178" s="2" t="s">
        <v>101</v>
      </c>
      <c r="P1178" s="2" t="str">
        <f>"2170606393                    "</f>
        <v xml:space="preserve">2170606393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5.03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35.89</v>
      </c>
      <c r="BM1178" s="2">
        <v>5.0199999999999996</v>
      </c>
      <c r="BN1178" s="2">
        <v>40.909999999999997</v>
      </c>
      <c r="BO1178" s="2">
        <v>40.909999999999997</v>
      </c>
      <c r="BQ1178" s="2" t="s">
        <v>128</v>
      </c>
      <c r="BR1178" s="2" t="s">
        <v>103</v>
      </c>
      <c r="BS1178" s="3">
        <v>43077</v>
      </c>
      <c r="BT1178" s="4">
        <v>0.38472222222222219</v>
      </c>
      <c r="BU1178" s="2" t="s">
        <v>1688</v>
      </c>
      <c r="BV1178" s="2" t="s">
        <v>85</v>
      </c>
      <c r="BY1178" s="2">
        <v>1200</v>
      </c>
      <c r="CC1178" s="2" t="s">
        <v>107</v>
      </c>
      <c r="CD1178" s="2">
        <v>2001</v>
      </c>
      <c r="CE1178" s="2" t="s">
        <v>120</v>
      </c>
      <c r="CF1178" s="3">
        <v>43080</v>
      </c>
      <c r="CI1178" s="2">
        <v>1</v>
      </c>
      <c r="CJ1178" s="2">
        <v>1</v>
      </c>
      <c r="CK1178" s="2">
        <v>22</v>
      </c>
      <c r="CL1178" s="2" t="s">
        <v>89</v>
      </c>
    </row>
    <row r="1179" spans="1:90">
      <c r="A1179" s="2" t="s">
        <v>71</v>
      </c>
      <c r="B1179" s="2" t="s">
        <v>72</v>
      </c>
      <c r="C1179" s="2" t="s">
        <v>73</v>
      </c>
      <c r="E1179" s="2" t="str">
        <f>"FES1162594573"</f>
        <v>FES1162594573</v>
      </c>
      <c r="F1179" s="3">
        <v>43076</v>
      </c>
      <c r="G1179" s="2">
        <v>201806</v>
      </c>
      <c r="H1179" s="2" t="s">
        <v>74</v>
      </c>
      <c r="I1179" s="2" t="s">
        <v>75</v>
      </c>
      <c r="J1179" s="2" t="s">
        <v>97</v>
      </c>
      <c r="K1179" s="2" t="s">
        <v>77</v>
      </c>
      <c r="L1179" s="2" t="s">
        <v>168</v>
      </c>
      <c r="M1179" s="2" t="s">
        <v>169</v>
      </c>
      <c r="N1179" s="2" t="s">
        <v>170</v>
      </c>
      <c r="O1179" s="2" t="s">
        <v>101</v>
      </c>
      <c r="P1179" s="2" t="str">
        <f>"2170606445                    "</f>
        <v xml:space="preserve">2170606445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6.43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0.9</v>
      </c>
      <c r="BK1179" s="2">
        <v>1</v>
      </c>
      <c r="BL1179" s="2">
        <v>45.93</v>
      </c>
      <c r="BM1179" s="2">
        <v>6.43</v>
      </c>
      <c r="BN1179" s="2">
        <v>52.36</v>
      </c>
      <c r="BO1179" s="2">
        <v>52.36</v>
      </c>
      <c r="BQ1179" s="2" t="s">
        <v>128</v>
      </c>
      <c r="BR1179" s="2" t="s">
        <v>103</v>
      </c>
      <c r="BS1179" s="3">
        <v>43077</v>
      </c>
      <c r="BT1179" s="4">
        <v>0.40625</v>
      </c>
      <c r="BU1179" s="2" t="s">
        <v>171</v>
      </c>
      <c r="BV1179" s="2" t="s">
        <v>85</v>
      </c>
      <c r="BY1179" s="2">
        <v>4640</v>
      </c>
      <c r="CC1179" s="2" t="s">
        <v>169</v>
      </c>
      <c r="CD1179" s="2">
        <v>3610</v>
      </c>
      <c r="CE1179" s="2" t="s">
        <v>95</v>
      </c>
      <c r="CF1179" s="3">
        <v>43080</v>
      </c>
      <c r="CI1179" s="2">
        <v>1</v>
      </c>
      <c r="CJ1179" s="2">
        <v>1</v>
      </c>
      <c r="CK1179" s="2">
        <v>21</v>
      </c>
      <c r="CL1179" s="2" t="s">
        <v>89</v>
      </c>
    </row>
    <row r="1180" spans="1:90">
      <c r="A1180" s="2" t="s">
        <v>71</v>
      </c>
      <c r="B1180" s="2" t="s">
        <v>72</v>
      </c>
      <c r="C1180" s="2" t="s">
        <v>73</v>
      </c>
      <c r="E1180" s="2" t="str">
        <f>"FES1162594551"</f>
        <v>FES1162594551</v>
      </c>
      <c r="F1180" s="3">
        <v>43076</v>
      </c>
      <c r="G1180" s="2">
        <v>201806</v>
      </c>
      <c r="H1180" s="2" t="s">
        <v>74</v>
      </c>
      <c r="I1180" s="2" t="s">
        <v>75</v>
      </c>
      <c r="J1180" s="2" t="s">
        <v>97</v>
      </c>
      <c r="K1180" s="2" t="s">
        <v>77</v>
      </c>
      <c r="L1180" s="2" t="s">
        <v>106</v>
      </c>
      <c r="M1180" s="2" t="s">
        <v>107</v>
      </c>
      <c r="N1180" s="2" t="s">
        <v>108</v>
      </c>
      <c r="O1180" s="2" t="s">
        <v>101</v>
      </c>
      <c r="P1180" s="2" t="str">
        <f>"2170595655                    "</f>
        <v xml:space="preserve">2170595655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5.03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3.4</v>
      </c>
      <c r="BK1180" s="2">
        <v>4</v>
      </c>
      <c r="BL1180" s="2">
        <v>35.89</v>
      </c>
      <c r="BM1180" s="2">
        <v>5.0199999999999996</v>
      </c>
      <c r="BN1180" s="2">
        <v>40.909999999999997</v>
      </c>
      <c r="BO1180" s="2">
        <v>40.909999999999997</v>
      </c>
      <c r="BQ1180" s="2" t="s">
        <v>82</v>
      </c>
      <c r="BR1180" s="2" t="s">
        <v>103</v>
      </c>
      <c r="BS1180" s="3">
        <v>43077</v>
      </c>
      <c r="BT1180" s="4">
        <v>0.39444444444444443</v>
      </c>
      <c r="BU1180" s="2" t="s">
        <v>328</v>
      </c>
      <c r="BV1180" s="2" t="s">
        <v>85</v>
      </c>
      <c r="BY1180" s="2">
        <v>16848</v>
      </c>
      <c r="CC1180" s="2" t="s">
        <v>107</v>
      </c>
      <c r="CD1180" s="2">
        <v>2094</v>
      </c>
      <c r="CE1180" s="2" t="s">
        <v>95</v>
      </c>
      <c r="CF1180" s="3">
        <v>43081</v>
      </c>
      <c r="CI1180" s="2">
        <v>1</v>
      </c>
      <c r="CJ1180" s="2">
        <v>1</v>
      </c>
      <c r="CK1180" s="2">
        <v>22</v>
      </c>
      <c r="CL1180" s="2" t="s">
        <v>89</v>
      </c>
    </row>
    <row r="1181" spans="1:90">
      <c r="A1181" s="2" t="s">
        <v>71</v>
      </c>
      <c r="B1181" s="2" t="s">
        <v>72</v>
      </c>
      <c r="C1181" s="2" t="s">
        <v>73</v>
      </c>
      <c r="E1181" s="2" t="str">
        <f>"FES1162594564"</f>
        <v>FES1162594564</v>
      </c>
      <c r="F1181" s="3">
        <v>43076</v>
      </c>
      <c r="G1181" s="2">
        <v>201806</v>
      </c>
      <c r="H1181" s="2" t="s">
        <v>74</v>
      </c>
      <c r="I1181" s="2" t="s">
        <v>75</v>
      </c>
      <c r="J1181" s="2" t="s">
        <v>97</v>
      </c>
      <c r="K1181" s="2" t="s">
        <v>77</v>
      </c>
      <c r="L1181" s="2" t="s">
        <v>168</v>
      </c>
      <c r="M1181" s="2" t="s">
        <v>169</v>
      </c>
      <c r="N1181" s="2" t="s">
        <v>170</v>
      </c>
      <c r="O1181" s="2" t="s">
        <v>101</v>
      </c>
      <c r="P1181" s="2" t="str">
        <f>"2170606433                    "</f>
        <v xml:space="preserve">2170606433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43.41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13.1</v>
      </c>
      <c r="BJ1181" s="2">
        <v>4.2</v>
      </c>
      <c r="BK1181" s="2">
        <v>13.5</v>
      </c>
      <c r="BL1181" s="2">
        <v>309.92</v>
      </c>
      <c r="BM1181" s="2">
        <v>43.39</v>
      </c>
      <c r="BN1181" s="2">
        <v>353.31</v>
      </c>
      <c r="BO1181" s="2">
        <v>353.31</v>
      </c>
      <c r="BQ1181" s="2" t="s">
        <v>128</v>
      </c>
      <c r="BR1181" s="2" t="s">
        <v>103</v>
      </c>
      <c r="BS1181" s="3">
        <v>43077</v>
      </c>
      <c r="BT1181" s="4">
        <v>0.40625</v>
      </c>
      <c r="BU1181" s="2" t="s">
        <v>171</v>
      </c>
      <c r="BV1181" s="2" t="s">
        <v>85</v>
      </c>
      <c r="BY1181" s="2">
        <v>21125.52</v>
      </c>
      <c r="CC1181" s="2" t="s">
        <v>169</v>
      </c>
      <c r="CD1181" s="2">
        <v>3610</v>
      </c>
      <c r="CE1181" s="2" t="s">
        <v>95</v>
      </c>
      <c r="CF1181" s="3">
        <v>43080</v>
      </c>
      <c r="CI1181" s="2">
        <v>1</v>
      </c>
      <c r="CJ1181" s="2">
        <v>1</v>
      </c>
      <c r="CK1181" s="2">
        <v>21</v>
      </c>
      <c r="CL1181" s="2" t="s">
        <v>89</v>
      </c>
    </row>
    <row r="1182" spans="1:90">
      <c r="A1182" s="2" t="s">
        <v>71</v>
      </c>
      <c r="B1182" s="2" t="s">
        <v>72</v>
      </c>
      <c r="C1182" s="2" t="s">
        <v>73</v>
      </c>
      <c r="E1182" s="2" t="str">
        <f>"FES1162594486"</f>
        <v>FES1162594486</v>
      </c>
      <c r="F1182" s="3">
        <v>43076</v>
      </c>
      <c r="G1182" s="2">
        <v>201806</v>
      </c>
      <c r="H1182" s="2" t="s">
        <v>74</v>
      </c>
      <c r="I1182" s="2" t="s">
        <v>75</v>
      </c>
      <c r="J1182" s="2" t="s">
        <v>97</v>
      </c>
      <c r="K1182" s="2" t="s">
        <v>77</v>
      </c>
      <c r="L1182" s="2" t="s">
        <v>295</v>
      </c>
      <c r="M1182" s="2" t="s">
        <v>296</v>
      </c>
      <c r="N1182" s="2" t="s">
        <v>297</v>
      </c>
      <c r="O1182" s="2" t="s">
        <v>101</v>
      </c>
      <c r="P1182" s="2" t="str">
        <f>"2170603858                    "</f>
        <v xml:space="preserve">2170603858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9.0500000000000007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</v>
      </c>
      <c r="BJ1182" s="2">
        <v>0.2</v>
      </c>
      <c r="BK1182" s="2">
        <v>1</v>
      </c>
      <c r="BL1182" s="2">
        <v>64.599999999999994</v>
      </c>
      <c r="BM1182" s="2">
        <v>9.0399999999999991</v>
      </c>
      <c r="BN1182" s="2">
        <v>73.64</v>
      </c>
      <c r="BO1182" s="2">
        <v>73.64</v>
      </c>
      <c r="BQ1182" s="2" t="s">
        <v>82</v>
      </c>
      <c r="BR1182" s="2" t="s">
        <v>103</v>
      </c>
      <c r="BS1182" s="3">
        <v>43077</v>
      </c>
      <c r="BT1182" s="4">
        <v>0.53333333333333333</v>
      </c>
      <c r="BU1182" s="2" t="s">
        <v>539</v>
      </c>
      <c r="BV1182" s="2" t="s">
        <v>85</v>
      </c>
      <c r="BY1182" s="2">
        <v>1200</v>
      </c>
      <c r="CA1182" s="2" t="s">
        <v>293</v>
      </c>
      <c r="CC1182" s="2" t="s">
        <v>296</v>
      </c>
      <c r="CD1182" s="2">
        <v>208</v>
      </c>
      <c r="CE1182" s="2" t="s">
        <v>120</v>
      </c>
      <c r="CF1182" s="3">
        <v>43081</v>
      </c>
      <c r="CI1182" s="2">
        <v>1</v>
      </c>
      <c r="CJ1182" s="2">
        <v>1</v>
      </c>
      <c r="CK1182" s="2">
        <v>24</v>
      </c>
      <c r="CL1182" s="2" t="s">
        <v>89</v>
      </c>
    </row>
    <row r="1183" spans="1:90">
      <c r="A1183" s="2" t="s">
        <v>71</v>
      </c>
      <c r="B1183" s="2" t="s">
        <v>72</v>
      </c>
      <c r="C1183" s="2" t="s">
        <v>73</v>
      </c>
      <c r="E1183" s="2" t="str">
        <f>"FES1162594574"</f>
        <v>FES1162594574</v>
      </c>
      <c r="F1183" s="3">
        <v>43076</v>
      </c>
      <c r="G1183" s="2">
        <v>201806</v>
      </c>
      <c r="H1183" s="2" t="s">
        <v>74</v>
      </c>
      <c r="I1183" s="2" t="s">
        <v>75</v>
      </c>
      <c r="J1183" s="2" t="s">
        <v>97</v>
      </c>
      <c r="K1183" s="2" t="s">
        <v>77</v>
      </c>
      <c r="L1183" s="2" t="s">
        <v>598</v>
      </c>
      <c r="M1183" s="2" t="s">
        <v>599</v>
      </c>
      <c r="N1183" s="2" t="s">
        <v>600</v>
      </c>
      <c r="O1183" s="2" t="s">
        <v>101</v>
      </c>
      <c r="P1183" s="2" t="str">
        <f>"2170606448                    "</f>
        <v xml:space="preserve">2170606448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49.06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6</v>
      </c>
      <c r="BJ1183" s="2">
        <v>8.5</v>
      </c>
      <c r="BK1183" s="2">
        <v>8.5</v>
      </c>
      <c r="BL1183" s="2">
        <v>350.23</v>
      </c>
      <c r="BM1183" s="2">
        <v>49.03</v>
      </c>
      <c r="BN1183" s="2">
        <v>399.26</v>
      </c>
      <c r="BO1183" s="2">
        <v>399.26</v>
      </c>
      <c r="BQ1183" s="2" t="s">
        <v>102</v>
      </c>
      <c r="BR1183" s="2" t="s">
        <v>103</v>
      </c>
      <c r="BS1183" s="3">
        <v>43077</v>
      </c>
      <c r="BT1183" s="4">
        <v>0.39583333333333331</v>
      </c>
      <c r="BU1183" s="2" t="s">
        <v>586</v>
      </c>
      <c r="BV1183" s="2" t="s">
        <v>85</v>
      </c>
      <c r="BY1183" s="2">
        <v>42405.760000000002</v>
      </c>
      <c r="CA1183" s="2" t="s">
        <v>602</v>
      </c>
      <c r="CC1183" s="2" t="s">
        <v>599</v>
      </c>
      <c r="CD1183" s="2">
        <v>9700</v>
      </c>
      <c r="CE1183" s="2" t="s">
        <v>95</v>
      </c>
      <c r="CF1183" s="3">
        <v>43082</v>
      </c>
      <c r="CI1183" s="2">
        <v>1</v>
      </c>
      <c r="CJ1183" s="2">
        <v>1</v>
      </c>
      <c r="CK1183" s="2">
        <v>23</v>
      </c>
      <c r="CL1183" s="2" t="s">
        <v>89</v>
      </c>
    </row>
    <row r="1184" spans="1:90">
      <c r="A1184" s="2" t="s">
        <v>71</v>
      </c>
      <c r="B1184" s="2" t="s">
        <v>72</v>
      </c>
      <c r="C1184" s="2" t="s">
        <v>73</v>
      </c>
      <c r="E1184" s="2" t="str">
        <f>"FES1162594626"</f>
        <v>FES1162594626</v>
      </c>
      <c r="F1184" s="3">
        <v>43076</v>
      </c>
      <c r="G1184" s="2">
        <v>201806</v>
      </c>
      <c r="H1184" s="2" t="s">
        <v>74</v>
      </c>
      <c r="I1184" s="2" t="s">
        <v>75</v>
      </c>
      <c r="J1184" s="2" t="s">
        <v>97</v>
      </c>
      <c r="K1184" s="2" t="s">
        <v>77</v>
      </c>
      <c r="L1184" s="2" t="s">
        <v>173</v>
      </c>
      <c r="M1184" s="2" t="s">
        <v>174</v>
      </c>
      <c r="N1184" s="2" t="s">
        <v>381</v>
      </c>
      <c r="O1184" s="2" t="s">
        <v>101</v>
      </c>
      <c r="P1184" s="2" t="str">
        <f>"LUCIAN                        "</f>
        <v xml:space="preserve">LUCIAN    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62.71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19.399999999999999</v>
      </c>
      <c r="BJ1184" s="2">
        <v>10.7</v>
      </c>
      <c r="BK1184" s="2">
        <v>19.5</v>
      </c>
      <c r="BL1184" s="2">
        <v>447.66</v>
      </c>
      <c r="BM1184" s="2">
        <v>62.67</v>
      </c>
      <c r="BN1184" s="2">
        <v>510.33</v>
      </c>
      <c r="BO1184" s="2">
        <v>510.33</v>
      </c>
      <c r="BP1184" s="2" t="s">
        <v>1689</v>
      </c>
      <c r="BQ1184" s="2" t="s">
        <v>102</v>
      </c>
      <c r="BR1184" s="2" t="s">
        <v>103</v>
      </c>
      <c r="BS1184" s="3">
        <v>43077</v>
      </c>
      <c r="BT1184" s="4">
        <v>0.4152777777777778</v>
      </c>
      <c r="BU1184" s="2" t="s">
        <v>681</v>
      </c>
      <c r="BV1184" s="2" t="s">
        <v>85</v>
      </c>
      <c r="BY1184" s="2">
        <v>53333.01</v>
      </c>
      <c r="CA1184" s="2" t="s">
        <v>177</v>
      </c>
      <c r="CC1184" s="2" t="s">
        <v>174</v>
      </c>
      <c r="CD1184" s="2">
        <v>7405</v>
      </c>
      <c r="CE1184" s="2" t="s">
        <v>95</v>
      </c>
      <c r="CF1184" s="3">
        <v>43080</v>
      </c>
      <c r="CI1184" s="2">
        <v>1</v>
      </c>
      <c r="CJ1184" s="2">
        <v>1</v>
      </c>
      <c r="CK1184" s="2">
        <v>21</v>
      </c>
      <c r="CL1184" s="2" t="s">
        <v>89</v>
      </c>
    </row>
    <row r="1185" spans="1:90">
      <c r="A1185" s="2" t="s">
        <v>71</v>
      </c>
      <c r="B1185" s="2" t="s">
        <v>72</v>
      </c>
      <c r="C1185" s="2" t="s">
        <v>73</v>
      </c>
      <c r="E1185" s="2" t="str">
        <f>"FES1162594561"</f>
        <v>FES1162594561</v>
      </c>
      <c r="F1185" s="3">
        <v>43076</v>
      </c>
      <c r="G1185" s="2">
        <v>201806</v>
      </c>
      <c r="H1185" s="2" t="s">
        <v>74</v>
      </c>
      <c r="I1185" s="2" t="s">
        <v>75</v>
      </c>
      <c r="J1185" s="2" t="s">
        <v>97</v>
      </c>
      <c r="K1185" s="2" t="s">
        <v>77</v>
      </c>
      <c r="L1185" s="2" t="s">
        <v>158</v>
      </c>
      <c r="M1185" s="2" t="s">
        <v>159</v>
      </c>
      <c r="N1185" s="2" t="s">
        <v>786</v>
      </c>
      <c r="O1185" s="2" t="s">
        <v>101</v>
      </c>
      <c r="P1185" s="2" t="str">
        <f>"2170601399                    "</f>
        <v xml:space="preserve">2170601399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6.43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</v>
      </c>
      <c r="BJ1185" s="2">
        <v>0.2</v>
      </c>
      <c r="BK1185" s="2">
        <v>1</v>
      </c>
      <c r="BL1185" s="2">
        <v>45.93</v>
      </c>
      <c r="BM1185" s="2">
        <v>6.43</v>
      </c>
      <c r="BN1185" s="2">
        <v>52.36</v>
      </c>
      <c r="BO1185" s="2">
        <v>52.36</v>
      </c>
      <c r="BQ1185" s="2" t="s">
        <v>102</v>
      </c>
      <c r="BR1185" s="2" t="s">
        <v>103</v>
      </c>
      <c r="BS1185" s="3">
        <v>43077</v>
      </c>
      <c r="BT1185" s="4">
        <v>0.54861111111111105</v>
      </c>
      <c r="BU1185" s="2" t="s">
        <v>1070</v>
      </c>
      <c r="BV1185" s="2" t="s">
        <v>85</v>
      </c>
      <c r="BY1185" s="2">
        <v>1200</v>
      </c>
      <c r="CC1185" s="2" t="s">
        <v>159</v>
      </c>
      <c r="CD1185" s="2">
        <v>82</v>
      </c>
      <c r="CE1185" s="2" t="s">
        <v>120</v>
      </c>
      <c r="CF1185" s="3">
        <v>43080</v>
      </c>
      <c r="CI1185" s="2">
        <v>1</v>
      </c>
      <c r="CJ1185" s="2">
        <v>1</v>
      </c>
      <c r="CK1185" s="2">
        <v>21</v>
      </c>
      <c r="CL1185" s="2" t="s">
        <v>89</v>
      </c>
    </row>
    <row r="1186" spans="1:90">
      <c r="A1186" s="2" t="s">
        <v>71</v>
      </c>
      <c r="B1186" s="2" t="s">
        <v>72</v>
      </c>
      <c r="C1186" s="2" t="s">
        <v>73</v>
      </c>
      <c r="E1186" s="2" t="str">
        <f>"FES1162594380"</f>
        <v>FES1162594380</v>
      </c>
      <c r="F1186" s="3">
        <v>43076</v>
      </c>
      <c r="G1186" s="2">
        <v>201806</v>
      </c>
      <c r="H1186" s="2" t="s">
        <v>74</v>
      </c>
      <c r="I1186" s="2" t="s">
        <v>75</v>
      </c>
      <c r="J1186" s="2" t="s">
        <v>97</v>
      </c>
      <c r="K1186" s="2" t="s">
        <v>77</v>
      </c>
      <c r="L1186" s="2" t="s">
        <v>158</v>
      </c>
      <c r="M1186" s="2" t="s">
        <v>159</v>
      </c>
      <c r="N1186" s="2" t="s">
        <v>543</v>
      </c>
      <c r="O1186" s="2" t="s">
        <v>101</v>
      </c>
      <c r="P1186" s="2" t="str">
        <f>"2170606235                    "</f>
        <v xml:space="preserve">2170606235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6.43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2">
        <v>0.2</v>
      </c>
      <c r="BK1186" s="2">
        <v>1</v>
      </c>
      <c r="BL1186" s="2">
        <v>45.93</v>
      </c>
      <c r="BM1186" s="2">
        <v>6.43</v>
      </c>
      <c r="BN1186" s="2">
        <v>52.36</v>
      </c>
      <c r="BO1186" s="2">
        <v>52.36</v>
      </c>
      <c r="BQ1186" s="2" t="s">
        <v>82</v>
      </c>
      <c r="BR1186" s="2" t="s">
        <v>103</v>
      </c>
      <c r="BS1186" s="3">
        <v>43077</v>
      </c>
      <c r="BT1186" s="4">
        <v>0.38125000000000003</v>
      </c>
      <c r="BU1186" s="2" t="s">
        <v>114</v>
      </c>
      <c r="BV1186" s="2" t="s">
        <v>85</v>
      </c>
      <c r="BY1186" s="2">
        <v>1200</v>
      </c>
      <c r="CC1186" s="2" t="s">
        <v>159</v>
      </c>
      <c r="CD1186" s="2">
        <v>1</v>
      </c>
      <c r="CE1186" s="2" t="s">
        <v>120</v>
      </c>
      <c r="CF1186" s="3">
        <v>43080</v>
      </c>
      <c r="CI1186" s="2">
        <v>1</v>
      </c>
      <c r="CJ1186" s="2">
        <v>1</v>
      </c>
      <c r="CK1186" s="2">
        <v>21</v>
      </c>
      <c r="CL1186" s="2" t="s">
        <v>89</v>
      </c>
    </row>
    <row r="1187" spans="1:90">
      <c r="A1187" s="2" t="s">
        <v>71</v>
      </c>
      <c r="B1187" s="2" t="s">
        <v>72</v>
      </c>
      <c r="C1187" s="2" t="s">
        <v>73</v>
      </c>
      <c r="E1187" s="2" t="str">
        <f>"FES1162594530"</f>
        <v>FES1162594530</v>
      </c>
      <c r="F1187" s="3">
        <v>43076</v>
      </c>
      <c r="G1187" s="2">
        <v>201806</v>
      </c>
      <c r="H1187" s="2" t="s">
        <v>74</v>
      </c>
      <c r="I1187" s="2" t="s">
        <v>75</v>
      </c>
      <c r="J1187" s="2" t="s">
        <v>97</v>
      </c>
      <c r="K1187" s="2" t="s">
        <v>77</v>
      </c>
      <c r="L1187" s="2" t="s">
        <v>189</v>
      </c>
      <c r="M1187" s="2" t="s">
        <v>190</v>
      </c>
      <c r="N1187" s="2" t="s">
        <v>1173</v>
      </c>
      <c r="O1187" s="2" t="s">
        <v>101</v>
      </c>
      <c r="P1187" s="2" t="str">
        <f>"2170606071                    "</f>
        <v xml:space="preserve">2170606071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6.43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1</v>
      </c>
      <c r="BJ1187" s="2">
        <v>0.2</v>
      </c>
      <c r="BK1187" s="2">
        <v>1</v>
      </c>
      <c r="BL1187" s="2">
        <v>45.93</v>
      </c>
      <c r="BM1187" s="2">
        <v>6.43</v>
      </c>
      <c r="BN1187" s="2">
        <v>52.36</v>
      </c>
      <c r="BO1187" s="2">
        <v>52.36</v>
      </c>
      <c r="BQ1187" s="2" t="s">
        <v>229</v>
      </c>
      <c r="BR1187" s="2" t="s">
        <v>103</v>
      </c>
      <c r="BS1187" s="3">
        <v>43077</v>
      </c>
      <c r="BT1187" s="4">
        <v>0.41041666666666665</v>
      </c>
      <c r="BU1187" s="2" t="s">
        <v>1174</v>
      </c>
      <c r="BV1187" s="2" t="s">
        <v>85</v>
      </c>
      <c r="BY1187" s="2">
        <v>1200</v>
      </c>
      <c r="CC1187" s="2" t="s">
        <v>190</v>
      </c>
      <c r="CD1187" s="2">
        <v>157</v>
      </c>
      <c r="CE1187" s="2" t="s">
        <v>120</v>
      </c>
      <c r="CF1187" s="3">
        <v>43081</v>
      </c>
      <c r="CI1187" s="2">
        <v>1</v>
      </c>
      <c r="CJ1187" s="2">
        <v>1</v>
      </c>
      <c r="CK1187" s="2">
        <v>21</v>
      </c>
      <c r="CL1187" s="2" t="s">
        <v>89</v>
      </c>
    </row>
    <row r="1188" spans="1:90">
      <c r="A1188" s="2" t="s">
        <v>71</v>
      </c>
      <c r="B1188" s="2" t="s">
        <v>72</v>
      </c>
      <c r="C1188" s="2" t="s">
        <v>73</v>
      </c>
      <c r="E1188" s="2" t="str">
        <f>"FES1162594533"</f>
        <v>FES1162594533</v>
      </c>
      <c r="F1188" s="3">
        <v>43076</v>
      </c>
      <c r="G1188" s="2">
        <v>201806</v>
      </c>
      <c r="H1188" s="2" t="s">
        <v>74</v>
      </c>
      <c r="I1188" s="2" t="s">
        <v>75</v>
      </c>
      <c r="J1188" s="2" t="s">
        <v>97</v>
      </c>
      <c r="K1188" s="2" t="s">
        <v>77</v>
      </c>
      <c r="L1188" s="2" t="s">
        <v>295</v>
      </c>
      <c r="M1188" s="2" t="s">
        <v>296</v>
      </c>
      <c r="N1188" s="2" t="s">
        <v>733</v>
      </c>
      <c r="O1188" s="2" t="s">
        <v>101</v>
      </c>
      <c r="P1188" s="2" t="str">
        <f>"2170606398                    "</f>
        <v xml:space="preserve">2170606398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9.0500000000000007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</v>
      </c>
      <c r="BJ1188" s="2">
        <v>0.2</v>
      </c>
      <c r="BK1188" s="2">
        <v>1</v>
      </c>
      <c r="BL1188" s="2">
        <v>64.599999999999994</v>
      </c>
      <c r="BM1188" s="2">
        <v>9.0399999999999991</v>
      </c>
      <c r="BN1188" s="2">
        <v>73.64</v>
      </c>
      <c r="BO1188" s="2">
        <v>73.64</v>
      </c>
      <c r="BQ1188" s="2" t="s">
        <v>102</v>
      </c>
      <c r="BR1188" s="2" t="s">
        <v>103</v>
      </c>
      <c r="BS1188" s="3">
        <v>43077</v>
      </c>
      <c r="BT1188" s="4">
        <v>0.39583333333333331</v>
      </c>
      <c r="BU1188" s="2" t="s">
        <v>1690</v>
      </c>
      <c r="BV1188" s="2" t="s">
        <v>85</v>
      </c>
      <c r="BY1188" s="2">
        <v>1200</v>
      </c>
      <c r="CC1188" s="2" t="s">
        <v>296</v>
      </c>
      <c r="CD1188" s="2">
        <v>407</v>
      </c>
      <c r="CE1188" s="2" t="s">
        <v>120</v>
      </c>
      <c r="CF1188" s="3">
        <v>43081</v>
      </c>
      <c r="CI1188" s="2">
        <v>1</v>
      </c>
      <c r="CJ1188" s="2">
        <v>1</v>
      </c>
      <c r="CK1188" s="2">
        <v>24</v>
      </c>
      <c r="CL1188" s="2" t="s">
        <v>89</v>
      </c>
    </row>
    <row r="1189" spans="1:90">
      <c r="A1189" s="2" t="s">
        <v>71</v>
      </c>
      <c r="B1189" s="2" t="s">
        <v>72</v>
      </c>
      <c r="C1189" s="2" t="s">
        <v>73</v>
      </c>
      <c r="E1189" s="2" t="str">
        <f>"FES1162594417"</f>
        <v>FES1162594417</v>
      </c>
      <c r="F1189" s="3">
        <v>43076</v>
      </c>
      <c r="G1189" s="2">
        <v>201806</v>
      </c>
      <c r="H1189" s="2" t="s">
        <v>74</v>
      </c>
      <c r="I1189" s="2" t="s">
        <v>75</v>
      </c>
      <c r="J1189" s="2" t="s">
        <v>97</v>
      </c>
      <c r="K1189" s="2" t="s">
        <v>77</v>
      </c>
      <c r="L1189" s="2" t="s">
        <v>651</v>
      </c>
      <c r="M1189" s="2" t="s">
        <v>652</v>
      </c>
      <c r="N1189" s="2" t="s">
        <v>949</v>
      </c>
      <c r="O1189" s="2" t="s">
        <v>101</v>
      </c>
      <c r="P1189" s="2" t="str">
        <f>"2170606272                    "</f>
        <v xml:space="preserve">2170606272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9.0500000000000007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1</v>
      </c>
      <c r="BJ1189" s="2">
        <v>0.2</v>
      </c>
      <c r="BK1189" s="2">
        <v>1</v>
      </c>
      <c r="BL1189" s="2">
        <v>64.599999999999994</v>
      </c>
      <c r="BM1189" s="2">
        <v>9.0399999999999991</v>
      </c>
      <c r="BN1189" s="2">
        <v>73.64</v>
      </c>
      <c r="BO1189" s="2">
        <v>73.64</v>
      </c>
      <c r="BQ1189" s="2" t="s">
        <v>82</v>
      </c>
      <c r="BR1189" s="2" t="s">
        <v>103</v>
      </c>
      <c r="BS1189" s="3">
        <v>43077</v>
      </c>
      <c r="BT1189" s="4">
        <v>0.44791666666666669</v>
      </c>
      <c r="BU1189" s="2" t="s">
        <v>1691</v>
      </c>
      <c r="BV1189" s="2" t="s">
        <v>85</v>
      </c>
      <c r="BY1189" s="2">
        <v>1200</v>
      </c>
      <c r="CA1189" s="2" t="s">
        <v>656</v>
      </c>
      <c r="CC1189" s="2" t="s">
        <v>652</v>
      </c>
      <c r="CD1189" s="2">
        <v>250</v>
      </c>
      <c r="CE1189" s="2" t="s">
        <v>120</v>
      </c>
      <c r="CF1189" s="3">
        <v>43081</v>
      </c>
      <c r="CI1189" s="2">
        <v>1</v>
      </c>
      <c r="CJ1189" s="2">
        <v>1</v>
      </c>
      <c r="CK1189" s="2">
        <v>24</v>
      </c>
      <c r="CL1189" s="2" t="s">
        <v>89</v>
      </c>
    </row>
    <row r="1190" spans="1:90">
      <c r="A1190" s="2" t="s">
        <v>71</v>
      </c>
      <c r="B1190" s="2" t="s">
        <v>72</v>
      </c>
      <c r="C1190" s="2" t="s">
        <v>73</v>
      </c>
      <c r="E1190" s="2" t="str">
        <f>"FES1162594404"</f>
        <v>FES1162594404</v>
      </c>
      <c r="F1190" s="3">
        <v>43076</v>
      </c>
      <c r="G1190" s="2">
        <v>201806</v>
      </c>
      <c r="H1190" s="2" t="s">
        <v>74</v>
      </c>
      <c r="I1190" s="2" t="s">
        <v>75</v>
      </c>
      <c r="J1190" s="2" t="s">
        <v>97</v>
      </c>
      <c r="K1190" s="2" t="s">
        <v>77</v>
      </c>
      <c r="L1190" s="2" t="s">
        <v>158</v>
      </c>
      <c r="M1190" s="2" t="s">
        <v>159</v>
      </c>
      <c r="N1190" s="2" t="s">
        <v>1320</v>
      </c>
      <c r="O1190" s="2" t="s">
        <v>101</v>
      </c>
      <c r="P1190" s="2" t="str">
        <f>"2170606256                    "</f>
        <v xml:space="preserve">2170606256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6.43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</v>
      </c>
      <c r="BJ1190" s="2">
        <v>0.2</v>
      </c>
      <c r="BK1190" s="2">
        <v>1</v>
      </c>
      <c r="BL1190" s="2">
        <v>45.93</v>
      </c>
      <c r="BM1190" s="2">
        <v>6.43</v>
      </c>
      <c r="BN1190" s="2">
        <v>52.36</v>
      </c>
      <c r="BO1190" s="2">
        <v>52.36</v>
      </c>
      <c r="BQ1190" s="2" t="s">
        <v>102</v>
      </c>
      <c r="BR1190" s="2" t="s">
        <v>103</v>
      </c>
      <c r="BS1190" s="3">
        <v>43077</v>
      </c>
      <c r="BT1190" s="4">
        <v>0.37847222222222227</v>
      </c>
      <c r="BU1190" s="2" t="s">
        <v>601</v>
      </c>
      <c r="BV1190" s="2" t="s">
        <v>85</v>
      </c>
      <c r="BY1190" s="2">
        <v>1200</v>
      </c>
      <c r="CC1190" s="2" t="s">
        <v>159</v>
      </c>
      <c r="CD1190" s="2">
        <v>117</v>
      </c>
      <c r="CE1190" s="2" t="s">
        <v>120</v>
      </c>
      <c r="CF1190" s="3">
        <v>43080</v>
      </c>
      <c r="CI1190" s="2">
        <v>1</v>
      </c>
      <c r="CJ1190" s="2">
        <v>1</v>
      </c>
      <c r="CK1190" s="2">
        <v>21</v>
      </c>
      <c r="CL1190" s="2" t="s">
        <v>89</v>
      </c>
    </row>
    <row r="1191" spans="1:90">
      <c r="A1191" s="2" t="s">
        <v>71</v>
      </c>
      <c r="B1191" s="2" t="s">
        <v>72</v>
      </c>
      <c r="C1191" s="2" t="s">
        <v>73</v>
      </c>
      <c r="E1191" s="2" t="str">
        <f>"FES1162594401"</f>
        <v>FES1162594401</v>
      </c>
      <c r="F1191" s="3">
        <v>43076</v>
      </c>
      <c r="G1191" s="2">
        <v>201806</v>
      </c>
      <c r="H1191" s="2" t="s">
        <v>74</v>
      </c>
      <c r="I1191" s="2" t="s">
        <v>75</v>
      </c>
      <c r="J1191" s="2" t="s">
        <v>97</v>
      </c>
      <c r="K1191" s="2" t="s">
        <v>77</v>
      </c>
      <c r="L1191" s="2" t="s">
        <v>158</v>
      </c>
      <c r="M1191" s="2" t="s">
        <v>159</v>
      </c>
      <c r="N1191" s="2" t="s">
        <v>160</v>
      </c>
      <c r="O1191" s="2" t="s">
        <v>101</v>
      </c>
      <c r="P1191" s="2" t="str">
        <f>"2170606247                    "</f>
        <v xml:space="preserve">2170606247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6.43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</v>
      </c>
      <c r="BJ1191" s="2">
        <v>0.2</v>
      </c>
      <c r="BK1191" s="2">
        <v>1</v>
      </c>
      <c r="BL1191" s="2">
        <v>45.93</v>
      </c>
      <c r="BM1191" s="2">
        <v>6.43</v>
      </c>
      <c r="BN1191" s="2">
        <v>52.36</v>
      </c>
      <c r="BO1191" s="2">
        <v>52.36</v>
      </c>
      <c r="BQ1191" s="2" t="s">
        <v>102</v>
      </c>
      <c r="BR1191" s="2" t="s">
        <v>103</v>
      </c>
      <c r="BS1191" s="3">
        <v>43080</v>
      </c>
      <c r="BT1191" s="4">
        <v>0.45624999999999999</v>
      </c>
      <c r="BU1191" s="2" t="s">
        <v>554</v>
      </c>
      <c r="BV1191" s="2" t="s">
        <v>89</v>
      </c>
      <c r="BY1191" s="2">
        <v>1200</v>
      </c>
      <c r="CA1191" s="2" t="s">
        <v>1692</v>
      </c>
      <c r="CC1191" s="2" t="s">
        <v>159</v>
      </c>
      <c r="CD1191" s="2">
        <v>183</v>
      </c>
      <c r="CE1191" s="2" t="s">
        <v>120</v>
      </c>
      <c r="CF1191" s="3">
        <v>43082</v>
      </c>
      <c r="CI1191" s="2">
        <v>1</v>
      </c>
      <c r="CJ1191" s="2">
        <v>2</v>
      </c>
      <c r="CK1191" s="2">
        <v>21</v>
      </c>
      <c r="CL1191" s="2" t="s">
        <v>89</v>
      </c>
    </row>
    <row r="1192" spans="1:90">
      <c r="A1192" s="2" t="s">
        <v>71</v>
      </c>
      <c r="B1192" s="2" t="s">
        <v>72</v>
      </c>
      <c r="C1192" s="2" t="s">
        <v>73</v>
      </c>
      <c r="E1192" s="2" t="str">
        <f>"FES1162594397"</f>
        <v>FES1162594397</v>
      </c>
      <c r="F1192" s="3">
        <v>43076</v>
      </c>
      <c r="G1192" s="2">
        <v>201806</v>
      </c>
      <c r="H1192" s="2" t="s">
        <v>74</v>
      </c>
      <c r="I1192" s="2" t="s">
        <v>75</v>
      </c>
      <c r="J1192" s="2" t="s">
        <v>97</v>
      </c>
      <c r="K1192" s="2" t="s">
        <v>77</v>
      </c>
      <c r="L1192" s="2" t="s">
        <v>158</v>
      </c>
      <c r="M1192" s="2" t="s">
        <v>159</v>
      </c>
      <c r="N1192" s="2" t="s">
        <v>1241</v>
      </c>
      <c r="O1192" s="2" t="s">
        <v>101</v>
      </c>
      <c r="P1192" s="2" t="str">
        <f>"2170605817                    "</f>
        <v xml:space="preserve">2170605817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6.43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</v>
      </c>
      <c r="BJ1192" s="2">
        <v>0.2</v>
      </c>
      <c r="BK1192" s="2">
        <v>1</v>
      </c>
      <c r="BL1192" s="2">
        <v>45.93</v>
      </c>
      <c r="BM1192" s="2">
        <v>6.43</v>
      </c>
      <c r="BN1192" s="2">
        <v>52.36</v>
      </c>
      <c r="BO1192" s="2">
        <v>52.36</v>
      </c>
      <c r="BQ1192" s="2" t="s">
        <v>229</v>
      </c>
      <c r="BR1192" s="2" t="s">
        <v>103</v>
      </c>
      <c r="BS1192" s="3">
        <v>43077</v>
      </c>
      <c r="BT1192" s="4">
        <v>0.40902777777777777</v>
      </c>
      <c r="BU1192" s="2" t="s">
        <v>1693</v>
      </c>
      <c r="BV1192" s="2" t="s">
        <v>85</v>
      </c>
      <c r="BY1192" s="2">
        <v>1200</v>
      </c>
      <c r="CC1192" s="2" t="s">
        <v>159</v>
      </c>
      <c r="CD1192" s="2">
        <v>200</v>
      </c>
      <c r="CE1192" s="2" t="s">
        <v>120</v>
      </c>
      <c r="CF1192" s="3">
        <v>43081</v>
      </c>
      <c r="CI1192" s="2">
        <v>1</v>
      </c>
      <c r="CJ1192" s="2">
        <v>1</v>
      </c>
      <c r="CK1192" s="2">
        <v>21</v>
      </c>
      <c r="CL1192" s="2" t="s">
        <v>89</v>
      </c>
    </row>
    <row r="1193" spans="1:90">
      <c r="A1193" s="2" t="s">
        <v>71</v>
      </c>
      <c r="B1193" s="2" t="s">
        <v>72</v>
      </c>
      <c r="C1193" s="2" t="s">
        <v>73</v>
      </c>
      <c r="E1193" s="2" t="str">
        <f>"FES1162594552"</f>
        <v>FES1162594552</v>
      </c>
      <c r="F1193" s="3">
        <v>43076</v>
      </c>
      <c r="G1193" s="2">
        <v>201806</v>
      </c>
      <c r="H1193" s="2" t="s">
        <v>74</v>
      </c>
      <c r="I1193" s="2" t="s">
        <v>75</v>
      </c>
      <c r="J1193" s="2" t="s">
        <v>97</v>
      </c>
      <c r="K1193" s="2" t="s">
        <v>77</v>
      </c>
      <c r="L1193" s="2" t="s">
        <v>189</v>
      </c>
      <c r="M1193" s="2" t="s">
        <v>190</v>
      </c>
      <c r="N1193" s="2" t="s">
        <v>1173</v>
      </c>
      <c r="O1193" s="2" t="s">
        <v>101</v>
      </c>
      <c r="P1193" s="2" t="str">
        <f>"2170604585                    "</f>
        <v xml:space="preserve">2170604585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6.43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45.93</v>
      </c>
      <c r="BM1193" s="2">
        <v>6.43</v>
      </c>
      <c r="BN1193" s="2">
        <v>52.36</v>
      </c>
      <c r="BO1193" s="2">
        <v>52.36</v>
      </c>
      <c r="BQ1193" s="2" t="s">
        <v>229</v>
      </c>
      <c r="BR1193" s="2" t="s">
        <v>103</v>
      </c>
      <c r="BS1193" s="3">
        <v>43077</v>
      </c>
      <c r="BT1193" s="4">
        <v>0.41041666666666665</v>
      </c>
      <c r="BU1193" s="2" t="s">
        <v>1174</v>
      </c>
      <c r="BV1193" s="2" t="s">
        <v>85</v>
      </c>
      <c r="BY1193" s="2">
        <v>1200</v>
      </c>
      <c r="CC1193" s="2" t="s">
        <v>190</v>
      </c>
      <c r="CD1193" s="2">
        <v>157</v>
      </c>
      <c r="CE1193" s="2" t="s">
        <v>120</v>
      </c>
      <c r="CF1193" s="3">
        <v>43081</v>
      </c>
      <c r="CI1193" s="2">
        <v>1</v>
      </c>
      <c r="CJ1193" s="2">
        <v>1</v>
      </c>
      <c r="CK1193" s="2">
        <v>21</v>
      </c>
      <c r="CL1193" s="2" t="s">
        <v>89</v>
      </c>
    </row>
    <row r="1194" spans="1:90">
      <c r="A1194" s="2" t="s">
        <v>71</v>
      </c>
      <c r="B1194" s="2" t="s">
        <v>72</v>
      </c>
      <c r="C1194" s="2" t="s">
        <v>73</v>
      </c>
      <c r="E1194" s="2" t="str">
        <f>"FES1162594562"</f>
        <v>FES1162594562</v>
      </c>
      <c r="F1194" s="3">
        <v>43076</v>
      </c>
      <c r="G1194" s="2">
        <v>201806</v>
      </c>
      <c r="H1194" s="2" t="s">
        <v>74</v>
      </c>
      <c r="I1194" s="2" t="s">
        <v>75</v>
      </c>
      <c r="J1194" s="2" t="s">
        <v>97</v>
      </c>
      <c r="K1194" s="2" t="s">
        <v>77</v>
      </c>
      <c r="L1194" s="2" t="s">
        <v>221</v>
      </c>
      <c r="M1194" s="2" t="s">
        <v>222</v>
      </c>
      <c r="N1194" s="2" t="s">
        <v>164</v>
      </c>
      <c r="O1194" s="2" t="s">
        <v>101</v>
      </c>
      <c r="P1194" s="2" t="str">
        <f>"2170606428                    "</f>
        <v xml:space="preserve">2170606428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6.43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45.93</v>
      </c>
      <c r="BM1194" s="2">
        <v>6.43</v>
      </c>
      <c r="BN1194" s="2">
        <v>52.36</v>
      </c>
      <c r="BO1194" s="2">
        <v>52.36</v>
      </c>
      <c r="BQ1194" s="2" t="s">
        <v>102</v>
      </c>
      <c r="BR1194" s="2" t="s">
        <v>103</v>
      </c>
      <c r="BS1194" s="3">
        <v>43077</v>
      </c>
      <c r="BT1194" s="4">
        <v>0.33333333333333331</v>
      </c>
      <c r="BU1194" s="2" t="s">
        <v>1694</v>
      </c>
      <c r="BV1194" s="2" t="s">
        <v>85</v>
      </c>
      <c r="BY1194" s="2">
        <v>1200</v>
      </c>
      <c r="CA1194" s="2" t="s">
        <v>293</v>
      </c>
      <c r="CC1194" s="2" t="s">
        <v>222</v>
      </c>
      <c r="CD1194" s="2">
        <v>4133</v>
      </c>
      <c r="CE1194" s="2" t="s">
        <v>120</v>
      </c>
      <c r="CF1194" s="3">
        <v>43080</v>
      </c>
      <c r="CI1194" s="2">
        <v>1</v>
      </c>
      <c r="CJ1194" s="2">
        <v>1</v>
      </c>
      <c r="CK1194" s="2">
        <v>21</v>
      </c>
      <c r="CL1194" s="2" t="s">
        <v>89</v>
      </c>
    </row>
    <row r="1195" spans="1:90">
      <c r="A1195" s="2" t="s">
        <v>71</v>
      </c>
      <c r="B1195" s="2" t="s">
        <v>72</v>
      </c>
      <c r="C1195" s="2" t="s">
        <v>73</v>
      </c>
      <c r="E1195" s="2" t="str">
        <f>"FES1162594559"</f>
        <v>FES1162594559</v>
      </c>
      <c r="F1195" s="3">
        <v>43076</v>
      </c>
      <c r="G1195" s="2">
        <v>201806</v>
      </c>
      <c r="H1195" s="2" t="s">
        <v>74</v>
      </c>
      <c r="I1195" s="2" t="s">
        <v>75</v>
      </c>
      <c r="J1195" s="2" t="s">
        <v>97</v>
      </c>
      <c r="K1195" s="2" t="s">
        <v>77</v>
      </c>
      <c r="L1195" s="2" t="s">
        <v>547</v>
      </c>
      <c r="M1195" s="2" t="s">
        <v>548</v>
      </c>
      <c r="N1195" s="2" t="s">
        <v>573</v>
      </c>
      <c r="O1195" s="2" t="s">
        <v>101</v>
      </c>
      <c r="P1195" s="2" t="str">
        <f>"2170606150                    "</f>
        <v xml:space="preserve">2170606150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5.03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35.89</v>
      </c>
      <c r="BM1195" s="2">
        <v>5.0199999999999996</v>
      </c>
      <c r="BN1195" s="2">
        <v>40.909999999999997</v>
      </c>
      <c r="BO1195" s="2">
        <v>40.909999999999997</v>
      </c>
      <c r="BQ1195" s="2" t="s">
        <v>102</v>
      </c>
      <c r="BR1195" s="2" t="s">
        <v>103</v>
      </c>
      <c r="BS1195" s="3">
        <v>43077</v>
      </c>
      <c r="BT1195" s="4">
        <v>0.41666666666666669</v>
      </c>
      <c r="BU1195" s="2" t="s">
        <v>1695</v>
      </c>
      <c r="BV1195" s="2" t="s">
        <v>85</v>
      </c>
      <c r="BY1195" s="2">
        <v>1200</v>
      </c>
      <c r="CA1195" s="2" t="s">
        <v>293</v>
      </c>
      <c r="CC1195" s="2" t="s">
        <v>548</v>
      </c>
      <c r="CD1195" s="2">
        <v>1501</v>
      </c>
      <c r="CE1195" s="2" t="s">
        <v>120</v>
      </c>
      <c r="CF1195" s="3">
        <v>43081</v>
      </c>
      <c r="CI1195" s="2">
        <v>1</v>
      </c>
      <c r="CJ1195" s="2">
        <v>1</v>
      </c>
      <c r="CK1195" s="2">
        <v>22</v>
      </c>
      <c r="CL1195" s="2" t="s">
        <v>89</v>
      </c>
    </row>
    <row r="1196" spans="1:90">
      <c r="A1196" s="2" t="s">
        <v>71</v>
      </c>
      <c r="B1196" s="2" t="s">
        <v>72</v>
      </c>
      <c r="C1196" s="2" t="s">
        <v>73</v>
      </c>
      <c r="E1196" s="2" t="str">
        <f>"FES1162594343"</f>
        <v>FES1162594343</v>
      </c>
      <c r="F1196" s="3">
        <v>43076</v>
      </c>
      <c r="G1196" s="2">
        <v>201806</v>
      </c>
      <c r="H1196" s="2" t="s">
        <v>74</v>
      </c>
      <c r="I1196" s="2" t="s">
        <v>75</v>
      </c>
      <c r="J1196" s="2" t="s">
        <v>97</v>
      </c>
      <c r="K1196" s="2" t="s">
        <v>77</v>
      </c>
      <c r="L1196" s="2" t="s">
        <v>74</v>
      </c>
      <c r="M1196" s="2" t="s">
        <v>75</v>
      </c>
      <c r="N1196" s="2" t="s">
        <v>1696</v>
      </c>
      <c r="O1196" s="2" t="s">
        <v>101</v>
      </c>
      <c r="P1196" s="2" t="str">
        <f>"2170606175                    "</f>
        <v xml:space="preserve">2170606175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5.03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8</v>
      </c>
      <c r="BJ1196" s="2">
        <v>2.1</v>
      </c>
      <c r="BK1196" s="2">
        <v>8</v>
      </c>
      <c r="BL1196" s="2">
        <v>35.89</v>
      </c>
      <c r="BM1196" s="2">
        <v>5.0199999999999996</v>
      </c>
      <c r="BN1196" s="2">
        <v>40.909999999999997</v>
      </c>
      <c r="BO1196" s="2">
        <v>40.909999999999997</v>
      </c>
      <c r="BQ1196" s="2" t="s">
        <v>102</v>
      </c>
      <c r="BR1196" s="2" t="s">
        <v>103</v>
      </c>
      <c r="BS1196" s="3">
        <v>43077</v>
      </c>
      <c r="BT1196" s="4">
        <v>0.4375</v>
      </c>
      <c r="BU1196" s="2" t="s">
        <v>1697</v>
      </c>
      <c r="BV1196" s="2" t="s">
        <v>85</v>
      </c>
      <c r="BY1196" s="2">
        <v>10374</v>
      </c>
      <c r="CC1196" s="2" t="s">
        <v>75</v>
      </c>
      <c r="CD1196" s="2">
        <v>1666</v>
      </c>
      <c r="CE1196" s="2" t="s">
        <v>95</v>
      </c>
      <c r="CF1196" s="3">
        <v>43080</v>
      </c>
      <c r="CI1196" s="2">
        <v>1</v>
      </c>
      <c r="CJ1196" s="2">
        <v>1</v>
      </c>
      <c r="CK1196" s="2">
        <v>22</v>
      </c>
      <c r="CL1196" s="2" t="s">
        <v>89</v>
      </c>
    </row>
    <row r="1197" spans="1:90">
      <c r="A1197" s="2" t="s">
        <v>71</v>
      </c>
      <c r="B1197" s="2" t="s">
        <v>72</v>
      </c>
      <c r="C1197" s="2" t="s">
        <v>73</v>
      </c>
      <c r="E1197" s="2" t="str">
        <f>"FES1162594368"</f>
        <v>FES1162594368</v>
      </c>
      <c r="F1197" s="3">
        <v>43076</v>
      </c>
      <c r="G1197" s="2">
        <v>201806</v>
      </c>
      <c r="H1197" s="2" t="s">
        <v>74</v>
      </c>
      <c r="I1197" s="2" t="s">
        <v>75</v>
      </c>
      <c r="J1197" s="2" t="s">
        <v>97</v>
      </c>
      <c r="K1197" s="2" t="s">
        <v>77</v>
      </c>
      <c r="L1197" s="2" t="s">
        <v>189</v>
      </c>
      <c r="M1197" s="2" t="s">
        <v>190</v>
      </c>
      <c r="N1197" s="2" t="s">
        <v>1559</v>
      </c>
      <c r="O1197" s="2" t="s">
        <v>101</v>
      </c>
      <c r="P1197" s="2" t="str">
        <f>"2170606216                    "</f>
        <v xml:space="preserve">2170606216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6.43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45.93</v>
      </c>
      <c r="BM1197" s="2">
        <v>6.43</v>
      </c>
      <c r="BN1197" s="2">
        <v>52.36</v>
      </c>
      <c r="BO1197" s="2">
        <v>52.36</v>
      </c>
      <c r="BQ1197" s="2" t="s">
        <v>102</v>
      </c>
      <c r="BR1197" s="2" t="s">
        <v>103</v>
      </c>
      <c r="BS1197" s="3">
        <v>43077</v>
      </c>
      <c r="BT1197" s="4">
        <v>0.41944444444444445</v>
      </c>
      <c r="BU1197" s="2" t="s">
        <v>301</v>
      </c>
      <c r="BV1197" s="2" t="s">
        <v>85</v>
      </c>
      <c r="BY1197" s="2">
        <v>1200</v>
      </c>
      <c r="CC1197" s="2" t="s">
        <v>190</v>
      </c>
      <c r="CD1197" s="2">
        <v>157</v>
      </c>
      <c r="CE1197" s="2" t="s">
        <v>120</v>
      </c>
      <c r="CF1197" s="3">
        <v>43081</v>
      </c>
      <c r="CI1197" s="2">
        <v>1</v>
      </c>
      <c r="CJ1197" s="2">
        <v>1</v>
      </c>
      <c r="CK1197" s="2">
        <v>21</v>
      </c>
      <c r="CL1197" s="2" t="s">
        <v>89</v>
      </c>
    </row>
    <row r="1198" spans="1:90">
      <c r="A1198" s="2" t="s">
        <v>71</v>
      </c>
      <c r="B1198" s="2" t="s">
        <v>72</v>
      </c>
      <c r="C1198" s="2" t="s">
        <v>73</v>
      </c>
      <c r="E1198" s="2" t="str">
        <f>"FES1162594568"</f>
        <v>FES1162594568</v>
      </c>
      <c r="F1198" s="3">
        <v>43076</v>
      </c>
      <c r="G1198" s="2">
        <v>201806</v>
      </c>
      <c r="H1198" s="2" t="s">
        <v>74</v>
      </c>
      <c r="I1198" s="2" t="s">
        <v>75</v>
      </c>
      <c r="J1198" s="2" t="s">
        <v>97</v>
      </c>
      <c r="K1198" s="2" t="s">
        <v>77</v>
      </c>
      <c r="L1198" s="2" t="s">
        <v>115</v>
      </c>
      <c r="M1198" s="2" t="s">
        <v>116</v>
      </c>
      <c r="N1198" s="2" t="s">
        <v>1152</v>
      </c>
      <c r="O1198" s="2" t="s">
        <v>101</v>
      </c>
      <c r="P1198" s="2" t="str">
        <f>"2170606438                    "</f>
        <v xml:space="preserve">2170606438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5.03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35.89</v>
      </c>
      <c r="BM1198" s="2">
        <v>5.0199999999999996</v>
      </c>
      <c r="BN1198" s="2">
        <v>40.909999999999997</v>
      </c>
      <c r="BO1198" s="2">
        <v>40.909999999999997</v>
      </c>
      <c r="BQ1198" s="2" t="s">
        <v>102</v>
      </c>
      <c r="BR1198" s="2" t="s">
        <v>103</v>
      </c>
      <c r="BS1198" s="3">
        <v>43077</v>
      </c>
      <c r="BT1198" s="4">
        <v>0.45277777777777778</v>
      </c>
      <c r="BU1198" s="2" t="s">
        <v>1698</v>
      </c>
      <c r="BV1198" s="2" t="s">
        <v>85</v>
      </c>
      <c r="BY1198" s="2">
        <v>1200</v>
      </c>
      <c r="CC1198" s="2" t="s">
        <v>116</v>
      </c>
      <c r="CD1198" s="2">
        <v>1459</v>
      </c>
      <c r="CE1198" s="2" t="s">
        <v>120</v>
      </c>
      <c r="CF1198" s="3">
        <v>43080</v>
      </c>
      <c r="CI1198" s="2">
        <v>1</v>
      </c>
      <c r="CJ1198" s="2">
        <v>1</v>
      </c>
      <c r="CK1198" s="2">
        <v>22</v>
      </c>
      <c r="CL1198" s="2" t="s">
        <v>89</v>
      </c>
    </row>
    <row r="1199" spans="1:90">
      <c r="A1199" s="2" t="s">
        <v>71</v>
      </c>
      <c r="B1199" s="2" t="s">
        <v>72</v>
      </c>
      <c r="C1199" s="2" t="s">
        <v>73</v>
      </c>
      <c r="E1199" s="2" t="str">
        <f>"FES1162594324"</f>
        <v>FES1162594324</v>
      </c>
      <c r="F1199" s="3">
        <v>43076</v>
      </c>
      <c r="G1199" s="2">
        <v>201806</v>
      </c>
      <c r="H1199" s="2" t="s">
        <v>74</v>
      </c>
      <c r="I1199" s="2" t="s">
        <v>75</v>
      </c>
      <c r="J1199" s="2" t="s">
        <v>97</v>
      </c>
      <c r="K1199" s="2" t="s">
        <v>77</v>
      </c>
      <c r="L1199" s="2" t="s">
        <v>74</v>
      </c>
      <c r="M1199" s="2" t="s">
        <v>75</v>
      </c>
      <c r="N1199" s="2" t="s">
        <v>204</v>
      </c>
      <c r="O1199" s="2" t="s">
        <v>101</v>
      </c>
      <c r="P1199" s="2" t="str">
        <f>"2170603403                    "</f>
        <v xml:space="preserve">2170603403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5.03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35.89</v>
      </c>
      <c r="BM1199" s="2">
        <v>5.0199999999999996</v>
      </c>
      <c r="BN1199" s="2">
        <v>40.909999999999997</v>
      </c>
      <c r="BO1199" s="2">
        <v>40.909999999999997</v>
      </c>
      <c r="BQ1199" s="2" t="s">
        <v>102</v>
      </c>
      <c r="BR1199" s="2" t="s">
        <v>103</v>
      </c>
      <c r="BS1199" s="3">
        <v>43077</v>
      </c>
      <c r="BT1199" s="4">
        <v>0.30208333333333331</v>
      </c>
      <c r="BU1199" s="2" t="s">
        <v>622</v>
      </c>
      <c r="BV1199" s="2" t="s">
        <v>85</v>
      </c>
      <c r="BY1199" s="2">
        <v>1200</v>
      </c>
      <c r="CC1199" s="2" t="s">
        <v>75</v>
      </c>
      <c r="CD1199" s="2">
        <v>1645</v>
      </c>
      <c r="CE1199" s="2" t="s">
        <v>120</v>
      </c>
      <c r="CF1199" s="3">
        <v>43080</v>
      </c>
      <c r="CI1199" s="2">
        <v>1</v>
      </c>
      <c r="CJ1199" s="2">
        <v>1</v>
      </c>
      <c r="CK1199" s="2">
        <v>22</v>
      </c>
      <c r="CL1199" s="2" t="s">
        <v>89</v>
      </c>
    </row>
    <row r="1200" spans="1:90">
      <c r="A1200" s="2" t="s">
        <v>71</v>
      </c>
      <c r="B1200" s="2" t="s">
        <v>72</v>
      </c>
      <c r="C1200" s="2" t="s">
        <v>73</v>
      </c>
      <c r="E1200" s="2" t="str">
        <f>"FES1162594565"</f>
        <v>FES1162594565</v>
      </c>
      <c r="F1200" s="3">
        <v>43076</v>
      </c>
      <c r="G1200" s="2">
        <v>201806</v>
      </c>
      <c r="H1200" s="2" t="s">
        <v>74</v>
      </c>
      <c r="I1200" s="2" t="s">
        <v>75</v>
      </c>
      <c r="J1200" s="2" t="s">
        <v>97</v>
      </c>
      <c r="K1200" s="2" t="s">
        <v>77</v>
      </c>
      <c r="L1200" s="2" t="s">
        <v>221</v>
      </c>
      <c r="M1200" s="2" t="s">
        <v>222</v>
      </c>
      <c r="N1200" s="2" t="s">
        <v>164</v>
      </c>
      <c r="O1200" s="2" t="s">
        <v>101</v>
      </c>
      <c r="P1200" s="2" t="str">
        <f>"2170606434                    "</f>
        <v xml:space="preserve">2170606434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6.43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45.93</v>
      </c>
      <c r="BM1200" s="2">
        <v>6.43</v>
      </c>
      <c r="BN1200" s="2">
        <v>52.36</v>
      </c>
      <c r="BO1200" s="2">
        <v>52.36</v>
      </c>
      <c r="BQ1200" s="2" t="s">
        <v>102</v>
      </c>
      <c r="BR1200" s="2" t="s">
        <v>103</v>
      </c>
      <c r="BS1200" s="3">
        <v>43077</v>
      </c>
      <c r="BT1200" s="4">
        <v>0.4375</v>
      </c>
      <c r="BU1200" s="2" t="s">
        <v>1694</v>
      </c>
      <c r="BV1200" s="2" t="s">
        <v>85</v>
      </c>
      <c r="BY1200" s="2">
        <v>1200</v>
      </c>
      <c r="CA1200" s="2" t="s">
        <v>293</v>
      </c>
      <c r="CC1200" s="2" t="s">
        <v>222</v>
      </c>
      <c r="CD1200" s="2">
        <v>4133</v>
      </c>
      <c r="CE1200" s="2" t="s">
        <v>120</v>
      </c>
      <c r="CF1200" s="3">
        <v>43080</v>
      </c>
      <c r="CI1200" s="2">
        <v>1</v>
      </c>
      <c r="CJ1200" s="2">
        <v>1</v>
      </c>
      <c r="CK1200" s="2">
        <v>21</v>
      </c>
      <c r="CL1200" s="2" t="s">
        <v>89</v>
      </c>
    </row>
    <row r="1201" spans="1:90">
      <c r="A1201" s="2" t="s">
        <v>71</v>
      </c>
      <c r="B1201" s="2" t="s">
        <v>72</v>
      </c>
      <c r="C1201" s="2" t="s">
        <v>73</v>
      </c>
      <c r="E1201" s="2" t="str">
        <f>"FES1162594566"</f>
        <v>FES1162594566</v>
      </c>
      <c r="F1201" s="3">
        <v>43076</v>
      </c>
      <c r="G1201" s="2">
        <v>201806</v>
      </c>
      <c r="H1201" s="2" t="s">
        <v>74</v>
      </c>
      <c r="I1201" s="2" t="s">
        <v>75</v>
      </c>
      <c r="J1201" s="2" t="s">
        <v>97</v>
      </c>
      <c r="K1201" s="2" t="s">
        <v>77</v>
      </c>
      <c r="L1201" s="2" t="s">
        <v>277</v>
      </c>
      <c r="M1201" s="2" t="s">
        <v>278</v>
      </c>
      <c r="N1201" s="2" t="s">
        <v>1699</v>
      </c>
      <c r="O1201" s="2" t="s">
        <v>101</v>
      </c>
      <c r="P1201" s="2" t="str">
        <f>"2170606436                    "</f>
        <v xml:space="preserve">2170606436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5.03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35.89</v>
      </c>
      <c r="BM1201" s="2">
        <v>5.0199999999999996</v>
      </c>
      <c r="BN1201" s="2">
        <v>40.909999999999997</v>
      </c>
      <c r="BO1201" s="2">
        <v>40.909999999999997</v>
      </c>
      <c r="BQ1201" s="2" t="s">
        <v>1700</v>
      </c>
      <c r="BR1201" s="2" t="s">
        <v>103</v>
      </c>
      <c r="BS1201" s="3">
        <v>43080</v>
      </c>
      <c r="BT1201" s="4">
        <v>0.57638888888888895</v>
      </c>
      <c r="BU1201" s="2" t="s">
        <v>1701</v>
      </c>
      <c r="BV1201" s="2" t="s">
        <v>89</v>
      </c>
      <c r="BW1201" s="2" t="s">
        <v>149</v>
      </c>
      <c r="BX1201" s="2" t="s">
        <v>292</v>
      </c>
      <c r="BY1201" s="2">
        <v>1200</v>
      </c>
      <c r="CC1201" s="2" t="s">
        <v>278</v>
      </c>
      <c r="CD1201" s="2">
        <v>2163</v>
      </c>
      <c r="CE1201" s="2" t="s">
        <v>120</v>
      </c>
      <c r="CF1201" s="3">
        <v>43081</v>
      </c>
      <c r="CI1201" s="2">
        <v>1</v>
      </c>
      <c r="CJ1201" s="2">
        <v>2</v>
      </c>
      <c r="CK1201" s="2">
        <v>22</v>
      </c>
      <c r="CL1201" s="2" t="s">
        <v>89</v>
      </c>
    </row>
    <row r="1202" spans="1:90">
      <c r="A1202" s="2" t="s">
        <v>71</v>
      </c>
      <c r="B1202" s="2" t="s">
        <v>72</v>
      </c>
      <c r="C1202" s="2" t="s">
        <v>73</v>
      </c>
      <c r="E1202" s="2" t="str">
        <f>"FES1162594128"</f>
        <v>FES1162594128</v>
      </c>
      <c r="F1202" s="3">
        <v>43075</v>
      </c>
      <c r="G1202" s="2">
        <v>201806</v>
      </c>
      <c r="H1202" s="2" t="s">
        <v>74</v>
      </c>
      <c r="I1202" s="2" t="s">
        <v>75</v>
      </c>
      <c r="J1202" s="2" t="s">
        <v>97</v>
      </c>
      <c r="K1202" s="2" t="s">
        <v>77</v>
      </c>
      <c r="L1202" s="2" t="s">
        <v>285</v>
      </c>
      <c r="M1202" s="2" t="s">
        <v>159</v>
      </c>
      <c r="N1202" s="2" t="s">
        <v>1702</v>
      </c>
      <c r="O1202" s="2" t="s">
        <v>81</v>
      </c>
      <c r="P1202" s="2" t="str">
        <f>"21706021001                   "</f>
        <v xml:space="preserve">21706021001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17.22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2</v>
      </c>
      <c r="BI1202" s="2">
        <v>32.1</v>
      </c>
      <c r="BJ1202" s="2">
        <v>9.8000000000000007</v>
      </c>
      <c r="BK1202" s="2">
        <v>33</v>
      </c>
      <c r="BL1202" s="2">
        <v>127.91</v>
      </c>
      <c r="BM1202" s="2">
        <v>17.91</v>
      </c>
      <c r="BN1202" s="2">
        <v>145.82</v>
      </c>
      <c r="BO1202" s="2">
        <v>145.82</v>
      </c>
      <c r="BQ1202" s="2" t="s">
        <v>102</v>
      </c>
      <c r="BR1202" s="2" t="s">
        <v>103</v>
      </c>
      <c r="BS1202" s="3">
        <v>43077</v>
      </c>
      <c r="BT1202" s="4">
        <v>0.59375</v>
      </c>
      <c r="BU1202" s="2" t="s">
        <v>1703</v>
      </c>
      <c r="BY1202" s="2">
        <v>48785.3</v>
      </c>
      <c r="CC1202" s="2" t="s">
        <v>159</v>
      </c>
      <c r="CD1202" s="2">
        <v>2</v>
      </c>
      <c r="CE1202" s="2" t="s">
        <v>95</v>
      </c>
      <c r="CF1202" s="3">
        <v>43080</v>
      </c>
      <c r="CI1202" s="2">
        <v>0</v>
      </c>
      <c r="CJ1202" s="2">
        <v>0</v>
      </c>
      <c r="CK1202" s="2" t="s">
        <v>289</v>
      </c>
      <c r="CL1202" s="2" t="s">
        <v>89</v>
      </c>
    </row>
    <row r="1203" spans="1:90">
      <c r="A1203" s="2" t="s">
        <v>71</v>
      </c>
      <c r="B1203" s="2" t="s">
        <v>72</v>
      </c>
      <c r="C1203" s="2" t="s">
        <v>73</v>
      </c>
      <c r="E1203" s="2" t="str">
        <f>"FES1162594054"</f>
        <v>FES1162594054</v>
      </c>
      <c r="F1203" s="3">
        <v>43075</v>
      </c>
      <c r="G1203" s="2">
        <v>201806</v>
      </c>
      <c r="H1203" s="2" t="s">
        <v>74</v>
      </c>
      <c r="I1203" s="2" t="s">
        <v>75</v>
      </c>
      <c r="J1203" s="2" t="s">
        <v>97</v>
      </c>
      <c r="K1203" s="2" t="s">
        <v>77</v>
      </c>
      <c r="L1203" s="2" t="s">
        <v>285</v>
      </c>
      <c r="M1203" s="2" t="s">
        <v>159</v>
      </c>
      <c r="N1203" s="2" t="s">
        <v>1241</v>
      </c>
      <c r="O1203" s="2" t="s">
        <v>81</v>
      </c>
      <c r="P1203" s="2" t="str">
        <f>"2170606063                    "</f>
        <v xml:space="preserve">2170606063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37.4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59</v>
      </c>
      <c r="BJ1203" s="2">
        <v>91.4</v>
      </c>
      <c r="BK1203" s="2">
        <v>92</v>
      </c>
      <c r="BL1203" s="2">
        <v>271.99</v>
      </c>
      <c r="BM1203" s="2">
        <v>38.08</v>
      </c>
      <c r="BN1203" s="2">
        <v>310.07</v>
      </c>
      <c r="BO1203" s="2">
        <v>310.07</v>
      </c>
      <c r="BQ1203" s="2" t="s">
        <v>229</v>
      </c>
      <c r="BR1203" s="2" t="s">
        <v>103</v>
      </c>
      <c r="BS1203" s="3">
        <v>43077</v>
      </c>
      <c r="BT1203" s="4">
        <v>0.43402777777777773</v>
      </c>
      <c r="BU1203" s="2" t="s">
        <v>1704</v>
      </c>
      <c r="BW1203" s="2" t="s">
        <v>156</v>
      </c>
      <c r="BX1203" s="2" t="s">
        <v>668</v>
      </c>
      <c r="BY1203" s="2">
        <v>456840</v>
      </c>
      <c r="CA1203" s="2" t="s">
        <v>1705</v>
      </c>
      <c r="CC1203" s="2" t="s">
        <v>159</v>
      </c>
      <c r="CD1203" s="2">
        <v>200</v>
      </c>
      <c r="CE1203" s="2" t="s">
        <v>95</v>
      </c>
      <c r="CF1203" s="3">
        <v>43080</v>
      </c>
      <c r="CI1203" s="2">
        <v>0</v>
      </c>
      <c r="CJ1203" s="2">
        <v>0</v>
      </c>
      <c r="CK1203" s="2" t="s">
        <v>289</v>
      </c>
      <c r="CL1203" s="2" t="s">
        <v>89</v>
      </c>
    </row>
    <row r="1204" spans="1:90">
      <c r="A1204" s="2" t="s">
        <v>71</v>
      </c>
      <c r="B1204" s="2" t="s">
        <v>72</v>
      </c>
      <c r="C1204" s="2" t="s">
        <v>73</v>
      </c>
      <c r="E1204" s="2" t="str">
        <f>"FES1162594214"</f>
        <v>FES1162594214</v>
      </c>
      <c r="F1204" s="3">
        <v>43075</v>
      </c>
      <c r="G1204" s="2">
        <v>201806</v>
      </c>
      <c r="H1204" s="2" t="s">
        <v>74</v>
      </c>
      <c r="I1204" s="2" t="s">
        <v>75</v>
      </c>
      <c r="J1204" s="2" t="s">
        <v>97</v>
      </c>
      <c r="K1204" s="2" t="s">
        <v>77</v>
      </c>
      <c r="L1204" s="2" t="s">
        <v>285</v>
      </c>
      <c r="M1204" s="2" t="s">
        <v>159</v>
      </c>
      <c r="N1204" s="2" t="s">
        <v>588</v>
      </c>
      <c r="O1204" s="2" t="s">
        <v>81</v>
      </c>
      <c r="P1204" s="2" t="str">
        <f>"2170604198                    "</f>
        <v xml:space="preserve">2170604198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22.35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36</v>
      </c>
      <c r="BJ1204" s="2">
        <v>47.2</v>
      </c>
      <c r="BK1204" s="2">
        <v>48</v>
      </c>
      <c r="BL1204" s="2">
        <v>164.54</v>
      </c>
      <c r="BM1204" s="2">
        <v>23.04</v>
      </c>
      <c r="BN1204" s="2">
        <v>187.58</v>
      </c>
      <c r="BO1204" s="2">
        <v>187.58</v>
      </c>
      <c r="BQ1204" s="2" t="s">
        <v>102</v>
      </c>
      <c r="BR1204" s="2" t="s">
        <v>103</v>
      </c>
      <c r="BS1204" s="3">
        <v>43077</v>
      </c>
      <c r="BT1204" s="4">
        <v>0.47013888888888888</v>
      </c>
      <c r="BU1204" s="2" t="s">
        <v>1706</v>
      </c>
      <c r="BY1204" s="2">
        <v>236034</v>
      </c>
      <c r="CC1204" s="2" t="s">
        <v>159</v>
      </c>
      <c r="CD1204" s="2">
        <v>40</v>
      </c>
      <c r="CE1204" s="2" t="s">
        <v>87</v>
      </c>
      <c r="CF1204" s="3">
        <v>43080</v>
      </c>
      <c r="CI1204" s="2">
        <v>0</v>
      </c>
      <c r="CJ1204" s="2">
        <v>0</v>
      </c>
      <c r="CK1204" s="2" t="s">
        <v>289</v>
      </c>
      <c r="CL1204" s="2" t="s">
        <v>89</v>
      </c>
    </row>
    <row r="1205" spans="1:90">
      <c r="A1205" s="2" t="s">
        <v>612</v>
      </c>
      <c r="B1205" s="2" t="s">
        <v>72</v>
      </c>
      <c r="C1205" s="2" t="s">
        <v>73</v>
      </c>
      <c r="E1205" s="2" t="str">
        <f>"009936867806"</f>
        <v>009936867806</v>
      </c>
      <c r="F1205" s="3">
        <v>43076</v>
      </c>
      <c r="G1205" s="2">
        <v>201806</v>
      </c>
      <c r="H1205" s="2" t="s">
        <v>145</v>
      </c>
      <c r="I1205" s="2" t="s">
        <v>146</v>
      </c>
      <c r="J1205" s="2" t="s">
        <v>1707</v>
      </c>
      <c r="K1205" s="2" t="s">
        <v>77</v>
      </c>
      <c r="L1205" s="2" t="s">
        <v>74</v>
      </c>
      <c r="M1205" s="2" t="s">
        <v>75</v>
      </c>
      <c r="N1205" s="2" t="s">
        <v>1708</v>
      </c>
      <c r="O1205" s="2" t="s">
        <v>81</v>
      </c>
      <c r="P1205" s="2" t="str">
        <f>"                              "</f>
        <v xml:space="preserve">          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50.91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103</v>
      </c>
      <c r="BJ1205" s="2">
        <v>9.1</v>
      </c>
      <c r="BK1205" s="2">
        <v>103</v>
      </c>
      <c r="BL1205" s="2">
        <v>368.45</v>
      </c>
      <c r="BM1205" s="2">
        <v>51.58</v>
      </c>
      <c r="BN1205" s="2">
        <v>420.03</v>
      </c>
      <c r="BO1205" s="2">
        <v>420.03</v>
      </c>
      <c r="BR1205" s="2" t="s">
        <v>1709</v>
      </c>
      <c r="BS1205" s="3">
        <v>43081</v>
      </c>
      <c r="BT1205" s="4">
        <v>0.50972222222222219</v>
      </c>
      <c r="BU1205" s="2" t="s">
        <v>774</v>
      </c>
      <c r="BV1205" s="2" t="s">
        <v>89</v>
      </c>
      <c r="BW1205" s="2" t="s">
        <v>437</v>
      </c>
      <c r="BX1205" s="2" t="s">
        <v>1140</v>
      </c>
      <c r="BY1205" s="2">
        <v>45472</v>
      </c>
      <c r="CC1205" s="2" t="s">
        <v>75</v>
      </c>
      <c r="CD1205" s="2">
        <v>1600</v>
      </c>
      <c r="CE1205" s="2" t="s">
        <v>95</v>
      </c>
      <c r="CF1205" s="3">
        <v>43082</v>
      </c>
      <c r="CI1205" s="2">
        <v>2</v>
      </c>
      <c r="CJ1205" s="2">
        <v>3</v>
      </c>
      <c r="CK1205" s="2" t="s">
        <v>294</v>
      </c>
      <c r="CL1205" s="2" t="s">
        <v>89</v>
      </c>
    </row>
    <row r="1206" spans="1:90">
      <c r="A1206" s="2" t="s">
        <v>612</v>
      </c>
      <c r="B1206" s="2" t="s">
        <v>72</v>
      </c>
      <c r="C1206" s="2" t="s">
        <v>73</v>
      </c>
      <c r="E1206" s="2" t="str">
        <f>"029908046198"</f>
        <v>029908046198</v>
      </c>
      <c r="F1206" s="3">
        <v>43076</v>
      </c>
      <c r="G1206" s="2">
        <v>201806</v>
      </c>
      <c r="H1206" s="2" t="s">
        <v>168</v>
      </c>
      <c r="I1206" s="2" t="s">
        <v>169</v>
      </c>
      <c r="J1206" s="2" t="s">
        <v>1710</v>
      </c>
      <c r="K1206" s="2" t="s">
        <v>77</v>
      </c>
      <c r="L1206" s="2" t="s">
        <v>74</v>
      </c>
      <c r="M1206" s="2" t="s">
        <v>75</v>
      </c>
      <c r="N1206" s="2" t="s">
        <v>76</v>
      </c>
      <c r="O1206" s="2" t="s">
        <v>101</v>
      </c>
      <c r="P1206" s="2" t="str">
        <f>"                              "</f>
        <v xml:space="preserve">          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6.43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1</v>
      </c>
      <c r="BJ1206" s="2">
        <v>1</v>
      </c>
      <c r="BK1206" s="2">
        <v>1</v>
      </c>
      <c r="BL1206" s="2">
        <v>45.93</v>
      </c>
      <c r="BM1206" s="2">
        <v>6.43</v>
      </c>
      <c r="BN1206" s="2">
        <v>52.36</v>
      </c>
      <c r="BO1206" s="2">
        <v>52.36</v>
      </c>
      <c r="BR1206" s="2" t="s">
        <v>1711</v>
      </c>
      <c r="BS1206" s="3">
        <v>43077</v>
      </c>
      <c r="BT1206" s="4">
        <v>0.3756944444444445</v>
      </c>
      <c r="BU1206" s="2" t="s">
        <v>774</v>
      </c>
      <c r="BV1206" s="2" t="s">
        <v>85</v>
      </c>
      <c r="BY1206" s="2">
        <v>4800</v>
      </c>
      <c r="BZ1206" s="2" t="s">
        <v>27</v>
      </c>
      <c r="CC1206" s="2" t="s">
        <v>75</v>
      </c>
      <c r="CD1206" s="2">
        <v>1600</v>
      </c>
      <c r="CE1206" s="2" t="s">
        <v>95</v>
      </c>
      <c r="CF1206" s="3">
        <v>43080</v>
      </c>
      <c r="CI1206" s="2">
        <v>1</v>
      </c>
      <c r="CJ1206" s="2">
        <v>1</v>
      </c>
      <c r="CK1206" s="2">
        <v>21</v>
      </c>
      <c r="CL1206" s="2" t="s">
        <v>89</v>
      </c>
    </row>
    <row r="1207" spans="1:90">
      <c r="A1207" s="2" t="s">
        <v>71</v>
      </c>
      <c r="B1207" s="2" t="s">
        <v>72</v>
      </c>
      <c r="C1207" s="2" t="s">
        <v>73</v>
      </c>
      <c r="E1207" s="2" t="str">
        <f>"FES1162594005"</f>
        <v>FES1162594005</v>
      </c>
      <c r="F1207" s="3">
        <v>43074</v>
      </c>
      <c r="G1207" s="2">
        <v>201806</v>
      </c>
      <c r="H1207" s="2" t="s">
        <v>74</v>
      </c>
      <c r="I1207" s="2" t="s">
        <v>75</v>
      </c>
      <c r="J1207" s="2" t="s">
        <v>97</v>
      </c>
      <c r="K1207" s="2" t="s">
        <v>77</v>
      </c>
      <c r="L1207" s="2" t="s">
        <v>1085</v>
      </c>
      <c r="M1207" s="2" t="s">
        <v>174</v>
      </c>
      <c r="N1207" s="2" t="s">
        <v>376</v>
      </c>
      <c r="O1207" s="2" t="s">
        <v>81</v>
      </c>
      <c r="P1207" s="2" t="str">
        <f>"2170601590                    "</f>
        <v xml:space="preserve">2170601590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17.010000000000002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2</v>
      </c>
      <c r="BI1207" s="2">
        <v>26</v>
      </c>
      <c r="BJ1207" s="2">
        <v>13.4</v>
      </c>
      <c r="BK1207" s="2">
        <v>26</v>
      </c>
      <c r="BL1207" s="2">
        <v>140.93</v>
      </c>
      <c r="BM1207" s="2">
        <v>19.73</v>
      </c>
      <c r="BN1207" s="2">
        <v>160.66</v>
      </c>
      <c r="BO1207" s="2">
        <v>160.66</v>
      </c>
      <c r="BQ1207" s="2" t="s">
        <v>102</v>
      </c>
      <c r="BR1207" s="2" t="s">
        <v>103</v>
      </c>
      <c r="BS1207" s="3">
        <v>43076</v>
      </c>
      <c r="BT1207" s="4">
        <v>0.53402777777777777</v>
      </c>
      <c r="BU1207" s="2" t="s">
        <v>1712</v>
      </c>
      <c r="BV1207" s="2" t="s">
        <v>85</v>
      </c>
      <c r="BY1207" s="2">
        <v>67011.86</v>
      </c>
      <c r="CA1207" s="2" t="s">
        <v>1713</v>
      </c>
      <c r="CC1207" s="2" t="s">
        <v>174</v>
      </c>
      <c r="CD1207" s="2">
        <v>7490</v>
      </c>
      <c r="CE1207" s="2" t="s">
        <v>1714</v>
      </c>
      <c r="CF1207" s="3">
        <v>43077</v>
      </c>
      <c r="CI1207" s="2">
        <v>2</v>
      </c>
      <c r="CJ1207" s="2">
        <v>2</v>
      </c>
      <c r="CK1207" s="2" t="s">
        <v>271</v>
      </c>
      <c r="CL1207" s="2" t="s">
        <v>89</v>
      </c>
    </row>
    <row r="1208" spans="1:90">
      <c r="A1208" s="2" t="s">
        <v>71</v>
      </c>
      <c r="B1208" s="2" t="s">
        <v>72</v>
      </c>
      <c r="C1208" s="2" t="s">
        <v>73</v>
      </c>
      <c r="E1208" s="2" t="str">
        <f>"FES1162593998"</f>
        <v>FES1162593998</v>
      </c>
      <c r="F1208" s="3">
        <v>43074</v>
      </c>
      <c r="G1208" s="2">
        <v>201806</v>
      </c>
      <c r="H1208" s="2" t="s">
        <v>74</v>
      </c>
      <c r="I1208" s="2" t="s">
        <v>75</v>
      </c>
      <c r="J1208" s="2" t="s">
        <v>97</v>
      </c>
      <c r="K1208" s="2" t="s">
        <v>77</v>
      </c>
      <c r="L1208" s="2" t="s">
        <v>325</v>
      </c>
      <c r="M1208" s="2" t="s">
        <v>326</v>
      </c>
      <c r="N1208" s="2" t="s">
        <v>1129</v>
      </c>
      <c r="O1208" s="2" t="s">
        <v>81</v>
      </c>
      <c r="P1208" s="2" t="str">
        <f>"2170603399                    "</f>
        <v xml:space="preserve">2170603399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13.61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2</v>
      </c>
      <c r="BI1208" s="2">
        <v>28</v>
      </c>
      <c r="BJ1208" s="2">
        <v>18.600000000000001</v>
      </c>
      <c r="BK1208" s="2">
        <v>28</v>
      </c>
      <c r="BL1208" s="2">
        <v>113.8</v>
      </c>
      <c r="BM1208" s="2">
        <v>15.93</v>
      </c>
      <c r="BN1208" s="2">
        <v>129.72999999999999</v>
      </c>
      <c r="BO1208" s="2">
        <v>129.72999999999999</v>
      </c>
      <c r="BQ1208" s="2" t="s">
        <v>102</v>
      </c>
      <c r="BR1208" s="2" t="s">
        <v>103</v>
      </c>
      <c r="BS1208" s="3">
        <v>43075</v>
      </c>
      <c r="BT1208" s="4">
        <v>0.59097222222222223</v>
      </c>
      <c r="BU1208" s="2" t="s">
        <v>1715</v>
      </c>
      <c r="BV1208" s="2" t="s">
        <v>85</v>
      </c>
      <c r="BY1208" s="2">
        <v>46512</v>
      </c>
      <c r="CA1208" s="2" t="s">
        <v>481</v>
      </c>
      <c r="CC1208" s="2" t="s">
        <v>326</v>
      </c>
      <c r="CD1208" s="2">
        <v>1939</v>
      </c>
      <c r="CE1208" s="2" t="s">
        <v>1716</v>
      </c>
      <c r="CF1208" s="3">
        <v>43077</v>
      </c>
      <c r="CI1208" s="2">
        <v>1</v>
      </c>
      <c r="CJ1208" s="2">
        <v>1</v>
      </c>
      <c r="CK1208" s="2" t="s">
        <v>289</v>
      </c>
      <c r="CL1208" s="2" t="s">
        <v>89</v>
      </c>
    </row>
    <row r="1209" spans="1:90">
      <c r="A1209" s="2" t="s">
        <v>71</v>
      </c>
      <c r="B1209" s="2" t="s">
        <v>72</v>
      </c>
      <c r="C1209" s="2" t="s">
        <v>73</v>
      </c>
      <c r="E1209" s="2" t="str">
        <f>"FES1162593642"</f>
        <v>FES1162593642</v>
      </c>
      <c r="F1209" s="3">
        <v>43074</v>
      </c>
      <c r="G1209" s="2">
        <v>201806</v>
      </c>
      <c r="H1209" s="2" t="s">
        <v>74</v>
      </c>
      <c r="I1209" s="2" t="s">
        <v>75</v>
      </c>
      <c r="J1209" s="2" t="s">
        <v>97</v>
      </c>
      <c r="K1209" s="2" t="s">
        <v>77</v>
      </c>
      <c r="L1209" s="2" t="s">
        <v>106</v>
      </c>
      <c r="M1209" s="2" t="s">
        <v>107</v>
      </c>
      <c r="N1209" s="2" t="s">
        <v>108</v>
      </c>
      <c r="O1209" s="2" t="s">
        <v>81</v>
      </c>
      <c r="P1209" s="2" t="str">
        <f>"2170603486                    "</f>
        <v xml:space="preserve">2170603486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13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34</v>
      </c>
      <c r="BJ1209" s="2">
        <v>17.7</v>
      </c>
      <c r="BK1209" s="2">
        <v>34</v>
      </c>
      <c r="BL1209" s="2">
        <v>108.89</v>
      </c>
      <c r="BM1209" s="2">
        <v>15.24</v>
      </c>
      <c r="BN1209" s="2">
        <v>124.13</v>
      </c>
      <c r="BO1209" s="2">
        <v>124.13</v>
      </c>
      <c r="BQ1209" s="2" t="s">
        <v>82</v>
      </c>
      <c r="BR1209" s="2" t="s">
        <v>103</v>
      </c>
      <c r="BS1209" s="3">
        <v>43075</v>
      </c>
      <c r="BT1209" s="4">
        <v>0.4236111111111111</v>
      </c>
      <c r="BU1209" s="2" t="s">
        <v>1717</v>
      </c>
      <c r="BV1209" s="2" t="s">
        <v>85</v>
      </c>
      <c r="BY1209" s="2">
        <v>88532.61</v>
      </c>
      <c r="CC1209" s="2" t="s">
        <v>107</v>
      </c>
      <c r="CD1209" s="2">
        <v>2094</v>
      </c>
      <c r="CE1209" s="2" t="s">
        <v>356</v>
      </c>
      <c r="CF1209" s="3">
        <v>43077</v>
      </c>
      <c r="CI1209" s="2">
        <v>1</v>
      </c>
      <c r="CJ1209" s="2">
        <v>1</v>
      </c>
      <c r="CK1209" s="2" t="s">
        <v>96</v>
      </c>
      <c r="CL1209" s="2" t="s">
        <v>89</v>
      </c>
    </row>
    <row r="1210" spans="1:90">
      <c r="A1210" s="2" t="s">
        <v>71</v>
      </c>
      <c r="B1210" s="2" t="s">
        <v>72</v>
      </c>
      <c r="C1210" s="2" t="s">
        <v>73</v>
      </c>
      <c r="E1210" s="2" t="str">
        <f>"FES1162593592"</f>
        <v>FES1162593592</v>
      </c>
      <c r="F1210" s="3">
        <v>43074</v>
      </c>
      <c r="G1210" s="2">
        <v>201806</v>
      </c>
      <c r="H1210" s="2" t="s">
        <v>74</v>
      </c>
      <c r="I1210" s="2" t="s">
        <v>75</v>
      </c>
      <c r="J1210" s="2" t="s">
        <v>97</v>
      </c>
      <c r="K1210" s="2" t="s">
        <v>77</v>
      </c>
      <c r="L1210" s="2" t="s">
        <v>285</v>
      </c>
      <c r="M1210" s="2" t="s">
        <v>159</v>
      </c>
      <c r="N1210" s="2" t="s">
        <v>588</v>
      </c>
      <c r="O1210" s="2" t="s">
        <v>81</v>
      </c>
      <c r="P1210" s="2" t="str">
        <f>"2170602836                    "</f>
        <v xml:space="preserve">2170602836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9.7100000000000009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8</v>
      </c>
      <c r="BJ1210" s="2">
        <v>11</v>
      </c>
      <c r="BK1210" s="2">
        <v>11</v>
      </c>
      <c r="BL1210" s="2">
        <v>82.6</v>
      </c>
      <c r="BM1210" s="2">
        <v>11.56</v>
      </c>
      <c r="BN1210" s="2">
        <v>94.16</v>
      </c>
      <c r="BO1210" s="2">
        <v>94.16</v>
      </c>
      <c r="BQ1210" s="2" t="s">
        <v>102</v>
      </c>
      <c r="BR1210" s="2" t="s">
        <v>103</v>
      </c>
      <c r="BS1210" s="3">
        <v>43075</v>
      </c>
      <c r="BT1210" s="4">
        <v>0.45694444444444443</v>
      </c>
      <c r="BU1210" s="2" t="s">
        <v>1175</v>
      </c>
      <c r="BY1210" s="2">
        <v>55016</v>
      </c>
      <c r="CC1210" s="2" t="s">
        <v>159</v>
      </c>
      <c r="CD1210" s="2">
        <v>40</v>
      </c>
      <c r="CE1210" s="2" t="s">
        <v>87</v>
      </c>
      <c r="CF1210" s="3">
        <v>43077</v>
      </c>
      <c r="CI1210" s="2">
        <v>0</v>
      </c>
      <c r="CJ1210" s="2">
        <v>0</v>
      </c>
      <c r="CK1210" s="2" t="s">
        <v>289</v>
      </c>
      <c r="CL1210" s="2" t="s">
        <v>89</v>
      </c>
    </row>
    <row r="1211" spans="1:90">
      <c r="A1211" s="2" t="s">
        <v>71</v>
      </c>
      <c r="B1211" s="2" t="s">
        <v>72</v>
      </c>
      <c r="C1211" s="2" t="s">
        <v>73</v>
      </c>
      <c r="E1211" s="2" t="str">
        <f>"FES1162593731"</f>
        <v>FES1162593731</v>
      </c>
      <c r="F1211" s="3">
        <v>43074</v>
      </c>
      <c r="G1211" s="2">
        <v>201806</v>
      </c>
      <c r="H1211" s="2" t="s">
        <v>74</v>
      </c>
      <c r="I1211" s="2" t="s">
        <v>75</v>
      </c>
      <c r="J1211" s="2" t="s">
        <v>97</v>
      </c>
      <c r="K1211" s="2" t="s">
        <v>77</v>
      </c>
      <c r="L1211" s="2" t="s">
        <v>285</v>
      </c>
      <c r="M1211" s="2" t="s">
        <v>159</v>
      </c>
      <c r="N1211" s="2" t="s">
        <v>300</v>
      </c>
      <c r="O1211" s="2" t="s">
        <v>81</v>
      </c>
      <c r="P1211" s="2" t="str">
        <f>"2170605808                    "</f>
        <v xml:space="preserve">2170605808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9.7100000000000009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5</v>
      </c>
      <c r="BJ1211" s="2">
        <v>1.7</v>
      </c>
      <c r="BK1211" s="2">
        <v>5</v>
      </c>
      <c r="BL1211" s="2">
        <v>82.6</v>
      </c>
      <c r="BM1211" s="2">
        <v>11.56</v>
      </c>
      <c r="BN1211" s="2">
        <v>94.16</v>
      </c>
      <c r="BO1211" s="2">
        <v>94.16</v>
      </c>
      <c r="BQ1211" s="2" t="s">
        <v>102</v>
      </c>
      <c r="BR1211" s="2" t="s">
        <v>103</v>
      </c>
      <c r="BS1211" s="3">
        <v>43075</v>
      </c>
      <c r="BT1211" s="4">
        <v>0.47222222222222227</v>
      </c>
      <c r="BU1211" s="2" t="s">
        <v>1651</v>
      </c>
      <c r="BY1211" s="2">
        <v>8486.02</v>
      </c>
      <c r="CC1211" s="2" t="s">
        <v>159</v>
      </c>
      <c r="CD1211" s="2">
        <v>200</v>
      </c>
      <c r="CE1211" s="2" t="s">
        <v>95</v>
      </c>
      <c r="CF1211" s="3">
        <v>43077</v>
      </c>
      <c r="CI1211" s="2">
        <v>0</v>
      </c>
      <c r="CJ1211" s="2">
        <v>0</v>
      </c>
      <c r="CK1211" s="2" t="s">
        <v>289</v>
      </c>
      <c r="CL1211" s="2" t="s">
        <v>89</v>
      </c>
    </row>
    <row r="1212" spans="1:90">
      <c r="A1212" s="2" t="s">
        <v>71</v>
      </c>
      <c r="B1212" s="2" t="s">
        <v>72</v>
      </c>
      <c r="C1212" s="2" t="s">
        <v>73</v>
      </c>
      <c r="E1212" s="2" t="str">
        <f>"FES1162594008"</f>
        <v>FES1162594008</v>
      </c>
      <c r="F1212" s="3">
        <v>43074</v>
      </c>
      <c r="G1212" s="2">
        <v>201806</v>
      </c>
      <c r="H1212" s="2" t="s">
        <v>74</v>
      </c>
      <c r="I1212" s="2" t="s">
        <v>75</v>
      </c>
      <c r="J1212" s="2" t="s">
        <v>97</v>
      </c>
      <c r="K1212" s="2" t="s">
        <v>77</v>
      </c>
      <c r="L1212" s="2" t="s">
        <v>136</v>
      </c>
      <c r="M1212" s="2" t="s">
        <v>137</v>
      </c>
      <c r="N1212" s="2" t="s">
        <v>138</v>
      </c>
      <c r="O1212" s="2" t="s">
        <v>81</v>
      </c>
      <c r="P1212" s="2" t="str">
        <f>"217094483                     "</f>
        <v xml:space="preserve">217094483 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63.02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3</v>
      </c>
      <c r="BI1212" s="2">
        <v>56.2</v>
      </c>
      <c r="BJ1212" s="2">
        <v>118.2</v>
      </c>
      <c r="BK1212" s="2">
        <v>119</v>
      </c>
      <c r="BL1212" s="2">
        <v>508.72</v>
      </c>
      <c r="BM1212" s="2">
        <v>71.22</v>
      </c>
      <c r="BN1212" s="2">
        <v>579.94000000000005</v>
      </c>
      <c r="BO1212" s="2">
        <v>579.94000000000005</v>
      </c>
      <c r="BQ1212" s="2" t="s">
        <v>82</v>
      </c>
      <c r="BR1212" s="2" t="s">
        <v>103</v>
      </c>
      <c r="BS1212" s="3">
        <v>43077</v>
      </c>
      <c r="BT1212" s="4">
        <v>0.43402777777777773</v>
      </c>
      <c r="BU1212" s="2" t="s">
        <v>1718</v>
      </c>
      <c r="BV1212" s="2" t="s">
        <v>89</v>
      </c>
      <c r="BW1212" s="2" t="s">
        <v>1333</v>
      </c>
      <c r="BX1212" s="2" t="s">
        <v>1334</v>
      </c>
      <c r="BY1212" s="2">
        <v>591085.4</v>
      </c>
      <c r="CA1212" s="2" t="s">
        <v>315</v>
      </c>
      <c r="CC1212" s="2" t="s">
        <v>137</v>
      </c>
      <c r="CD1212" s="2">
        <v>6001</v>
      </c>
      <c r="CE1212" s="2" t="s">
        <v>87</v>
      </c>
      <c r="CF1212" s="3">
        <v>43080</v>
      </c>
      <c r="CI1212" s="2">
        <v>2</v>
      </c>
      <c r="CJ1212" s="2">
        <v>3</v>
      </c>
      <c r="CK1212" s="2" t="s">
        <v>271</v>
      </c>
      <c r="CL1212" s="2" t="s">
        <v>89</v>
      </c>
    </row>
    <row r="1213" spans="1:90">
      <c r="A1213" s="2" t="s">
        <v>71</v>
      </c>
      <c r="B1213" s="2" t="s">
        <v>72</v>
      </c>
      <c r="C1213" s="2" t="s">
        <v>73</v>
      </c>
      <c r="E1213" s="2" t="str">
        <f>"FES1162593776"</f>
        <v>FES1162593776</v>
      </c>
      <c r="F1213" s="3">
        <v>43074</v>
      </c>
      <c r="G1213" s="2">
        <v>201806</v>
      </c>
      <c r="H1213" s="2" t="s">
        <v>74</v>
      </c>
      <c r="I1213" s="2" t="s">
        <v>75</v>
      </c>
      <c r="J1213" s="2" t="s">
        <v>97</v>
      </c>
      <c r="K1213" s="2" t="s">
        <v>77</v>
      </c>
      <c r="L1213" s="2" t="s">
        <v>115</v>
      </c>
      <c r="M1213" s="2" t="s">
        <v>116</v>
      </c>
      <c r="N1213" s="2" t="s">
        <v>1113</v>
      </c>
      <c r="O1213" s="2" t="s">
        <v>81</v>
      </c>
      <c r="P1213" s="2" t="str">
        <f>"2170602282                    "</f>
        <v xml:space="preserve">2170602282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9.27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20</v>
      </c>
      <c r="BJ1213" s="2">
        <v>9.9</v>
      </c>
      <c r="BK1213" s="2">
        <v>20</v>
      </c>
      <c r="BL1213" s="2">
        <v>79.12</v>
      </c>
      <c r="BM1213" s="2">
        <v>11.08</v>
      </c>
      <c r="BN1213" s="2">
        <v>90.2</v>
      </c>
      <c r="BO1213" s="2">
        <v>90.2</v>
      </c>
      <c r="BQ1213" s="2" t="s">
        <v>102</v>
      </c>
      <c r="BR1213" s="2" t="s">
        <v>103</v>
      </c>
      <c r="BS1213" s="3">
        <v>43076</v>
      </c>
      <c r="BT1213" s="4">
        <v>0.40972222222222227</v>
      </c>
      <c r="BU1213" s="2" t="s">
        <v>114</v>
      </c>
      <c r="BV1213" s="2" t="s">
        <v>89</v>
      </c>
      <c r="BW1213" s="2" t="s">
        <v>149</v>
      </c>
      <c r="BX1213" s="2" t="s">
        <v>292</v>
      </c>
      <c r="BY1213" s="2">
        <v>49379.06</v>
      </c>
      <c r="CC1213" s="2" t="s">
        <v>116</v>
      </c>
      <c r="CD1213" s="2">
        <v>1460</v>
      </c>
      <c r="CE1213" s="2" t="s">
        <v>87</v>
      </c>
      <c r="CF1213" s="3">
        <v>43077</v>
      </c>
      <c r="CI1213" s="2">
        <v>1</v>
      </c>
      <c r="CJ1213" s="2">
        <v>2</v>
      </c>
      <c r="CK1213" s="2" t="s">
        <v>96</v>
      </c>
      <c r="CL1213" s="2" t="s">
        <v>89</v>
      </c>
    </row>
    <row r="1214" spans="1:90">
      <c r="A1214" s="2" t="s">
        <v>71</v>
      </c>
      <c r="B1214" s="2" t="s">
        <v>72</v>
      </c>
      <c r="C1214" s="2" t="s">
        <v>73</v>
      </c>
      <c r="E1214" s="2" t="str">
        <f>"FES1162593782"</f>
        <v>FES1162593782</v>
      </c>
      <c r="F1214" s="3">
        <v>43074</v>
      </c>
      <c r="G1214" s="2">
        <v>201806</v>
      </c>
      <c r="H1214" s="2" t="s">
        <v>74</v>
      </c>
      <c r="I1214" s="2" t="s">
        <v>75</v>
      </c>
      <c r="J1214" s="2" t="s">
        <v>97</v>
      </c>
      <c r="K1214" s="2" t="s">
        <v>77</v>
      </c>
      <c r="L1214" s="2" t="s">
        <v>285</v>
      </c>
      <c r="M1214" s="2" t="s">
        <v>159</v>
      </c>
      <c r="N1214" s="2" t="s">
        <v>588</v>
      </c>
      <c r="O1214" s="2" t="s">
        <v>81</v>
      </c>
      <c r="P1214" s="2" t="str">
        <f>"2170604198                    "</f>
        <v xml:space="preserve">2170604198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9.7100000000000009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13</v>
      </c>
      <c r="BJ1214" s="2">
        <v>9.1</v>
      </c>
      <c r="BK1214" s="2">
        <v>13</v>
      </c>
      <c r="BL1214" s="2">
        <v>82.6</v>
      </c>
      <c r="BM1214" s="2">
        <v>11.56</v>
      </c>
      <c r="BN1214" s="2">
        <v>94.16</v>
      </c>
      <c r="BO1214" s="2">
        <v>94.16</v>
      </c>
      <c r="BQ1214" s="2" t="s">
        <v>102</v>
      </c>
      <c r="BR1214" s="2" t="s">
        <v>103</v>
      </c>
      <c r="BS1214" s="3">
        <v>43075</v>
      </c>
      <c r="BT1214" s="4">
        <v>0.45694444444444443</v>
      </c>
      <c r="BU1214" s="2" t="s">
        <v>1175</v>
      </c>
      <c r="BY1214" s="2">
        <v>45287.040000000001</v>
      </c>
      <c r="CC1214" s="2" t="s">
        <v>159</v>
      </c>
      <c r="CD1214" s="2">
        <v>40</v>
      </c>
      <c r="CE1214" s="2" t="s">
        <v>95</v>
      </c>
      <c r="CF1214" s="3">
        <v>43077</v>
      </c>
      <c r="CI1214" s="2">
        <v>0</v>
      </c>
      <c r="CJ1214" s="2">
        <v>0</v>
      </c>
      <c r="CK1214" s="2" t="s">
        <v>289</v>
      </c>
      <c r="CL1214" s="2" t="s">
        <v>89</v>
      </c>
    </row>
    <row r="1215" spans="1:90">
      <c r="A1215" s="2" t="s">
        <v>71</v>
      </c>
      <c r="B1215" s="2" t="s">
        <v>72</v>
      </c>
      <c r="C1215" s="2" t="s">
        <v>73</v>
      </c>
      <c r="E1215" s="2" t="str">
        <f>"FES1162594222"</f>
        <v>FES1162594222</v>
      </c>
      <c r="F1215" s="3">
        <v>43075</v>
      </c>
      <c r="G1215" s="2">
        <v>201806</v>
      </c>
      <c r="H1215" s="2" t="s">
        <v>74</v>
      </c>
      <c r="I1215" s="2" t="s">
        <v>75</v>
      </c>
      <c r="J1215" s="2" t="s">
        <v>97</v>
      </c>
      <c r="K1215" s="2" t="s">
        <v>77</v>
      </c>
      <c r="L1215" s="2" t="s">
        <v>74</v>
      </c>
      <c r="M1215" s="2" t="s">
        <v>75</v>
      </c>
      <c r="N1215" s="2" t="s">
        <v>1719</v>
      </c>
      <c r="O1215" s="2" t="s">
        <v>81</v>
      </c>
      <c r="P1215" s="2" t="str">
        <f>"2170604550                    "</f>
        <v xml:space="preserve">2170604550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15.71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2</v>
      </c>
      <c r="BI1215" s="2">
        <v>27</v>
      </c>
      <c r="BJ1215" s="2">
        <v>37.1</v>
      </c>
      <c r="BK1215" s="2">
        <v>37</v>
      </c>
      <c r="BL1215" s="2">
        <v>117.18</v>
      </c>
      <c r="BM1215" s="2">
        <v>16.41</v>
      </c>
      <c r="BN1215" s="2">
        <v>133.59</v>
      </c>
      <c r="BO1215" s="2">
        <v>133.59</v>
      </c>
      <c r="BQ1215" s="2" t="s">
        <v>1720</v>
      </c>
      <c r="BR1215" s="2" t="s">
        <v>103</v>
      </c>
      <c r="BS1215" s="3">
        <v>43076</v>
      </c>
      <c r="BT1215" s="4">
        <v>0.4236111111111111</v>
      </c>
      <c r="BU1215" s="2" t="s">
        <v>114</v>
      </c>
      <c r="BV1215" s="2" t="s">
        <v>85</v>
      </c>
      <c r="BY1215" s="2">
        <v>185328.16</v>
      </c>
      <c r="CC1215" s="2" t="s">
        <v>75</v>
      </c>
      <c r="CD1215" s="2">
        <v>1609</v>
      </c>
      <c r="CE1215" s="2" t="s">
        <v>288</v>
      </c>
      <c r="CF1215" s="3">
        <v>43077</v>
      </c>
      <c r="CI1215" s="2">
        <v>1</v>
      </c>
      <c r="CJ1215" s="2">
        <v>1</v>
      </c>
      <c r="CK1215" s="2" t="s">
        <v>96</v>
      </c>
      <c r="CL1215" s="2" t="s">
        <v>89</v>
      </c>
    </row>
    <row r="1216" spans="1:90">
      <c r="A1216" s="2" t="s">
        <v>71</v>
      </c>
      <c r="B1216" s="2" t="s">
        <v>72</v>
      </c>
      <c r="C1216" s="2" t="s">
        <v>73</v>
      </c>
      <c r="E1216" s="2" t="str">
        <f>"Rfes1162594120"</f>
        <v>Rfes1162594120</v>
      </c>
      <c r="F1216" s="3">
        <v>43077</v>
      </c>
      <c r="G1216" s="2">
        <v>201806</v>
      </c>
      <c r="H1216" s="2" t="s">
        <v>168</v>
      </c>
      <c r="I1216" s="2" t="s">
        <v>169</v>
      </c>
      <c r="J1216" s="2" t="s">
        <v>932</v>
      </c>
      <c r="K1216" s="2" t="s">
        <v>77</v>
      </c>
      <c r="L1216" s="2" t="s">
        <v>74</v>
      </c>
      <c r="M1216" s="2" t="s">
        <v>75</v>
      </c>
      <c r="N1216" s="2" t="s">
        <v>97</v>
      </c>
      <c r="O1216" s="2" t="s">
        <v>101</v>
      </c>
      <c r="P1216" s="2" t="str">
        <f>"2170601386                    "</f>
        <v xml:space="preserve">2170601386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6.43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1</v>
      </c>
      <c r="BJ1216" s="2">
        <v>0.2</v>
      </c>
      <c r="BK1216" s="2">
        <v>1</v>
      </c>
      <c r="BL1216" s="2">
        <v>45.93</v>
      </c>
      <c r="BM1216" s="2">
        <v>6.43</v>
      </c>
      <c r="BN1216" s="2">
        <v>52.36</v>
      </c>
      <c r="BO1216" s="2">
        <v>52.36</v>
      </c>
      <c r="BQ1216" s="2" t="s">
        <v>103</v>
      </c>
      <c r="BR1216" s="2" t="s">
        <v>102</v>
      </c>
      <c r="BS1216" s="3">
        <v>43081</v>
      </c>
      <c r="BT1216" s="4">
        <v>0.4375</v>
      </c>
      <c r="BU1216" s="2" t="s">
        <v>375</v>
      </c>
      <c r="BV1216" s="2" t="s">
        <v>85</v>
      </c>
      <c r="BY1216" s="2">
        <v>1200</v>
      </c>
      <c r="CA1216" s="2" t="s">
        <v>366</v>
      </c>
      <c r="CC1216" s="2" t="s">
        <v>75</v>
      </c>
      <c r="CD1216" s="2">
        <v>1600</v>
      </c>
      <c r="CE1216" s="2" t="s">
        <v>120</v>
      </c>
      <c r="CF1216" s="3">
        <v>43083</v>
      </c>
      <c r="CI1216" s="2">
        <v>1</v>
      </c>
      <c r="CJ1216" s="2">
        <v>1</v>
      </c>
      <c r="CK1216" s="2">
        <v>21</v>
      </c>
      <c r="CL1216" s="2" t="s">
        <v>89</v>
      </c>
    </row>
    <row r="1217" spans="1:90">
      <c r="A1217" s="2" t="s">
        <v>71</v>
      </c>
      <c r="B1217" s="2" t="s">
        <v>72</v>
      </c>
      <c r="C1217" s="2" t="s">
        <v>73</v>
      </c>
      <c r="E1217" s="2" t="str">
        <f>"RFES1162593290"</f>
        <v>RFES1162593290</v>
      </c>
      <c r="F1217" s="3">
        <v>43077</v>
      </c>
      <c r="G1217" s="2">
        <v>201806</v>
      </c>
      <c r="H1217" s="2" t="s">
        <v>115</v>
      </c>
      <c r="I1217" s="2" t="s">
        <v>116</v>
      </c>
      <c r="J1217" s="2" t="s">
        <v>1612</v>
      </c>
      <c r="K1217" s="2" t="s">
        <v>77</v>
      </c>
      <c r="L1217" s="2" t="s">
        <v>74</v>
      </c>
      <c r="M1217" s="2" t="s">
        <v>75</v>
      </c>
      <c r="N1217" s="2" t="s">
        <v>97</v>
      </c>
      <c r="O1217" s="2" t="s">
        <v>101</v>
      </c>
      <c r="P1217" s="2" t="str">
        <f>"2170604590                    "</f>
        <v xml:space="preserve">2170604590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5.03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35.89</v>
      </c>
      <c r="BM1217" s="2">
        <v>5.0199999999999996</v>
      </c>
      <c r="BN1217" s="2">
        <v>40.909999999999997</v>
      </c>
      <c r="BO1217" s="2">
        <v>40.909999999999997</v>
      </c>
      <c r="BQ1217" s="2" t="s">
        <v>103</v>
      </c>
      <c r="BS1217" s="3">
        <v>43080</v>
      </c>
      <c r="BT1217" s="4">
        <v>0.39166666666666666</v>
      </c>
      <c r="BU1217" s="2" t="s">
        <v>375</v>
      </c>
      <c r="BV1217" s="2" t="s">
        <v>85</v>
      </c>
      <c r="BY1217" s="2">
        <v>1200</v>
      </c>
      <c r="CA1217" s="2" t="s">
        <v>366</v>
      </c>
      <c r="CC1217" s="2" t="s">
        <v>75</v>
      </c>
      <c r="CD1217" s="2">
        <v>1600</v>
      </c>
      <c r="CE1217" s="2" t="s">
        <v>120</v>
      </c>
      <c r="CF1217" s="3">
        <v>43081</v>
      </c>
      <c r="CI1217" s="2">
        <v>1</v>
      </c>
      <c r="CJ1217" s="2">
        <v>1</v>
      </c>
      <c r="CK1217" s="2">
        <v>22</v>
      </c>
      <c r="CL1217" s="2" t="s">
        <v>89</v>
      </c>
    </row>
    <row r="1218" spans="1:90">
      <c r="A1218" s="2" t="s">
        <v>71</v>
      </c>
      <c r="B1218" s="2" t="s">
        <v>72</v>
      </c>
      <c r="C1218" s="2" t="s">
        <v>73</v>
      </c>
      <c r="E1218" s="2" t="str">
        <f>"RFES1162594223"</f>
        <v>RFES1162594223</v>
      </c>
      <c r="F1218" s="3">
        <v>43077</v>
      </c>
      <c r="G1218" s="2">
        <v>201806</v>
      </c>
      <c r="H1218" s="2" t="s">
        <v>115</v>
      </c>
      <c r="I1218" s="2" t="s">
        <v>116</v>
      </c>
      <c r="J1218" s="2" t="s">
        <v>1612</v>
      </c>
      <c r="K1218" s="2" t="s">
        <v>77</v>
      </c>
      <c r="L1218" s="2" t="s">
        <v>74</v>
      </c>
      <c r="M1218" s="2" t="s">
        <v>75</v>
      </c>
      <c r="N1218" s="2" t="s">
        <v>97</v>
      </c>
      <c r="O1218" s="2" t="s">
        <v>101</v>
      </c>
      <c r="P1218" s="2" t="str">
        <f>"2170604590 .                  "</f>
        <v xml:space="preserve">2170604590 .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5.03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5</v>
      </c>
      <c r="BJ1218" s="2">
        <v>0.9</v>
      </c>
      <c r="BK1218" s="2">
        <v>5</v>
      </c>
      <c r="BL1218" s="2">
        <v>35.89</v>
      </c>
      <c r="BM1218" s="2">
        <v>5.0199999999999996</v>
      </c>
      <c r="BN1218" s="2">
        <v>40.909999999999997</v>
      </c>
      <c r="BO1218" s="2">
        <v>40.909999999999997</v>
      </c>
      <c r="BQ1218" s="2" t="s">
        <v>103</v>
      </c>
      <c r="BS1218" s="3">
        <v>43080</v>
      </c>
      <c r="BT1218" s="4">
        <v>0.39166666666666666</v>
      </c>
      <c r="BU1218" s="2" t="s">
        <v>375</v>
      </c>
      <c r="BV1218" s="2" t="s">
        <v>85</v>
      </c>
      <c r="BY1218" s="2">
        <v>4320</v>
      </c>
      <c r="BZ1218" s="2" t="s">
        <v>27</v>
      </c>
      <c r="CA1218" s="2" t="s">
        <v>366</v>
      </c>
      <c r="CC1218" s="2" t="s">
        <v>75</v>
      </c>
      <c r="CD1218" s="2">
        <v>1600</v>
      </c>
      <c r="CE1218" s="2" t="s">
        <v>1721</v>
      </c>
      <c r="CF1218" s="3">
        <v>43081</v>
      </c>
      <c r="CI1218" s="2">
        <v>1</v>
      </c>
      <c r="CJ1218" s="2">
        <v>1</v>
      </c>
      <c r="CK1218" s="2">
        <v>22</v>
      </c>
      <c r="CL1218" s="2" t="s">
        <v>89</v>
      </c>
    </row>
    <row r="1219" spans="1:90">
      <c r="A1219" s="2" t="s">
        <v>71</v>
      </c>
      <c r="B1219" s="2" t="s">
        <v>72</v>
      </c>
      <c r="C1219" s="2" t="s">
        <v>73</v>
      </c>
      <c r="E1219" s="2" t="str">
        <f>"RFES1162593282"</f>
        <v>RFES1162593282</v>
      </c>
      <c r="F1219" s="3">
        <v>43077</v>
      </c>
      <c r="G1219" s="2">
        <v>201806</v>
      </c>
      <c r="H1219" s="2" t="s">
        <v>115</v>
      </c>
      <c r="I1219" s="2" t="s">
        <v>116</v>
      </c>
      <c r="J1219" s="2" t="s">
        <v>1612</v>
      </c>
      <c r="K1219" s="2" t="s">
        <v>77</v>
      </c>
      <c r="L1219" s="2" t="s">
        <v>74</v>
      </c>
      <c r="M1219" s="2" t="s">
        <v>75</v>
      </c>
      <c r="N1219" s="2" t="s">
        <v>97</v>
      </c>
      <c r="O1219" s="2" t="s">
        <v>101</v>
      </c>
      <c r="P1219" s="2" t="str">
        <f>"217060545444                  "</f>
        <v xml:space="preserve">217060545444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5.03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</v>
      </c>
      <c r="BJ1219" s="2">
        <v>0.2</v>
      </c>
      <c r="BK1219" s="2">
        <v>1</v>
      </c>
      <c r="BL1219" s="2">
        <v>35.89</v>
      </c>
      <c r="BM1219" s="2">
        <v>5.0199999999999996</v>
      </c>
      <c r="BN1219" s="2">
        <v>40.909999999999997</v>
      </c>
      <c r="BO1219" s="2">
        <v>40.909999999999997</v>
      </c>
      <c r="BQ1219" s="2" t="s">
        <v>103</v>
      </c>
      <c r="BS1219" s="3">
        <v>43080</v>
      </c>
      <c r="BT1219" s="4">
        <v>0.39166666666666666</v>
      </c>
      <c r="BU1219" s="2" t="s">
        <v>375</v>
      </c>
      <c r="BV1219" s="2" t="s">
        <v>85</v>
      </c>
      <c r="BY1219" s="2">
        <v>1200</v>
      </c>
      <c r="CA1219" s="2" t="s">
        <v>366</v>
      </c>
      <c r="CC1219" s="2" t="s">
        <v>75</v>
      </c>
      <c r="CD1219" s="2">
        <v>1600</v>
      </c>
      <c r="CE1219" s="2" t="s">
        <v>120</v>
      </c>
      <c r="CF1219" s="3">
        <v>43081</v>
      </c>
      <c r="CI1219" s="2">
        <v>1</v>
      </c>
      <c r="CJ1219" s="2">
        <v>1</v>
      </c>
      <c r="CK1219" s="2">
        <v>22</v>
      </c>
      <c r="CL1219" s="2" t="s">
        <v>89</v>
      </c>
    </row>
    <row r="1220" spans="1:90">
      <c r="A1220" s="2" t="s">
        <v>71</v>
      </c>
      <c r="B1220" s="2" t="s">
        <v>72</v>
      </c>
      <c r="C1220" s="2" t="s">
        <v>73</v>
      </c>
      <c r="E1220" s="2" t="str">
        <f>"019911052816"</f>
        <v>019911052816</v>
      </c>
      <c r="F1220" s="3">
        <v>43076</v>
      </c>
      <c r="G1220" s="2">
        <v>201806</v>
      </c>
      <c r="H1220" s="2" t="s">
        <v>173</v>
      </c>
      <c r="I1220" s="2" t="s">
        <v>174</v>
      </c>
      <c r="J1220" s="2" t="s">
        <v>76</v>
      </c>
      <c r="K1220" s="2" t="s">
        <v>77</v>
      </c>
      <c r="L1220" s="2" t="s">
        <v>74</v>
      </c>
      <c r="M1220" s="2" t="s">
        <v>75</v>
      </c>
      <c r="N1220" s="2" t="s">
        <v>1722</v>
      </c>
      <c r="O1220" s="2" t="s">
        <v>81</v>
      </c>
      <c r="P1220" s="2" t="str">
        <f>"NA                            "</f>
        <v xml:space="preserve">NA        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37.97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3</v>
      </c>
      <c r="BI1220" s="2">
        <v>59</v>
      </c>
      <c r="BJ1220" s="2">
        <v>42.4</v>
      </c>
      <c r="BK1220" s="2">
        <v>59</v>
      </c>
      <c r="BL1220" s="2">
        <v>276.07</v>
      </c>
      <c r="BM1220" s="2">
        <v>38.65</v>
      </c>
      <c r="BN1220" s="2">
        <v>314.72000000000003</v>
      </c>
      <c r="BO1220" s="2">
        <v>314.72000000000003</v>
      </c>
      <c r="BQ1220" s="2" t="s">
        <v>1723</v>
      </c>
      <c r="BS1220" s="3">
        <v>43080</v>
      </c>
      <c r="BT1220" s="4">
        <v>0.4375</v>
      </c>
      <c r="BU1220" s="2" t="s">
        <v>1724</v>
      </c>
      <c r="BV1220" s="2" t="s">
        <v>85</v>
      </c>
      <c r="BY1220" s="2">
        <v>211953.96</v>
      </c>
      <c r="CC1220" s="2" t="s">
        <v>75</v>
      </c>
      <c r="CD1220" s="2">
        <v>1600</v>
      </c>
      <c r="CE1220" s="2" t="s">
        <v>95</v>
      </c>
      <c r="CF1220" s="3">
        <v>43081</v>
      </c>
      <c r="CI1220" s="2">
        <v>2</v>
      </c>
      <c r="CJ1220" s="2">
        <v>2</v>
      </c>
      <c r="CK1220" s="2" t="s">
        <v>271</v>
      </c>
      <c r="CL1220" s="2" t="s">
        <v>89</v>
      </c>
    </row>
    <row r="1221" spans="1:90">
      <c r="A1221" s="2" t="s">
        <v>71</v>
      </c>
      <c r="B1221" s="2" t="s">
        <v>72</v>
      </c>
      <c r="C1221" s="2" t="s">
        <v>73</v>
      </c>
      <c r="E1221" s="2" t="str">
        <f>"FES1162595022"</f>
        <v>FES1162595022</v>
      </c>
      <c r="F1221" s="3">
        <v>43080</v>
      </c>
      <c r="G1221" s="2">
        <v>201806</v>
      </c>
      <c r="H1221" s="2" t="s">
        <v>74</v>
      </c>
      <c r="I1221" s="2" t="s">
        <v>75</v>
      </c>
      <c r="J1221" s="2" t="s">
        <v>97</v>
      </c>
      <c r="K1221" s="2" t="s">
        <v>77</v>
      </c>
      <c r="L1221" s="2" t="s">
        <v>173</v>
      </c>
      <c r="M1221" s="2" t="s">
        <v>174</v>
      </c>
      <c r="N1221" s="2" t="s">
        <v>323</v>
      </c>
      <c r="O1221" s="2" t="s">
        <v>101</v>
      </c>
      <c r="P1221" s="2" t="str">
        <f>"2170601456                    "</f>
        <v xml:space="preserve">2170601456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9.65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3</v>
      </c>
      <c r="BJ1221" s="2">
        <v>0.1</v>
      </c>
      <c r="BK1221" s="2">
        <v>3</v>
      </c>
      <c r="BL1221" s="2">
        <v>68.89</v>
      </c>
      <c r="BM1221" s="2">
        <v>9.64</v>
      </c>
      <c r="BN1221" s="2">
        <v>78.53</v>
      </c>
      <c r="BO1221" s="2">
        <v>78.53</v>
      </c>
      <c r="BQ1221" s="2" t="s">
        <v>82</v>
      </c>
      <c r="BR1221" s="2" t="s">
        <v>103</v>
      </c>
      <c r="BS1221" s="3">
        <v>43081</v>
      </c>
      <c r="BT1221" s="4">
        <v>0.41666666666666669</v>
      </c>
      <c r="BU1221" s="2" t="s">
        <v>324</v>
      </c>
      <c r="BV1221" s="2" t="s">
        <v>85</v>
      </c>
      <c r="BY1221" s="2">
        <v>580</v>
      </c>
      <c r="CA1221" s="2" t="s">
        <v>177</v>
      </c>
      <c r="CC1221" s="2" t="s">
        <v>174</v>
      </c>
      <c r="CD1221" s="2">
        <v>7405</v>
      </c>
      <c r="CE1221" s="2" t="s">
        <v>95</v>
      </c>
      <c r="CF1221" s="3">
        <v>43082</v>
      </c>
      <c r="CI1221" s="2">
        <v>1</v>
      </c>
      <c r="CJ1221" s="2">
        <v>1</v>
      </c>
      <c r="CK1221" s="2">
        <v>21</v>
      </c>
      <c r="CL1221" s="2" t="s">
        <v>89</v>
      </c>
    </row>
    <row r="1222" spans="1:90">
      <c r="A1222" s="2" t="s">
        <v>612</v>
      </c>
      <c r="B1222" s="2" t="s">
        <v>72</v>
      </c>
      <c r="C1222" s="2" t="s">
        <v>73</v>
      </c>
      <c r="E1222" s="2" t="str">
        <f>"029908046199"</f>
        <v>029908046199</v>
      </c>
      <c r="F1222" s="3">
        <v>43077</v>
      </c>
      <c r="G1222" s="2">
        <v>201806</v>
      </c>
      <c r="H1222" s="2" t="s">
        <v>168</v>
      </c>
      <c r="I1222" s="2" t="s">
        <v>169</v>
      </c>
      <c r="J1222" s="2" t="s">
        <v>585</v>
      </c>
      <c r="K1222" s="2" t="s">
        <v>77</v>
      </c>
      <c r="L1222" s="2" t="s">
        <v>74</v>
      </c>
      <c r="M1222" s="2" t="s">
        <v>75</v>
      </c>
      <c r="N1222" s="2" t="s">
        <v>76</v>
      </c>
      <c r="O1222" s="2" t="s">
        <v>81</v>
      </c>
      <c r="P1222" s="2" t="str">
        <f>"                              "</f>
        <v xml:space="preserve">          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12.06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0.4</v>
      </c>
      <c r="BJ1222" s="2">
        <v>4.8</v>
      </c>
      <c r="BK1222" s="2">
        <v>5</v>
      </c>
      <c r="BL1222" s="2">
        <v>91.12</v>
      </c>
      <c r="BM1222" s="2">
        <v>12.76</v>
      </c>
      <c r="BN1222" s="2">
        <v>103.88</v>
      </c>
      <c r="BO1222" s="2">
        <v>103.88</v>
      </c>
      <c r="BR1222" s="2" t="s">
        <v>755</v>
      </c>
      <c r="BS1222" s="3">
        <v>43080</v>
      </c>
      <c r="BT1222" s="4">
        <v>0.39166666666666666</v>
      </c>
      <c r="BU1222" s="2" t="s">
        <v>375</v>
      </c>
      <c r="BV1222" s="2" t="s">
        <v>85</v>
      </c>
      <c r="BY1222" s="2">
        <v>24000</v>
      </c>
      <c r="CA1222" s="2" t="s">
        <v>366</v>
      </c>
      <c r="CC1222" s="2" t="s">
        <v>75</v>
      </c>
      <c r="CD1222" s="2">
        <v>1600</v>
      </c>
      <c r="CE1222" s="2" t="s">
        <v>95</v>
      </c>
      <c r="CF1222" s="3">
        <v>43081</v>
      </c>
      <c r="CI1222" s="2">
        <v>1</v>
      </c>
      <c r="CJ1222" s="2">
        <v>1</v>
      </c>
      <c r="CK1222" s="2" t="s">
        <v>294</v>
      </c>
      <c r="CL1222" s="2" t="s">
        <v>89</v>
      </c>
    </row>
    <row r="1223" spans="1:90">
      <c r="A1223" s="2" t="s">
        <v>71</v>
      </c>
      <c r="B1223" s="2" t="s">
        <v>72</v>
      </c>
      <c r="C1223" s="2" t="s">
        <v>73</v>
      </c>
      <c r="E1223" s="2" t="str">
        <f>"FES1162596022"</f>
        <v>FES1162596022</v>
      </c>
      <c r="F1223" s="3">
        <v>43083</v>
      </c>
      <c r="G1223" s="2">
        <v>201806</v>
      </c>
      <c r="H1223" s="2" t="s">
        <v>74</v>
      </c>
      <c r="I1223" s="2" t="s">
        <v>75</v>
      </c>
      <c r="J1223" s="2" t="s">
        <v>97</v>
      </c>
      <c r="K1223" s="2" t="s">
        <v>77</v>
      </c>
      <c r="L1223" s="2" t="s">
        <v>173</v>
      </c>
      <c r="M1223" s="2" t="s">
        <v>174</v>
      </c>
      <c r="N1223" s="2" t="s">
        <v>1725</v>
      </c>
      <c r="O1223" s="2" t="s">
        <v>101</v>
      </c>
      <c r="P1223" s="2" t="str">
        <f>"2170606417                    "</f>
        <v xml:space="preserve">2170606417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6.43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1</v>
      </c>
      <c r="BJ1223" s="2">
        <v>0.2</v>
      </c>
      <c r="BK1223" s="2">
        <v>1</v>
      </c>
      <c r="BL1223" s="2">
        <v>45.93</v>
      </c>
      <c r="BM1223" s="2">
        <v>6.43</v>
      </c>
      <c r="BN1223" s="2">
        <v>52.36</v>
      </c>
      <c r="BO1223" s="2">
        <v>52.36</v>
      </c>
      <c r="BQ1223" s="2" t="s">
        <v>82</v>
      </c>
      <c r="BR1223" s="2" t="s">
        <v>103</v>
      </c>
      <c r="BS1223" s="3">
        <v>43084</v>
      </c>
      <c r="BT1223" s="4">
        <v>0.47152777777777777</v>
      </c>
      <c r="BU1223" s="2" t="s">
        <v>375</v>
      </c>
      <c r="BV1223" s="2" t="s">
        <v>89</v>
      </c>
      <c r="BW1223" s="2" t="s">
        <v>149</v>
      </c>
      <c r="BX1223" s="2" t="s">
        <v>246</v>
      </c>
      <c r="BY1223" s="2">
        <v>1200</v>
      </c>
      <c r="CA1223" s="2" t="s">
        <v>1389</v>
      </c>
      <c r="CC1223" s="2" t="s">
        <v>174</v>
      </c>
      <c r="CD1223" s="2">
        <v>7460</v>
      </c>
      <c r="CE1223" s="2" t="s">
        <v>120</v>
      </c>
      <c r="CF1223" s="3">
        <v>43087</v>
      </c>
      <c r="CI1223" s="2">
        <v>1</v>
      </c>
      <c r="CJ1223" s="2">
        <v>1</v>
      </c>
      <c r="CK1223" s="2">
        <v>21</v>
      </c>
      <c r="CL1223" s="2" t="s">
        <v>89</v>
      </c>
    </row>
    <row r="1224" spans="1:90">
      <c r="A1224" s="2" t="s">
        <v>71</v>
      </c>
      <c r="B1224" s="2" t="s">
        <v>72</v>
      </c>
      <c r="C1224" s="2" t="s">
        <v>73</v>
      </c>
      <c r="E1224" s="2" t="str">
        <f>"FES1162595251"</f>
        <v>FES1162595251</v>
      </c>
      <c r="F1224" s="3">
        <v>43081</v>
      </c>
      <c r="G1224" s="2">
        <v>201806</v>
      </c>
      <c r="H1224" s="2" t="s">
        <v>74</v>
      </c>
      <c r="I1224" s="2" t="s">
        <v>75</v>
      </c>
      <c r="J1224" s="2" t="s">
        <v>97</v>
      </c>
      <c r="K1224" s="2" t="s">
        <v>77</v>
      </c>
      <c r="L1224" s="2" t="s">
        <v>106</v>
      </c>
      <c r="M1224" s="2" t="s">
        <v>107</v>
      </c>
      <c r="N1224" s="2" t="s">
        <v>830</v>
      </c>
      <c r="O1224" s="2" t="s">
        <v>81</v>
      </c>
      <c r="P1224" s="2" t="str">
        <f>"217060263                     "</f>
        <v xml:space="preserve">217060263 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10.87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20</v>
      </c>
      <c r="BJ1224" s="2">
        <v>20.2</v>
      </c>
      <c r="BK1224" s="2">
        <v>21</v>
      </c>
      <c r="BL1224" s="2">
        <v>82.58</v>
      </c>
      <c r="BM1224" s="2">
        <v>11.56</v>
      </c>
      <c r="BN1224" s="2">
        <v>94.14</v>
      </c>
      <c r="BO1224" s="2">
        <v>94.14</v>
      </c>
      <c r="BQ1224" s="2" t="s">
        <v>102</v>
      </c>
      <c r="BR1224" s="2" t="s">
        <v>103</v>
      </c>
      <c r="BS1224" s="2" t="s">
        <v>185</v>
      </c>
      <c r="BY1224" s="2">
        <v>100800</v>
      </c>
      <c r="CC1224" s="2" t="s">
        <v>107</v>
      </c>
      <c r="CD1224" s="2">
        <v>2011</v>
      </c>
      <c r="CE1224" s="2" t="s">
        <v>87</v>
      </c>
      <c r="CI1224" s="2">
        <v>1</v>
      </c>
      <c r="CJ1224" s="2" t="s">
        <v>185</v>
      </c>
      <c r="CK1224" s="2" t="s">
        <v>96</v>
      </c>
      <c r="CL1224" s="2" t="s">
        <v>89</v>
      </c>
    </row>
    <row r="1225" spans="1:90">
      <c r="A1225" s="2" t="s">
        <v>71</v>
      </c>
      <c r="B1225" s="2" t="s">
        <v>72</v>
      </c>
      <c r="C1225" s="2" t="s">
        <v>73</v>
      </c>
      <c r="E1225" s="2" t="str">
        <f>"FES1162595021"</f>
        <v>FES1162595021</v>
      </c>
      <c r="F1225" s="3">
        <v>43080</v>
      </c>
      <c r="G1225" s="2">
        <v>201806</v>
      </c>
      <c r="H1225" s="2" t="s">
        <v>74</v>
      </c>
      <c r="I1225" s="2" t="s">
        <v>75</v>
      </c>
      <c r="J1225" s="2" t="s">
        <v>97</v>
      </c>
      <c r="K1225" s="2" t="s">
        <v>77</v>
      </c>
      <c r="L1225" s="2" t="s">
        <v>173</v>
      </c>
      <c r="M1225" s="2" t="s">
        <v>174</v>
      </c>
      <c r="N1225" s="2" t="s">
        <v>323</v>
      </c>
      <c r="O1225" s="2" t="s">
        <v>101</v>
      </c>
      <c r="P1225" s="2" t="str">
        <f>"217060154                     "</f>
        <v xml:space="preserve">217060154 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9.65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3</v>
      </c>
      <c r="BJ1225" s="2">
        <v>0.1</v>
      </c>
      <c r="BK1225" s="2">
        <v>3</v>
      </c>
      <c r="BL1225" s="2">
        <v>68.89</v>
      </c>
      <c r="BM1225" s="2">
        <v>9.64</v>
      </c>
      <c r="BN1225" s="2">
        <v>78.53</v>
      </c>
      <c r="BO1225" s="2">
        <v>78.53</v>
      </c>
      <c r="BQ1225" s="2" t="s">
        <v>82</v>
      </c>
      <c r="BR1225" s="2" t="s">
        <v>103</v>
      </c>
      <c r="BS1225" s="3">
        <v>43081</v>
      </c>
      <c r="BT1225" s="4">
        <v>0.41666666666666669</v>
      </c>
      <c r="BU1225" s="2" t="s">
        <v>324</v>
      </c>
      <c r="BV1225" s="2" t="s">
        <v>85</v>
      </c>
      <c r="BY1225" s="2">
        <v>700</v>
      </c>
      <c r="CA1225" s="2" t="s">
        <v>177</v>
      </c>
      <c r="CC1225" s="2" t="s">
        <v>174</v>
      </c>
      <c r="CD1225" s="2">
        <v>7405</v>
      </c>
      <c r="CE1225" s="2" t="s">
        <v>95</v>
      </c>
      <c r="CF1225" s="3">
        <v>43082</v>
      </c>
      <c r="CI1225" s="2">
        <v>1</v>
      </c>
      <c r="CJ1225" s="2">
        <v>1</v>
      </c>
      <c r="CK1225" s="2">
        <v>21</v>
      </c>
      <c r="CL1225" s="2" t="s">
        <v>89</v>
      </c>
    </row>
    <row r="1226" spans="1:90">
      <c r="A1226" s="2" t="s">
        <v>71</v>
      </c>
      <c r="B1226" s="2" t="s">
        <v>72</v>
      </c>
      <c r="C1226" s="2" t="s">
        <v>73</v>
      </c>
      <c r="E1226" s="2" t="str">
        <f>"FES1162595082"</f>
        <v>FES1162595082</v>
      </c>
      <c r="F1226" s="3">
        <v>43080</v>
      </c>
      <c r="G1226" s="2">
        <v>201806</v>
      </c>
      <c r="H1226" s="2" t="s">
        <v>74</v>
      </c>
      <c r="I1226" s="2" t="s">
        <v>75</v>
      </c>
      <c r="J1226" s="2" t="s">
        <v>97</v>
      </c>
      <c r="K1226" s="2" t="s">
        <v>77</v>
      </c>
      <c r="L1226" s="2" t="s">
        <v>74</v>
      </c>
      <c r="M1226" s="2" t="s">
        <v>75</v>
      </c>
      <c r="N1226" s="2" t="s">
        <v>1726</v>
      </c>
      <c r="O1226" s="2" t="s">
        <v>101</v>
      </c>
      <c r="P1226" s="2" t="str">
        <f>"2170603232                    "</f>
        <v xml:space="preserve">2170603232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5.03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3.2</v>
      </c>
      <c r="BJ1226" s="2">
        <v>3.2</v>
      </c>
      <c r="BK1226" s="2">
        <v>4</v>
      </c>
      <c r="BL1226" s="2">
        <v>35.89</v>
      </c>
      <c r="BM1226" s="2">
        <v>5.0199999999999996</v>
      </c>
      <c r="BN1226" s="2">
        <v>40.909999999999997</v>
      </c>
      <c r="BO1226" s="2">
        <v>40.909999999999997</v>
      </c>
      <c r="BQ1226" s="2" t="s">
        <v>82</v>
      </c>
      <c r="BR1226" s="2" t="s">
        <v>103</v>
      </c>
      <c r="BS1226" s="3">
        <v>43081</v>
      </c>
      <c r="BT1226" s="4">
        <v>0.31944444444444448</v>
      </c>
      <c r="BU1226" s="2" t="s">
        <v>1727</v>
      </c>
      <c r="BV1226" s="2" t="s">
        <v>85</v>
      </c>
      <c r="BY1226" s="2">
        <v>15777.6</v>
      </c>
      <c r="CA1226" s="2" t="s">
        <v>366</v>
      </c>
      <c r="CC1226" s="2" t="s">
        <v>75</v>
      </c>
      <c r="CD1226" s="2">
        <v>1601</v>
      </c>
      <c r="CE1226" s="2" t="s">
        <v>95</v>
      </c>
      <c r="CF1226" s="3">
        <v>43083</v>
      </c>
      <c r="CI1226" s="2">
        <v>1</v>
      </c>
      <c r="CJ1226" s="2">
        <v>1</v>
      </c>
      <c r="CK1226" s="2">
        <v>22</v>
      </c>
      <c r="CL1226" s="2" t="s">
        <v>89</v>
      </c>
    </row>
    <row r="1227" spans="1:90">
      <c r="A1227" s="2" t="s">
        <v>71</v>
      </c>
      <c r="B1227" s="2" t="s">
        <v>72</v>
      </c>
      <c r="C1227" s="2" t="s">
        <v>73</v>
      </c>
      <c r="E1227" s="2" t="str">
        <f>"FES1162594610"</f>
        <v>FES1162594610</v>
      </c>
      <c r="F1227" s="3">
        <v>43080</v>
      </c>
      <c r="G1227" s="2">
        <v>201806</v>
      </c>
      <c r="H1227" s="2" t="s">
        <v>74</v>
      </c>
      <c r="I1227" s="2" t="s">
        <v>75</v>
      </c>
      <c r="J1227" s="2" t="s">
        <v>97</v>
      </c>
      <c r="K1227" s="2" t="s">
        <v>77</v>
      </c>
      <c r="L1227" s="2" t="s">
        <v>136</v>
      </c>
      <c r="M1227" s="2" t="s">
        <v>137</v>
      </c>
      <c r="N1227" s="2" t="s">
        <v>974</v>
      </c>
      <c r="O1227" s="2" t="s">
        <v>101</v>
      </c>
      <c r="P1227" s="2" t="str">
        <f>"2170606149                    "</f>
        <v xml:space="preserve">2170606149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6.43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</v>
      </c>
      <c r="BJ1227" s="2">
        <v>0.2</v>
      </c>
      <c r="BK1227" s="2">
        <v>1</v>
      </c>
      <c r="BL1227" s="2">
        <v>45.93</v>
      </c>
      <c r="BM1227" s="2">
        <v>6.43</v>
      </c>
      <c r="BN1227" s="2">
        <v>52.36</v>
      </c>
      <c r="BO1227" s="2">
        <v>52.36</v>
      </c>
      <c r="BQ1227" s="2" t="s">
        <v>82</v>
      </c>
      <c r="BR1227" s="2" t="s">
        <v>103</v>
      </c>
      <c r="BS1227" s="3">
        <v>43081</v>
      </c>
      <c r="BT1227" s="4">
        <v>0.33888888888888885</v>
      </c>
      <c r="BU1227" s="2" t="s">
        <v>692</v>
      </c>
      <c r="BV1227" s="2" t="s">
        <v>85</v>
      </c>
      <c r="BY1227" s="2">
        <v>1200</v>
      </c>
      <c r="CA1227" s="2" t="s">
        <v>140</v>
      </c>
      <c r="CC1227" s="2" t="s">
        <v>137</v>
      </c>
      <c r="CD1227" s="2">
        <v>6001</v>
      </c>
      <c r="CE1227" s="2" t="s">
        <v>120</v>
      </c>
      <c r="CF1227" s="3">
        <v>43083</v>
      </c>
      <c r="CI1227" s="2">
        <v>1</v>
      </c>
      <c r="CJ1227" s="2">
        <v>1</v>
      </c>
      <c r="CK1227" s="2">
        <v>21</v>
      </c>
      <c r="CL1227" s="2" t="s">
        <v>89</v>
      </c>
    </row>
    <row r="1228" spans="1:90">
      <c r="A1228" s="2" t="s">
        <v>71</v>
      </c>
      <c r="B1228" s="2" t="s">
        <v>72</v>
      </c>
      <c r="C1228" s="2" t="s">
        <v>73</v>
      </c>
      <c r="E1228" s="2" t="str">
        <f>"FES1162592198"</f>
        <v>FES1162592198</v>
      </c>
      <c r="F1228" s="3">
        <v>43068</v>
      </c>
      <c r="G1228" s="2">
        <v>201806</v>
      </c>
      <c r="H1228" s="2" t="s">
        <v>74</v>
      </c>
      <c r="I1228" s="2" t="s">
        <v>75</v>
      </c>
      <c r="J1228" s="2" t="s">
        <v>97</v>
      </c>
      <c r="K1228" s="2" t="s">
        <v>77</v>
      </c>
      <c r="L1228" s="2" t="s">
        <v>158</v>
      </c>
      <c r="M1228" s="2" t="s">
        <v>159</v>
      </c>
      <c r="N1228" s="2" t="s">
        <v>1728</v>
      </c>
      <c r="O1228" s="2" t="s">
        <v>81</v>
      </c>
      <c r="P1228" s="2" t="str">
        <f>"2170601244                    "</f>
        <v xml:space="preserve">2170601244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9.7100000000000009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2</v>
      </c>
      <c r="BI1228" s="2">
        <v>5.3</v>
      </c>
      <c r="BJ1228" s="2">
        <v>4.8</v>
      </c>
      <c r="BK1228" s="2">
        <v>6</v>
      </c>
      <c r="BL1228" s="2">
        <v>82.6</v>
      </c>
      <c r="BM1228" s="2">
        <v>11.56</v>
      </c>
      <c r="BN1228" s="2">
        <v>94.16</v>
      </c>
      <c r="BO1228" s="2">
        <v>94.16</v>
      </c>
      <c r="BQ1228" s="2" t="s">
        <v>128</v>
      </c>
      <c r="BR1228" s="2" t="s">
        <v>103</v>
      </c>
      <c r="BS1228" s="3">
        <v>43069</v>
      </c>
      <c r="BT1228" s="4">
        <v>0.39583333333333331</v>
      </c>
      <c r="BU1228" s="2" t="s">
        <v>1729</v>
      </c>
      <c r="BY1228" s="2">
        <v>23976.76</v>
      </c>
      <c r="CC1228" s="2" t="s">
        <v>159</v>
      </c>
      <c r="CD1228" s="2">
        <v>200</v>
      </c>
      <c r="CE1228" s="2" t="s">
        <v>1730</v>
      </c>
      <c r="CF1228" s="3">
        <v>43073</v>
      </c>
      <c r="CI1228" s="2">
        <v>0</v>
      </c>
      <c r="CJ1228" s="2">
        <v>0</v>
      </c>
      <c r="CK1228" s="2" t="s">
        <v>289</v>
      </c>
      <c r="CL1228" s="2" t="s">
        <v>89</v>
      </c>
    </row>
    <row r="1229" spans="1:90">
      <c r="A1229" s="2" t="s">
        <v>71</v>
      </c>
      <c r="B1229" s="2" t="s">
        <v>72</v>
      </c>
      <c r="C1229" s="2" t="s">
        <v>73</v>
      </c>
      <c r="E1229" s="2" t="str">
        <f>"FES1162594781"</f>
        <v>FES1162594781</v>
      </c>
      <c r="F1229" s="3">
        <v>43080</v>
      </c>
      <c r="G1229" s="2">
        <v>201806</v>
      </c>
      <c r="H1229" s="2" t="s">
        <v>74</v>
      </c>
      <c r="I1229" s="2" t="s">
        <v>75</v>
      </c>
      <c r="J1229" s="2" t="s">
        <v>97</v>
      </c>
      <c r="K1229" s="2" t="s">
        <v>77</v>
      </c>
      <c r="L1229" s="2" t="s">
        <v>74</v>
      </c>
      <c r="M1229" s="2" t="s">
        <v>75</v>
      </c>
      <c r="N1229" s="2" t="s">
        <v>645</v>
      </c>
      <c r="O1229" s="2" t="s">
        <v>101</v>
      </c>
      <c r="P1229" s="2" t="str">
        <f>"2170601146                    "</f>
        <v xml:space="preserve">2170601146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5.03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1.2</v>
      </c>
      <c r="BJ1229" s="2">
        <v>2.2999999999999998</v>
      </c>
      <c r="BK1229" s="2">
        <v>3</v>
      </c>
      <c r="BL1229" s="2">
        <v>35.89</v>
      </c>
      <c r="BM1229" s="2">
        <v>5.0199999999999996</v>
      </c>
      <c r="BN1229" s="2">
        <v>40.909999999999997</v>
      </c>
      <c r="BO1229" s="2">
        <v>40.909999999999997</v>
      </c>
      <c r="BQ1229" s="2" t="s">
        <v>102</v>
      </c>
      <c r="BR1229" s="2" t="s">
        <v>103</v>
      </c>
      <c r="BS1229" s="3">
        <v>43081</v>
      </c>
      <c r="BT1229" s="4">
        <v>0.4375</v>
      </c>
      <c r="BU1229" s="2" t="s">
        <v>1731</v>
      </c>
      <c r="BV1229" s="2" t="s">
        <v>85</v>
      </c>
      <c r="BY1229" s="2">
        <v>11584.34</v>
      </c>
      <c r="CA1229" s="2" t="s">
        <v>203</v>
      </c>
      <c r="CC1229" s="2" t="s">
        <v>75</v>
      </c>
      <c r="CD1229" s="2">
        <v>1665</v>
      </c>
      <c r="CE1229" s="2" t="s">
        <v>120</v>
      </c>
      <c r="CF1229" s="3">
        <v>43083</v>
      </c>
      <c r="CI1229" s="2">
        <v>1</v>
      </c>
      <c r="CJ1229" s="2">
        <v>1</v>
      </c>
      <c r="CK1229" s="2">
        <v>22</v>
      </c>
      <c r="CL1229" s="2" t="s">
        <v>89</v>
      </c>
    </row>
    <row r="1230" spans="1:90">
      <c r="A1230" s="2" t="s">
        <v>71</v>
      </c>
      <c r="B1230" s="2" t="s">
        <v>72</v>
      </c>
      <c r="C1230" s="2" t="s">
        <v>73</v>
      </c>
      <c r="E1230" s="2" t="str">
        <f>"FES1162593987"</f>
        <v>FES1162593987</v>
      </c>
      <c r="F1230" s="3">
        <v>43074</v>
      </c>
      <c r="G1230" s="2">
        <v>201806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136</v>
      </c>
      <c r="M1230" s="2" t="s">
        <v>137</v>
      </c>
      <c r="N1230" s="2" t="s">
        <v>1732</v>
      </c>
      <c r="O1230" s="2" t="s">
        <v>101</v>
      </c>
      <c r="P1230" s="2" t="str">
        <f>"21706046                      "</f>
        <v xml:space="preserve">21706046  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0.4</v>
      </c>
      <c r="BJ1230" s="2">
        <v>1.2</v>
      </c>
      <c r="BK1230" s="2">
        <v>1.5</v>
      </c>
      <c r="BL1230" s="2">
        <v>0</v>
      </c>
      <c r="BM1230" s="2">
        <v>0</v>
      </c>
      <c r="BN1230" s="2">
        <v>0</v>
      </c>
      <c r="BO1230" s="2">
        <v>0</v>
      </c>
      <c r="BQ1230" s="2" t="s">
        <v>82</v>
      </c>
      <c r="BR1230" s="2" t="s">
        <v>83</v>
      </c>
      <c r="BS1230" s="3">
        <v>43075</v>
      </c>
      <c r="BT1230" s="4">
        <v>0.41666666666666669</v>
      </c>
      <c r="BU1230" s="2" t="s">
        <v>1733</v>
      </c>
      <c r="BV1230" s="2" t="s">
        <v>85</v>
      </c>
      <c r="BY1230" s="2">
        <v>6194.3</v>
      </c>
      <c r="BZ1230" s="2" t="s">
        <v>1734</v>
      </c>
      <c r="CC1230" s="2" t="s">
        <v>137</v>
      </c>
      <c r="CD1230" s="2">
        <v>6001</v>
      </c>
      <c r="CE1230" s="2" t="s">
        <v>95</v>
      </c>
      <c r="CF1230" s="3">
        <v>43081</v>
      </c>
      <c r="CI1230" s="2">
        <v>1</v>
      </c>
      <c r="CJ1230" s="2">
        <v>1</v>
      </c>
      <c r="CK1230" s="2">
        <v>-1</v>
      </c>
      <c r="CL1230" s="2" t="s">
        <v>89</v>
      </c>
    </row>
    <row r="1231" spans="1:90">
      <c r="A1231" s="2" t="s">
        <v>71</v>
      </c>
      <c r="B1231" s="2" t="s">
        <v>72</v>
      </c>
      <c r="C1231" s="2" t="s">
        <v>73</v>
      </c>
      <c r="E1231" s="2" t="str">
        <f>"FES1162593914"</f>
        <v>FES1162593914</v>
      </c>
      <c r="F1231" s="3">
        <v>43074</v>
      </c>
      <c r="G1231" s="2">
        <v>201806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136</v>
      </c>
      <c r="M1231" s="2" t="s">
        <v>137</v>
      </c>
      <c r="N1231" s="2" t="s">
        <v>258</v>
      </c>
      <c r="O1231" s="2" t="s">
        <v>101</v>
      </c>
      <c r="P1231" s="2" t="str">
        <f>"2170605957                    "</f>
        <v xml:space="preserve">2170605957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0</v>
      </c>
      <c r="BM1231" s="2">
        <v>0</v>
      </c>
      <c r="BN1231" s="2">
        <v>0</v>
      </c>
      <c r="BO1231" s="2">
        <v>0</v>
      </c>
      <c r="BQ1231" s="2" t="s">
        <v>82</v>
      </c>
      <c r="BR1231" s="2" t="s">
        <v>83</v>
      </c>
      <c r="BS1231" s="3">
        <v>43075</v>
      </c>
      <c r="BT1231" s="4">
        <v>0.41666666666666669</v>
      </c>
      <c r="BU1231" s="2" t="s">
        <v>1733</v>
      </c>
      <c r="BV1231" s="2" t="s">
        <v>85</v>
      </c>
      <c r="BY1231" s="2">
        <v>1200</v>
      </c>
      <c r="BZ1231" s="2" t="s">
        <v>1734</v>
      </c>
      <c r="CC1231" s="2" t="s">
        <v>137</v>
      </c>
      <c r="CD1231" s="2">
        <v>6001</v>
      </c>
      <c r="CE1231" s="2" t="s">
        <v>120</v>
      </c>
      <c r="CF1231" s="3">
        <v>43081</v>
      </c>
      <c r="CI1231" s="2">
        <v>1</v>
      </c>
      <c r="CJ1231" s="2">
        <v>1</v>
      </c>
      <c r="CK1231" s="2">
        <v>-1</v>
      </c>
      <c r="CL1231" s="2" t="s">
        <v>89</v>
      </c>
    </row>
    <row r="1232" spans="1:90">
      <c r="A1232" s="2" t="s">
        <v>71</v>
      </c>
      <c r="B1232" s="2" t="s">
        <v>72</v>
      </c>
      <c r="C1232" s="2" t="s">
        <v>73</v>
      </c>
      <c r="E1232" s="2" t="str">
        <f>"FES1162593807"</f>
        <v>FES1162593807</v>
      </c>
      <c r="F1232" s="3">
        <v>43074</v>
      </c>
      <c r="G1232" s="2">
        <v>201806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136</v>
      </c>
      <c r="M1232" s="2" t="s">
        <v>137</v>
      </c>
      <c r="N1232" s="2" t="s">
        <v>1385</v>
      </c>
      <c r="O1232" s="2" t="s">
        <v>101</v>
      </c>
      <c r="P1232" s="2" t="str">
        <f>"2170605536                    "</f>
        <v xml:space="preserve">2170605536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0</v>
      </c>
      <c r="BM1232" s="2">
        <v>0</v>
      </c>
      <c r="BN1232" s="2">
        <v>0</v>
      </c>
      <c r="BO1232" s="2">
        <v>0</v>
      </c>
      <c r="BQ1232" s="2" t="s">
        <v>1386</v>
      </c>
      <c r="BR1232" s="2" t="s">
        <v>83</v>
      </c>
      <c r="BS1232" s="3">
        <v>43075</v>
      </c>
      <c r="BT1232" s="4">
        <v>0.41666666666666669</v>
      </c>
      <c r="BU1232" s="2" t="s">
        <v>1733</v>
      </c>
      <c r="BV1232" s="2" t="s">
        <v>85</v>
      </c>
      <c r="BY1232" s="2">
        <v>1200</v>
      </c>
      <c r="BZ1232" s="2" t="s">
        <v>1734</v>
      </c>
      <c r="CC1232" s="2" t="s">
        <v>137</v>
      </c>
      <c r="CD1232" s="2">
        <v>6001</v>
      </c>
      <c r="CE1232" s="2" t="s">
        <v>120</v>
      </c>
      <c r="CF1232" s="3">
        <v>43081</v>
      </c>
      <c r="CI1232" s="2">
        <v>1</v>
      </c>
      <c r="CJ1232" s="2">
        <v>1</v>
      </c>
      <c r="CK1232" s="2">
        <v>-1</v>
      </c>
      <c r="CL1232" s="2" t="s">
        <v>89</v>
      </c>
    </row>
    <row r="1233" spans="1:90">
      <c r="A1233" s="2" t="s">
        <v>71</v>
      </c>
      <c r="B1233" s="2" t="s">
        <v>72</v>
      </c>
      <c r="C1233" s="2" t="s">
        <v>73</v>
      </c>
      <c r="E1233" s="2" t="str">
        <f>"FES1162593809"</f>
        <v>FES1162593809</v>
      </c>
      <c r="F1233" s="3">
        <v>43074</v>
      </c>
      <c r="G1233" s="2">
        <v>201806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136</v>
      </c>
      <c r="M1233" s="2" t="s">
        <v>137</v>
      </c>
      <c r="N1233" s="2" t="s">
        <v>1735</v>
      </c>
      <c r="O1233" s="2" t="s">
        <v>101</v>
      </c>
      <c r="P1233" s="2" t="str">
        <f>"2170605677                    "</f>
        <v xml:space="preserve">2170605677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0</v>
      </c>
      <c r="BM1233" s="2">
        <v>0</v>
      </c>
      <c r="BN1233" s="2">
        <v>0</v>
      </c>
      <c r="BO1233" s="2">
        <v>0</v>
      </c>
      <c r="BQ1233" s="2" t="s">
        <v>82</v>
      </c>
      <c r="BR1233" s="2" t="s">
        <v>83</v>
      </c>
      <c r="BS1233" s="3">
        <v>43075</v>
      </c>
      <c r="BT1233" s="4">
        <v>0.41666666666666669</v>
      </c>
      <c r="BU1233" s="2" t="s">
        <v>1733</v>
      </c>
      <c r="BV1233" s="2" t="s">
        <v>85</v>
      </c>
      <c r="BY1233" s="2">
        <v>1200</v>
      </c>
      <c r="BZ1233" s="2" t="s">
        <v>1734</v>
      </c>
      <c r="CC1233" s="2" t="s">
        <v>137</v>
      </c>
      <c r="CD1233" s="2">
        <v>6001</v>
      </c>
      <c r="CE1233" s="2" t="s">
        <v>120</v>
      </c>
      <c r="CF1233" s="3">
        <v>43081</v>
      </c>
      <c r="CI1233" s="2">
        <v>1</v>
      </c>
      <c r="CJ1233" s="2">
        <v>1</v>
      </c>
      <c r="CK1233" s="2">
        <v>-1</v>
      </c>
      <c r="CL1233" s="2" t="s">
        <v>89</v>
      </c>
    </row>
    <row r="1234" spans="1:90">
      <c r="A1234" s="2" t="s">
        <v>71</v>
      </c>
      <c r="B1234" s="2" t="s">
        <v>72</v>
      </c>
      <c r="C1234" s="2" t="s">
        <v>73</v>
      </c>
      <c r="E1234" s="2" t="str">
        <f>"RFES1162592519"</f>
        <v>RFES1162592519</v>
      </c>
      <c r="F1234" s="3">
        <v>43080</v>
      </c>
      <c r="G1234" s="2">
        <v>201806</v>
      </c>
      <c r="H1234" s="2" t="s">
        <v>158</v>
      </c>
      <c r="I1234" s="2" t="s">
        <v>159</v>
      </c>
      <c r="J1234" s="2" t="s">
        <v>1352</v>
      </c>
      <c r="K1234" s="2" t="s">
        <v>77</v>
      </c>
      <c r="L1234" s="2" t="s">
        <v>111</v>
      </c>
      <c r="M1234" s="2" t="s">
        <v>112</v>
      </c>
      <c r="N1234" s="2" t="s">
        <v>97</v>
      </c>
      <c r="O1234" s="2" t="s">
        <v>101</v>
      </c>
      <c r="P1234" s="2" t="str">
        <f>"2170604979                    "</f>
        <v xml:space="preserve">2170604979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6.43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0.2</v>
      </c>
      <c r="BK1234" s="2">
        <v>1</v>
      </c>
      <c r="BL1234" s="2">
        <v>45.93</v>
      </c>
      <c r="BM1234" s="2">
        <v>6.43</v>
      </c>
      <c r="BN1234" s="2">
        <v>52.36</v>
      </c>
      <c r="BO1234" s="2">
        <v>52.36</v>
      </c>
      <c r="BQ1234" s="2" t="s">
        <v>103</v>
      </c>
      <c r="BR1234" s="2" t="s">
        <v>82</v>
      </c>
      <c r="BS1234" s="3">
        <v>43080</v>
      </c>
      <c r="BT1234" s="4">
        <v>0.56736111111111109</v>
      </c>
      <c r="BU1234" s="2" t="s">
        <v>1621</v>
      </c>
      <c r="BV1234" s="2" t="s">
        <v>85</v>
      </c>
      <c r="BY1234" s="2">
        <v>1200</v>
      </c>
      <c r="BZ1234" s="2" t="s">
        <v>27</v>
      </c>
      <c r="CA1234" s="2" t="s">
        <v>1736</v>
      </c>
      <c r="CC1234" s="2" t="s">
        <v>112</v>
      </c>
      <c r="CD1234" s="2">
        <v>6242</v>
      </c>
      <c r="CE1234" s="2" t="s">
        <v>120</v>
      </c>
      <c r="CI1234" s="2">
        <v>1</v>
      </c>
      <c r="CJ1234" s="2">
        <v>0</v>
      </c>
      <c r="CK1234" s="2">
        <v>21</v>
      </c>
      <c r="CL1234" s="2" t="s">
        <v>89</v>
      </c>
    </row>
    <row r="1235" spans="1:90">
      <c r="A1235" s="2" t="s">
        <v>71</v>
      </c>
      <c r="B1235" s="2" t="s">
        <v>72</v>
      </c>
      <c r="C1235" s="2" t="s">
        <v>73</v>
      </c>
      <c r="E1235" s="2" t="str">
        <f>"RRFES1162592519"</f>
        <v>RRFES1162592519</v>
      </c>
      <c r="F1235" s="3">
        <v>43080</v>
      </c>
      <c r="G1235" s="2">
        <v>201806</v>
      </c>
      <c r="H1235" s="2" t="s">
        <v>111</v>
      </c>
      <c r="I1235" s="2" t="s">
        <v>112</v>
      </c>
      <c r="J1235" s="2" t="s">
        <v>97</v>
      </c>
      <c r="K1235" s="2" t="s">
        <v>77</v>
      </c>
      <c r="L1235" s="2" t="s">
        <v>158</v>
      </c>
      <c r="M1235" s="2" t="s">
        <v>159</v>
      </c>
      <c r="N1235" s="2" t="s">
        <v>1352</v>
      </c>
      <c r="O1235" s="2" t="s">
        <v>101</v>
      </c>
      <c r="P1235" s="2" t="str">
        <f>"2170604979                    "</f>
        <v xml:space="preserve">2170604979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6.43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</v>
      </c>
      <c r="BJ1235" s="2">
        <v>0.2</v>
      </c>
      <c r="BK1235" s="2">
        <v>1</v>
      </c>
      <c r="BL1235" s="2">
        <v>45.93</v>
      </c>
      <c r="BM1235" s="2">
        <v>6.43</v>
      </c>
      <c r="BN1235" s="2">
        <v>52.36</v>
      </c>
      <c r="BO1235" s="2">
        <v>52.36</v>
      </c>
      <c r="BQ1235" s="2" t="s">
        <v>82</v>
      </c>
      <c r="BR1235" s="2" t="s">
        <v>103</v>
      </c>
      <c r="BS1235" s="2" t="s">
        <v>185</v>
      </c>
      <c r="BY1235" s="2">
        <v>1200</v>
      </c>
      <c r="BZ1235" s="2" t="s">
        <v>27</v>
      </c>
      <c r="CC1235" s="2" t="s">
        <v>159</v>
      </c>
      <c r="CD1235" s="2">
        <v>1</v>
      </c>
      <c r="CE1235" s="2" t="s">
        <v>1737</v>
      </c>
      <c r="CI1235" s="2">
        <v>1</v>
      </c>
      <c r="CJ1235" s="2" t="s">
        <v>185</v>
      </c>
      <c r="CK1235" s="2">
        <v>21</v>
      </c>
      <c r="CL1235" s="2" t="s">
        <v>89</v>
      </c>
    </row>
    <row r="1236" spans="1:90">
      <c r="A1236" s="2" t="s">
        <v>71</v>
      </c>
      <c r="B1236" s="2" t="s">
        <v>72</v>
      </c>
      <c r="C1236" s="2" t="s">
        <v>73</v>
      </c>
      <c r="E1236" s="2" t="str">
        <f>"FES1162594749"</f>
        <v>FES1162594749</v>
      </c>
      <c r="F1236" s="3">
        <v>43080</v>
      </c>
      <c r="G1236" s="2">
        <v>201806</v>
      </c>
      <c r="H1236" s="2" t="s">
        <v>74</v>
      </c>
      <c r="I1236" s="2" t="s">
        <v>75</v>
      </c>
      <c r="J1236" s="2" t="s">
        <v>97</v>
      </c>
      <c r="K1236" s="2" t="s">
        <v>77</v>
      </c>
      <c r="L1236" s="2" t="s">
        <v>462</v>
      </c>
      <c r="M1236" s="2" t="s">
        <v>463</v>
      </c>
      <c r="N1236" s="2" t="s">
        <v>464</v>
      </c>
      <c r="O1236" s="2" t="s">
        <v>101</v>
      </c>
      <c r="P1236" s="2" t="str">
        <f>"2170606570                    "</f>
        <v xml:space="preserve">2170606570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6.43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2</v>
      </c>
      <c r="BJ1236" s="2">
        <v>1.7</v>
      </c>
      <c r="BK1236" s="2">
        <v>2</v>
      </c>
      <c r="BL1236" s="2">
        <v>45.93</v>
      </c>
      <c r="BM1236" s="2">
        <v>6.43</v>
      </c>
      <c r="BN1236" s="2">
        <v>52.36</v>
      </c>
      <c r="BO1236" s="2">
        <v>52.36</v>
      </c>
      <c r="BQ1236" s="2" t="s">
        <v>102</v>
      </c>
      <c r="BR1236" s="2" t="s">
        <v>103</v>
      </c>
      <c r="BS1236" s="3">
        <v>43081</v>
      </c>
      <c r="BT1236" s="4">
        <v>0.41666666666666669</v>
      </c>
      <c r="BU1236" s="2" t="s">
        <v>1738</v>
      </c>
      <c r="BY1236" s="2">
        <v>8269.9699999999993</v>
      </c>
      <c r="CA1236" s="2" t="s">
        <v>1738</v>
      </c>
      <c r="CC1236" s="2" t="s">
        <v>463</v>
      </c>
      <c r="CD1236" s="2">
        <v>7130</v>
      </c>
      <c r="CE1236" s="2" t="s">
        <v>95</v>
      </c>
      <c r="CF1236" s="3">
        <v>43082</v>
      </c>
      <c r="CI1236" s="2">
        <v>0</v>
      </c>
      <c r="CJ1236" s="2">
        <v>0</v>
      </c>
      <c r="CK1236" s="2">
        <v>21</v>
      </c>
      <c r="CL1236" s="2" t="s">
        <v>89</v>
      </c>
    </row>
    <row r="1237" spans="1:90">
      <c r="A1237" s="2" t="s">
        <v>71</v>
      </c>
      <c r="B1237" s="2" t="s">
        <v>72</v>
      </c>
      <c r="C1237" s="2" t="s">
        <v>73</v>
      </c>
      <c r="E1237" s="2" t="str">
        <f>"FES1162594761"</f>
        <v>FES1162594761</v>
      </c>
      <c r="F1237" s="3">
        <v>43080</v>
      </c>
      <c r="G1237" s="2">
        <v>201806</v>
      </c>
      <c r="H1237" s="2" t="s">
        <v>74</v>
      </c>
      <c r="I1237" s="2" t="s">
        <v>75</v>
      </c>
      <c r="J1237" s="2" t="s">
        <v>97</v>
      </c>
      <c r="K1237" s="2" t="s">
        <v>77</v>
      </c>
      <c r="L1237" s="2" t="s">
        <v>145</v>
      </c>
      <c r="M1237" s="2" t="s">
        <v>146</v>
      </c>
      <c r="N1237" s="2" t="s">
        <v>922</v>
      </c>
      <c r="O1237" s="2" t="s">
        <v>101</v>
      </c>
      <c r="P1237" s="2" t="str">
        <f>"2170606654                    "</f>
        <v xml:space="preserve">2170606654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8.0399999999999991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2.5</v>
      </c>
      <c r="BJ1237" s="2">
        <v>1.5</v>
      </c>
      <c r="BK1237" s="2">
        <v>2.5</v>
      </c>
      <c r="BL1237" s="2">
        <v>57.41</v>
      </c>
      <c r="BM1237" s="2">
        <v>8.0399999999999991</v>
      </c>
      <c r="BN1237" s="2">
        <v>65.45</v>
      </c>
      <c r="BO1237" s="2">
        <v>65.45</v>
      </c>
      <c r="BQ1237" s="2" t="s">
        <v>1739</v>
      </c>
      <c r="BR1237" s="2" t="s">
        <v>103</v>
      </c>
      <c r="BS1237" s="3">
        <v>43081</v>
      </c>
      <c r="BT1237" s="4">
        <v>0.39097222222222222</v>
      </c>
      <c r="BU1237" s="2" t="s">
        <v>1740</v>
      </c>
      <c r="BV1237" s="2" t="s">
        <v>85</v>
      </c>
      <c r="BY1237" s="2">
        <v>7320.6</v>
      </c>
      <c r="CA1237" s="2" t="s">
        <v>629</v>
      </c>
      <c r="CC1237" s="2" t="s">
        <v>146</v>
      </c>
      <c r="CD1237" s="2">
        <v>5201</v>
      </c>
      <c r="CE1237" s="2" t="s">
        <v>95</v>
      </c>
      <c r="CF1237" s="3">
        <v>43084</v>
      </c>
      <c r="CI1237" s="2">
        <v>1</v>
      </c>
      <c r="CJ1237" s="2">
        <v>1</v>
      </c>
      <c r="CK1237" s="2">
        <v>21</v>
      </c>
      <c r="CL1237" s="2" t="s">
        <v>89</v>
      </c>
    </row>
    <row r="1238" spans="1:90">
      <c r="A1238" s="2" t="s">
        <v>71</v>
      </c>
      <c r="B1238" s="2" t="s">
        <v>72</v>
      </c>
      <c r="C1238" s="2" t="s">
        <v>73</v>
      </c>
      <c r="E1238" s="2" t="str">
        <f>"FES1162594851"</f>
        <v>FES1162594851</v>
      </c>
      <c r="F1238" s="3">
        <v>43080</v>
      </c>
      <c r="G1238" s="2">
        <v>201806</v>
      </c>
      <c r="H1238" s="2" t="s">
        <v>74</v>
      </c>
      <c r="I1238" s="2" t="s">
        <v>75</v>
      </c>
      <c r="J1238" s="2" t="s">
        <v>97</v>
      </c>
      <c r="K1238" s="2" t="s">
        <v>77</v>
      </c>
      <c r="L1238" s="2" t="s">
        <v>212</v>
      </c>
      <c r="M1238" s="2" t="s">
        <v>212</v>
      </c>
      <c r="N1238" s="2" t="s">
        <v>213</v>
      </c>
      <c r="O1238" s="2" t="s">
        <v>101</v>
      </c>
      <c r="P1238" s="2" t="str">
        <f>"2170606740                    "</f>
        <v xml:space="preserve">2170606740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6.43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1.8</v>
      </c>
      <c r="BJ1238" s="2">
        <v>1.4</v>
      </c>
      <c r="BK1238" s="2">
        <v>2</v>
      </c>
      <c r="BL1238" s="2">
        <v>45.93</v>
      </c>
      <c r="BM1238" s="2">
        <v>6.43</v>
      </c>
      <c r="BN1238" s="2">
        <v>52.36</v>
      </c>
      <c r="BO1238" s="2">
        <v>52.36</v>
      </c>
      <c r="BQ1238" s="2" t="s">
        <v>102</v>
      </c>
      <c r="BR1238" s="2" t="s">
        <v>103</v>
      </c>
      <c r="BS1238" s="3">
        <v>43081</v>
      </c>
      <c r="BT1238" s="4">
        <v>0.60763888888888895</v>
      </c>
      <c r="BU1238" s="2" t="s">
        <v>554</v>
      </c>
      <c r="BV1238" s="2" t="s">
        <v>89</v>
      </c>
      <c r="BW1238" s="2" t="s">
        <v>313</v>
      </c>
      <c r="BX1238" s="2" t="s">
        <v>368</v>
      </c>
      <c r="BY1238" s="2">
        <v>6979.5</v>
      </c>
      <c r="CC1238" s="2" t="s">
        <v>212</v>
      </c>
      <c r="CD1238" s="2">
        <v>7646</v>
      </c>
      <c r="CE1238" s="2" t="s">
        <v>95</v>
      </c>
      <c r="CF1238" s="3">
        <v>43082</v>
      </c>
      <c r="CI1238" s="2">
        <v>1</v>
      </c>
      <c r="CJ1238" s="2">
        <v>1</v>
      </c>
      <c r="CK1238" s="2">
        <v>21</v>
      </c>
      <c r="CL1238" s="2" t="s">
        <v>89</v>
      </c>
    </row>
    <row r="1239" spans="1:90">
      <c r="A1239" s="2" t="s">
        <v>71</v>
      </c>
      <c r="B1239" s="2" t="s">
        <v>72</v>
      </c>
      <c r="C1239" s="2" t="s">
        <v>73</v>
      </c>
      <c r="E1239" s="2" t="str">
        <f>"FES1162594734"</f>
        <v>FES1162594734</v>
      </c>
      <c r="F1239" s="3">
        <v>43080</v>
      </c>
      <c r="G1239" s="2">
        <v>201806</v>
      </c>
      <c r="H1239" s="2" t="s">
        <v>74</v>
      </c>
      <c r="I1239" s="2" t="s">
        <v>75</v>
      </c>
      <c r="J1239" s="2" t="s">
        <v>97</v>
      </c>
      <c r="K1239" s="2" t="s">
        <v>77</v>
      </c>
      <c r="L1239" s="2" t="s">
        <v>860</v>
      </c>
      <c r="M1239" s="2" t="s">
        <v>861</v>
      </c>
      <c r="N1239" s="2" t="s">
        <v>1741</v>
      </c>
      <c r="O1239" s="2" t="s">
        <v>101</v>
      </c>
      <c r="P1239" s="2" t="str">
        <f>"2170606618                    "</f>
        <v xml:space="preserve">2170606618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6.43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1.6</v>
      </c>
      <c r="BJ1239" s="2">
        <v>1.5</v>
      </c>
      <c r="BK1239" s="2">
        <v>2</v>
      </c>
      <c r="BL1239" s="2">
        <v>45.93</v>
      </c>
      <c r="BM1239" s="2">
        <v>6.43</v>
      </c>
      <c r="BN1239" s="2">
        <v>52.36</v>
      </c>
      <c r="BO1239" s="2">
        <v>52.36</v>
      </c>
      <c r="BQ1239" s="2" t="s">
        <v>102</v>
      </c>
      <c r="BR1239" s="2" t="s">
        <v>103</v>
      </c>
      <c r="BS1239" s="3">
        <v>43081</v>
      </c>
      <c r="BT1239" s="4">
        <v>0.41666666666666669</v>
      </c>
      <c r="BU1239" s="2" t="s">
        <v>1742</v>
      </c>
      <c r="BV1239" s="2" t="s">
        <v>85</v>
      </c>
      <c r="BY1239" s="2">
        <v>7313.67</v>
      </c>
      <c r="CA1239" s="2" t="s">
        <v>542</v>
      </c>
      <c r="CC1239" s="2" t="s">
        <v>861</v>
      </c>
      <c r="CD1239" s="2">
        <v>7139</v>
      </c>
      <c r="CE1239" s="2" t="s">
        <v>95</v>
      </c>
      <c r="CF1239" s="3">
        <v>43082</v>
      </c>
      <c r="CI1239" s="2">
        <v>1</v>
      </c>
      <c r="CJ1239" s="2">
        <v>1</v>
      </c>
      <c r="CK1239" s="2">
        <v>21</v>
      </c>
      <c r="CL1239" s="2" t="s">
        <v>89</v>
      </c>
    </row>
    <row r="1240" spans="1:90">
      <c r="A1240" s="2" t="s">
        <v>71</v>
      </c>
      <c r="B1240" s="2" t="s">
        <v>72</v>
      </c>
      <c r="C1240" s="2" t="s">
        <v>73</v>
      </c>
      <c r="E1240" s="2" t="str">
        <f>"FES1162594623"</f>
        <v>FES1162594623</v>
      </c>
      <c r="F1240" s="3">
        <v>43080</v>
      </c>
      <c r="G1240" s="2">
        <v>201806</v>
      </c>
      <c r="H1240" s="2" t="s">
        <v>74</v>
      </c>
      <c r="I1240" s="2" t="s">
        <v>75</v>
      </c>
      <c r="J1240" s="2" t="s">
        <v>97</v>
      </c>
      <c r="K1240" s="2" t="s">
        <v>77</v>
      </c>
      <c r="L1240" s="2" t="s">
        <v>173</v>
      </c>
      <c r="M1240" s="2" t="s">
        <v>174</v>
      </c>
      <c r="N1240" s="2" t="s">
        <v>357</v>
      </c>
      <c r="O1240" s="2" t="s">
        <v>101</v>
      </c>
      <c r="P1240" s="2" t="str">
        <f>"2170606462                    "</f>
        <v xml:space="preserve">2170606462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6.43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1</v>
      </c>
      <c r="BJ1240" s="2">
        <v>0.2</v>
      </c>
      <c r="BK1240" s="2">
        <v>1</v>
      </c>
      <c r="BL1240" s="2">
        <v>45.93</v>
      </c>
      <c r="BM1240" s="2">
        <v>6.43</v>
      </c>
      <c r="BN1240" s="2">
        <v>52.36</v>
      </c>
      <c r="BO1240" s="2">
        <v>52.36</v>
      </c>
      <c r="BQ1240" s="2" t="s">
        <v>358</v>
      </c>
      <c r="BR1240" s="2" t="s">
        <v>103</v>
      </c>
      <c r="BS1240" s="3">
        <v>43081</v>
      </c>
      <c r="BT1240" s="4">
        <v>0.4861111111111111</v>
      </c>
      <c r="BU1240" s="2" t="s">
        <v>359</v>
      </c>
      <c r="BV1240" s="2" t="s">
        <v>89</v>
      </c>
      <c r="BW1240" s="2" t="s">
        <v>149</v>
      </c>
      <c r="BX1240" s="2" t="s">
        <v>246</v>
      </c>
      <c r="BY1240" s="2">
        <v>1200</v>
      </c>
      <c r="CA1240" s="2" t="s">
        <v>360</v>
      </c>
      <c r="CC1240" s="2" t="s">
        <v>174</v>
      </c>
      <c r="CD1240" s="2">
        <v>7405</v>
      </c>
      <c r="CE1240" s="2" t="s">
        <v>120</v>
      </c>
      <c r="CF1240" s="3">
        <v>43082</v>
      </c>
      <c r="CI1240" s="2">
        <v>1</v>
      </c>
      <c r="CJ1240" s="2">
        <v>1</v>
      </c>
      <c r="CK1240" s="2">
        <v>21</v>
      </c>
      <c r="CL1240" s="2" t="s">
        <v>89</v>
      </c>
    </row>
    <row r="1241" spans="1:90">
      <c r="A1241" s="2" t="s">
        <v>71</v>
      </c>
      <c r="B1241" s="2" t="s">
        <v>72</v>
      </c>
      <c r="C1241" s="2" t="s">
        <v>73</v>
      </c>
      <c r="E1241" s="2" t="str">
        <f>"FES1162594876"</f>
        <v>FES1162594876</v>
      </c>
      <c r="F1241" s="3">
        <v>43080</v>
      </c>
      <c r="G1241" s="2">
        <v>201806</v>
      </c>
      <c r="H1241" s="2" t="s">
        <v>74</v>
      </c>
      <c r="I1241" s="2" t="s">
        <v>75</v>
      </c>
      <c r="J1241" s="2" t="s">
        <v>97</v>
      </c>
      <c r="K1241" s="2" t="s">
        <v>77</v>
      </c>
      <c r="L1241" s="2" t="s">
        <v>74</v>
      </c>
      <c r="M1241" s="2" t="s">
        <v>75</v>
      </c>
      <c r="N1241" s="2" t="s">
        <v>1743</v>
      </c>
      <c r="O1241" s="2" t="s">
        <v>101</v>
      </c>
      <c r="P1241" s="2" t="str">
        <f>"2170606772                    "</f>
        <v xml:space="preserve">2170606772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5.03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1</v>
      </c>
      <c r="BJ1241" s="2">
        <v>0.2</v>
      </c>
      <c r="BK1241" s="2">
        <v>1</v>
      </c>
      <c r="BL1241" s="2">
        <v>35.89</v>
      </c>
      <c r="BM1241" s="2">
        <v>5.0199999999999996</v>
      </c>
      <c r="BN1241" s="2">
        <v>40.909999999999997</v>
      </c>
      <c r="BO1241" s="2">
        <v>40.909999999999997</v>
      </c>
      <c r="BQ1241" s="2" t="s">
        <v>1744</v>
      </c>
      <c r="BR1241" s="2" t="s">
        <v>103</v>
      </c>
      <c r="BS1241" s="3">
        <v>43081</v>
      </c>
      <c r="BT1241" s="4">
        <v>0.31805555555555554</v>
      </c>
      <c r="BU1241" s="2" t="s">
        <v>428</v>
      </c>
      <c r="BV1241" s="2" t="s">
        <v>85</v>
      </c>
      <c r="BY1241" s="2">
        <v>1200</v>
      </c>
      <c r="CA1241" s="2" t="s">
        <v>486</v>
      </c>
      <c r="CC1241" s="2" t="s">
        <v>75</v>
      </c>
      <c r="CD1241" s="2">
        <v>1609</v>
      </c>
      <c r="CE1241" s="2" t="s">
        <v>120</v>
      </c>
      <c r="CF1241" s="3">
        <v>43083</v>
      </c>
      <c r="CI1241" s="2">
        <v>1</v>
      </c>
      <c r="CJ1241" s="2">
        <v>1</v>
      </c>
      <c r="CK1241" s="2">
        <v>22</v>
      </c>
      <c r="CL1241" s="2" t="s">
        <v>89</v>
      </c>
    </row>
    <row r="1242" spans="1:90">
      <c r="A1242" s="2" t="s">
        <v>71</v>
      </c>
      <c r="B1242" s="2" t="s">
        <v>72</v>
      </c>
      <c r="C1242" s="2" t="s">
        <v>73</v>
      </c>
      <c r="E1242" s="2" t="str">
        <f>"FES1162594920"</f>
        <v>FES1162594920</v>
      </c>
      <c r="F1242" s="3">
        <v>43080</v>
      </c>
      <c r="G1242" s="2">
        <v>201806</v>
      </c>
      <c r="H1242" s="2" t="s">
        <v>74</v>
      </c>
      <c r="I1242" s="2" t="s">
        <v>75</v>
      </c>
      <c r="J1242" s="2" t="s">
        <v>97</v>
      </c>
      <c r="K1242" s="2" t="s">
        <v>77</v>
      </c>
      <c r="L1242" s="2" t="s">
        <v>173</v>
      </c>
      <c r="M1242" s="2" t="s">
        <v>174</v>
      </c>
      <c r="N1242" s="2" t="s">
        <v>1745</v>
      </c>
      <c r="O1242" s="2" t="s">
        <v>101</v>
      </c>
      <c r="P1242" s="2" t="str">
        <f>"2170606811                    "</f>
        <v xml:space="preserve">2170606811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8.0399999999999991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2.2999999999999998</v>
      </c>
      <c r="BJ1242" s="2">
        <v>1.5</v>
      </c>
      <c r="BK1242" s="2">
        <v>2.5</v>
      </c>
      <c r="BL1242" s="2">
        <v>57.41</v>
      </c>
      <c r="BM1242" s="2">
        <v>8.0399999999999991</v>
      </c>
      <c r="BN1242" s="2">
        <v>65.45</v>
      </c>
      <c r="BO1242" s="2">
        <v>65.45</v>
      </c>
      <c r="BQ1242" s="2" t="s">
        <v>82</v>
      </c>
      <c r="BR1242" s="2" t="s">
        <v>103</v>
      </c>
      <c r="BS1242" s="3">
        <v>43081</v>
      </c>
      <c r="BT1242" s="4">
        <v>0.48819444444444443</v>
      </c>
      <c r="BU1242" s="2" t="s">
        <v>1746</v>
      </c>
      <c r="BV1242" s="2" t="s">
        <v>89</v>
      </c>
      <c r="BW1242" s="2" t="s">
        <v>149</v>
      </c>
      <c r="BX1242" s="2" t="s">
        <v>246</v>
      </c>
      <c r="BY1242" s="2">
        <v>7490</v>
      </c>
      <c r="CA1242" s="2" t="s">
        <v>537</v>
      </c>
      <c r="CC1242" s="2" t="s">
        <v>174</v>
      </c>
      <c r="CD1242" s="2">
        <v>7500</v>
      </c>
      <c r="CE1242" s="2" t="s">
        <v>95</v>
      </c>
      <c r="CF1242" s="3">
        <v>43082</v>
      </c>
      <c r="CI1242" s="2">
        <v>1</v>
      </c>
      <c r="CJ1242" s="2">
        <v>1</v>
      </c>
      <c r="CK1242" s="2">
        <v>21</v>
      </c>
      <c r="CL1242" s="2" t="s">
        <v>89</v>
      </c>
    </row>
    <row r="1243" spans="1:90">
      <c r="A1243" s="2" t="s">
        <v>71</v>
      </c>
      <c r="B1243" s="2" t="s">
        <v>72</v>
      </c>
      <c r="C1243" s="2" t="s">
        <v>73</v>
      </c>
      <c r="E1243" s="2" t="str">
        <f>"FES1162594867"</f>
        <v>FES1162594867</v>
      </c>
      <c r="F1243" s="3">
        <v>43080</v>
      </c>
      <c r="G1243" s="2">
        <v>201806</v>
      </c>
      <c r="H1243" s="2" t="s">
        <v>74</v>
      </c>
      <c r="I1243" s="2" t="s">
        <v>75</v>
      </c>
      <c r="J1243" s="2" t="s">
        <v>97</v>
      </c>
      <c r="K1243" s="2" t="s">
        <v>77</v>
      </c>
      <c r="L1243" s="2" t="s">
        <v>106</v>
      </c>
      <c r="M1243" s="2" t="s">
        <v>107</v>
      </c>
      <c r="N1243" s="2" t="s">
        <v>1747</v>
      </c>
      <c r="O1243" s="2" t="s">
        <v>101</v>
      </c>
      <c r="P1243" s="2" t="str">
        <f>"2170606763                    "</f>
        <v xml:space="preserve">2170606763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5.03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</v>
      </c>
      <c r="BJ1243" s="2">
        <v>2.1</v>
      </c>
      <c r="BK1243" s="2">
        <v>3</v>
      </c>
      <c r="BL1243" s="2">
        <v>35.89</v>
      </c>
      <c r="BM1243" s="2">
        <v>5.0199999999999996</v>
      </c>
      <c r="BN1243" s="2">
        <v>40.909999999999997</v>
      </c>
      <c r="BO1243" s="2">
        <v>40.909999999999997</v>
      </c>
      <c r="BQ1243" s="2" t="s">
        <v>102</v>
      </c>
      <c r="BR1243" s="2" t="s">
        <v>103</v>
      </c>
      <c r="BS1243" s="3">
        <v>43081</v>
      </c>
      <c r="BT1243" s="4">
        <v>0.3743055555555555</v>
      </c>
      <c r="BU1243" s="2" t="s">
        <v>1074</v>
      </c>
      <c r="BV1243" s="2" t="s">
        <v>85</v>
      </c>
      <c r="BY1243" s="2">
        <v>10365.75</v>
      </c>
      <c r="CA1243" s="2" t="s">
        <v>110</v>
      </c>
      <c r="CC1243" s="2" t="s">
        <v>107</v>
      </c>
      <c r="CD1243" s="2">
        <v>2094</v>
      </c>
      <c r="CE1243" s="2" t="s">
        <v>120</v>
      </c>
      <c r="CF1243" s="3">
        <v>43082</v>
      </c>
      <c r="CI1243" s="2">
        <v>1</v>
      </c>
      <c r="CJ1243" s="2">
        <v>1</v>
      </c>
      <c r="CK1243" s="2">
        <v>22</v>
      </c>
      <c r="CL1243" s="2" t="s">
        <v>89</v>
      </c>
    </row>
    <row r="1244" spans="1:90">
      <c r="A1244" s="2" t="s">
        <v>71</v>
      </c>
      <c r="B1244" s="2" t="s">
        <v>72</v>
      </c>
      <c r="C1244" s="2" t="s">
        <v>73</v>
      </c>
      <c r="E1244" s="2" t="str">
        <f>"FES1162594590"</f>
        <v>FES1162594590</v>
      </c>
      <c r="F1244" s="3">
        <v>43080</v>
      </c>
      <c r="G1244" s="2">
        <v>201806</v>
      </c>
      <c r="H1244" s="2" t="s">
        <v>74</v>
      </c>
      <c r="I1244" s="2" t="s">
        <v>75</v>
      </c>
      <c r="J1244" s="2" t="s">
        <v>97</v>
      </c>
      <c r="K1244" s="2" t="s">
        <v>77</v>
      </c>
      <c r="L1244" s="2" t="s">
        <v>883</v>
      </c>
      <c r="M1244" s="2" t="s">
        <v>884</v>
      </c>
      <c r="N1244" s="2" t="s">
        <v>885</v>
      </c>
      <c r="O1244" s="2" t="s">
        <v>101</v>
      </c>
      <c r="P1244" s="2" t="str">
        <f>"21706503897                   "</f>
        <v xml:space="preserve">21706503897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6.43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45.93</v>
      </c>
      <c r="BM1244" s="2">
        <v>6.43</v>
      </c>
      <c r="BN1244" s="2">
        <v>52.36</v>
      </c>
      <c r="BO1244" s="2">
        <v>52.36</v>
      </c>
      <c r="BQ1244" s="2" t="s">
        <v>886</v>
      </c>
      <c r="BR1244" s="2" t="s">
        <v>103</v>
      </c>
      <c r="BS1244" s="3">
        <v>43081</v>
      </c>
      <c r="BT1244" s="4">
        <v>0.41666666666666669</v>
      </c>
      <c r="BU1244" s="2" t="s">
        <v>554</v>
      </c>
      <c r="BV1244" s="2" t="s">
        <v>85</v>
      </c>
      <c r="BY1244" s="2">
        <v>1200</v>
      </c>
      <c r="CA1244" s="2" t="s">
        <v>887</v>
      </c>
      <c r="CC1244" s="2" t="s">
        <v>884</v>
      </c>
      <c r="CD1244" s="2">
        <v>7599</v>
      </c>
      <c r="CE1244" s="2" t="s">
        <v>120</v>
      </c>
      <c r="CF1244" s="3">
        <v>43082</v>
      </c>
      <c r="CI1244" s="2">
        <v>1</v>
      </c>
      <c r="CJ1244" s="2">
        <v>1</v>
      </c>
      <c r="CK1244" s="2">
        <v>21</v>
      </c>
      <c r="CL1244" s="2" t="s">
        <v>89</v>
      </c>
    </row>
    <row r="1245" spans="1:90">
      <c r="A1245" s="2" t="s">
        <v>71</v>
      </c>
      <c r="B1245" s="2" t="s">
        <v>72</v>
      </c>
      <c r="C1245" s="2" t="s">
        <v>73</v>
      </c>
      <c r="E1245" s="2" t="str">
        <f>"FES1162594865"</f>
        <v>FES1162594865</v>
      </c>
      <c r="F1245" s="3">
        <v>43080</v>
      </c>
      <c r="G1245" s="2">
        <v>201806</v>
      </c>
      <c r="H1245" s="2" t="s">
        <v>74</v>
      </c>
      <c r="I1245" s="2" t="s">
        <v>75</v>
      </c>
      <c r="J1245" s="2" t="s">
        <v>97</v>
      </c>
      <c r="K1245" s="2" t="s">
        <v>77</v>
      </c>
      <c r="L1245" s="2" t="s">
        <v>106</v>
      </c>
      <c r="M1245" s="2" t="s">
        <v>107</v>
      </c>
      <c r="N1245" s="2" t="s">
        <v>787</v>
      </c>
      <c r="O1245" s="2" t="s">
        <v>101</v>
      </c>
      <c r="P1245" s="2" t="str">
        <f>"2170606685                    "</f>
        <v xml:space="preserve">2170606685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5.03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5.9</v>
      </c>
      <c r="BJ1245" s="2">
        <v>1.9</v>
      </c>
      <c r="BK1245" s="2">
        <v>6</v>
      </c>
      <c r="BL1245" s="2">
        <v>35.89</v>
      </c>
      <c r="BM1245" s="2">
        <v>5.0199999999999996</v>
      </c>
      <c r="BN1245" s="2">
        <v>40.909999999999997</v>
      </c>
      <c r="BO1245" s="2">
        <v>40.909999999999997</v>
      </c>
      <c r="BQ1245" s="2" t="s">
        <v>102</v>
      </c>
      <c r="BR1245" s="2" t="s">
        <v>103</v>
      </c>
      <c r="BS1245" s="3">
        <v>43081</v>
      </c>
      <c r="BT1245" s="4">
        <v>0.3666666666666667</v>
      </c>
      <c r="BU1245" s="2" t="s">
        <v>788</v>
      </c>
      <c r="BV1245" s="2" t="s">
        <v>85</v>
      </c>
      <c r="BY1245" s="2">
        <v>9349.99</v>
      </c>
      <c r="CA1245" s="2" t="s">
        <v>429</v>
      </c>
      <c r="CC1245" s="2" t="s">
        <v>107</v>
      </c>
      <c r="CD1245" s="2">
        <v>2013</v>
      </c>
      <c r="CE1245" s="2" t="s">
        <v>95</v>
      </c>
      <c r="CF1245" s="3">
        <v>43082</v>
      </c>
      <c r="CI1245" s="2">
        <v>1</v>
      </c>
      <c r="CJ1245" s="2">
        <v>1</v>
      </c>
      <c r="CK1245" s="2">
        <v>22</v>
      </c>
      <c r="CL1245" s="2" t="s">
        <v>89</v>
      </c>
    </row>
    <row r="1246" spans="1:90">
      <c r="A1246" s="2" t="s">
        <v>71</v>
      </c>
      <c r="B1246" s="2" t="s">
        <v>72</v>
      </c>
      <c r="C1246" s="2" t="s">
        <v>73</v>
      </c>
      <c r="E1246" s="2" t="str">
        <f>"FES1162594787"</f>
        <v>FES1162594787</v>
      </c>
      <c r="F1246" s="3">
        <v>43080</v>
      </c>
      <c r="G1246" s="2">
        <v>201806</v>
      </c>
      <c r="H1246" s="2" t="s">
        <v>74</v>
      </c>
      <c r="I1246" s="2" t="s">
        <v>75</v>
      </c>
      <c r="J1246" s="2" t="s">
        <v>97</v>
      </c>
      <c r="K1246" s="2" t="s">
        <v>77</v>
      </c>
      <c r="L1246" s="2" t="s">
        <v>106</v>
      </c>
      <c r="M1246" s="2" t="s">
        <v>107</v>
      </c>
      <c r="N1246" s="2" t="s">
        <v>108</v>
      </c>
      <c r="O1246" s="2" t="s">
        <v>101</v>
      </c>
      <c r="P1246" s="2" t="str">
        <f>"2170604314                    "</f>
        <v xml:space="preserve">2170604314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5.03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1</v>
      </c>
      <c r="BJ1246" s="2">
        <v>0.2</v>
      </c>
      <c r="BK1246" s="2">
        <v>1</v>
      </c>
      <c r="BL1246" s="2">
        <v>35.89</v>
      </c>
      <c r="BM1246" s="2">
        <v>5.0199999999999996</v>
      </c>
      <c r="BN1246" s="2">
        <v>40.909999999999997</v>
      </c>
      <c r="BO1246" s="2">
        <v>40.909999999999997</v>
      </c>
      <c r="BQ1246" s="2" t="s">
        <v>82</v>
      </c>
      <c r="BR1246" s="2" t="s">
        <v>103</v>
      </c>
      <c r="BS1246" s="3">
        <v>43081</v>
      </c>
      <c r="BT1246" s="4">
        <v>0.40486111111111112</v>
      </c>
      <c r="BU1246" s="2" t="s">
        <v>369</v>
      </c>
      <c r="BV1246" s="2" t="s">
        <v>85</v>
      </c>
      <c r="BY1246" s="2">
        <v>1200</v>
      </c>
      <c r="CA1246" s="2" t="s">
        <v>110</v>
      </c>
      <c r="CC1246" s="2" t="s">
        <v>107</v>
      </c>
      <c r="CD1246" s="2">
        <v>2094</v>
      </c>
      <c r="CE1246" s="2" t="s">
        <v>120</v>
      </c>
      <c r="CF1246" s="3">
        <v>43082</v>
      </c>
      <c r="CI1246" s="2">
        <v>1</v>
      </c>
      <c r="CJ1246" s="2">
        <v>1</v>
      </c>
      <c r="CK1246" s="2">
        <v>22</v>
      </c>
      <c r="CL1246" s="2" t="s">
        <v>89</v>
      </c>
    </row>
    <row r="1247" spans="1:90">
      <c r="A1247" s="2" t="s">
        <v>71</v>
      </c>
      <c r="B1247" s="2" t="s">
        <v>72</v>
      </c>
      <c r="C1247" s="2" t="s">
        <v>73</v>
      </c>
      <c r="E1247" s="2" t="str">
        <f>"FES1162594907"</f>
        <v>FES1162594907</v>
      </c>
      <c r="F1247" s="3">
        <v>43080</v>
      </c>
      <c r="G1247" s="2">
        <v>201806</v>
      </c>
      <c r="H1247" s="2" t="s">
        <v>74</v>
      </c>
      <c r="I1247" s="2" t="s">
        <v>75</v>
      </c>
      <c r="J1247" s="2" t="s">
        <v>97</v>
      </c>
      <c r="K1247" s="2" t="s">
        <v>77</v>
      </c>
      <c r="L1247" s="2" t="s">
        <v>835</v>
      </c>
      <c r="M1247" s="2" t="s">
        <v>836</v>
      </c>
      <c r="N1247" s="2" t="s">
        <v>837</v>
      </c>
      <c r="O1247" s="2" t="s">
        <v>101</v>
      </c>
      <c r="P1247" s="2" t="str">
        <f>"2170606808                    "</f>
        <v xml:space="preserve">2170606808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12.47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0.2</v>
      </c>
      <c r="BK1247" s="2">
        <v>1</v>
      </c>
      <c r="BL1247" s="2">
        <v>89</v>
      </c>
      <c r="BM1247" s="2">
        <v>12.46</v>
      </c>
      <c r="BN1247" s="2">
        <v>101.46</v>
      </c>
      <c r="BO1247" s="2">
        <v>101.46</v>
      </c>
      <c r="BQ1247" s="2" t="s">
        <v>102</v>
      </c>
      <c r="BR1247" s="2" t="s">
        <v>103</v>
      </c>
      <c r="BS1247" s="3">
        <v>43082</v>
      </c>
      <c r="BT1247" s="4">
        <v>0.66180555555555554</v>
      </c>
      <c r="BU1247" s="2" t="s">
        <v>998</v>
      </c>
      <c r="BV1247" s="2" t="s">
        <v>89</v>
      </c>
      <c r="BW1247" s="2" t="s">
        <v>156</v>
      </c>
      <c r="BX1247" s="2" t="s">
        <v>839</v>
      </c>
      <c r="BY1247" s="2">
        <v>1200</v>
      </c>
      <c r="CA1247" s="2" t="s">
        <v>840</v>
      </c>
      <c r="CC1247" s="2" t="s">
        <v>836</v>
      </c>
      <c r="CD1247" s="2">
        <v>7349</v>
      </c>
      <c r="CE1247" s="2" t="s">
        <v>120</v>
      </c>
      <c r="CF1247" s="3">
        <v>43082</v>
      </c>
      <c r="CI1247" s="2">
        <v>1</v>
      </c>
      <c r="CJ1247" s="2">
        <v>2</v>
      </c>
      <c r="CK1247" s="2">
        <v>23</v>
      </c>
      <c r="CL1247" s="2" t="s">
        <v>89</v>
      </c>
    </row>
    <row r="1248" spans="1:90">
      <c r="A1248" s="2" t="s">
        <v>71</v>
      </c>
      <c r="B1248" s="2" t="s">
        <v>72</v>
      </c>
      <c r="C1248" s="2" t="s">
        <v>73</v>
      </c>
      <c r="E1248" s="2" t="str">
        <f>"FES1162594631"</f>
        <v>FES1162594631</v>
      </c>
      <c r="F1248" s="3">
        <v>43080</v>
      </c>
      <c r="G1248" s="2">
        <v>201806</v>
      </c>
      <c r="H1248" s="2" t="s">
        <v>74</v>
      </c>
      <c r="I1248" s="2" t="s">
        <v>75</v>
      </c>
      <c r="J1248" s="2" t="s">
        <v>97</v>
      </c>
      <c r="K1248" s="2" t="s">
        <v>77</v>
      </c>
      <c r="L1248" s="2" t="s">
        <v>173</v>
      </c>
      <c r="M1248" s="2" t="s">
        <v>174</v>
      </c>
      <c r="N1248" s="2" t="s">
        <v>232</v>
      </c>
      <c r="O1248" s="2" t="s">
        <v>101</v>
      </c>
      <c r="P1248" s="2" t="str">
        <f>"2170606473                    "</f>
        <v xml:space="preserve">2170606473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6.43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0.2</v>
      </c>
      <c r="BK1248" s="2">
        <v>1</v>
      </c>
      <c r="BL1248" s="2">
        <v>45.93</v>
      </c>
      <c r="BM1248" s="2">
        <v>6.43</v>
      </c>
      <c r="BN1248" s="2">
        <v>52.36</v>
      </c>
      <c r="BO1248" s="2">
        <v>52.36</v>
      </c>
      <c r="BQ1248" s="2" t="s">
        <v>102</v>
      </c>
      <c r="BR1248" s="2" t="s">
        <v>103</v>
      </c>
      <c r="BS1248" s="3">
        <v>43081</v>
      </c>
      <c r="BT1248" s="4">
        <v>0.3888888888888889</v>
      </c>
      <c r="BU1248" s="2" t="s">
        <v>1748</v>
      </c>
      <c r="BV1248" s="2" t="s">
        <v>85</v>
      </c>
      <c r="BY1248" s="2">
        <v>1200</v>
      </c>
      <c r="CA1248" s="2" t="s">
        <v>234</v>
      </c>
      <c r="CC1248" s="2" t="s">
        <v>174</v>
      </c>
      <c r="CD1248" s="2">
        <v>7530</v>
      </c>
      <c r="CE1248" s="2" t="s">
        <v>120</v>
      </c>
      <c r="CF1248" s="3">
        <v>43082</v>
      </c>
      <c r="CI1248" s="2">
        <v>1</v>
      </c>
      <c r="CJ1248" s="2">
        <v>1</v>
      </c>
      <c r="CK1248" s="2">
        <v>21</v>
      </c>
      <c r="CL1248" s="2" t="s">
        <v>89</v>
      </c>
    </row>
    <row r="1249" spans="1:90">
      <c r="A1249" s="2" t="s">
        <v>71</v>
      </c>
      <c r="B1249" s="2" t="s">
        <v>72</v>
      </c>
      <c r="C1249" s="2" t="s">
        <v>73</v>
      </c>
      <c r="E1249" s="2" t="str">
        <f>"FES1162594809"</f>
        <v>FES1162594809</v>
      </c>
      <c r="F1249" s="3">
        <v>43080</v>
      </c>
      <c r="G1249" s="2">
        <v>201806</v>
      </c>
      <c r="H1249" s="2" t="s">
        <v>74</v>
      </c>
      <c r="I1249" s="2" t="s">
        <v>75</v>
      </c>
      <c r="J1249" s="2" t="s">
        <v>97</v>
      </c>
      <c r="K1249" s="2" t="s">
        <v>77</v>
      </c>
      <c r="L1249" s="2" t="s">
        <v>295</v>
      </c>
      <c r="M1249" s="2" t="s">
        <v>296</v>
      </c>
      <c r="N1249" s="2" t="s">
        <v>657</v>
      </c>
      <c r="O1249" s="2" t="s">
        <v>101</v>
      </c>
      <c r="P1249" s="2" t="str">
        <f>"2017060702                    "</f>
        <v xml:space="preserve">2017060702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9.0500000000000007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2</v>
      </c>
      <c r="BJ1249" s="2">
        <v>1.3</v>
      </c>
      <c r="BK1249" s="2">
        <v>2</v>
      </c>
      <c r="BL1249" s="2">
        <v>64.599999999999994</v>
      </c>
      <c r="BM1249" s="2">
        <v>9.0399999999999991</v>
      </c>
      <c r="BN1249" s="2">
        <v>73.64</v>
      </c>
      <c r="BO1249" s="2">
        <v>73.64</v>
      </c>
      <c r="BQ1249" s="2" t="s">
        <v>658</v>
      </c>
      <c r="BR1249" s="2" t="s">
        <v>103</v>
      </c>
      <c r="BS1249" s="3">
        <v>43082</v>
      </c>
      <c r="BT1249" s="4">
        <v>0.55972222222222223</v>
      </c>
      <c r="BU1249" s="2" t="s">
        <v>1749</v>
      </c>
      <c r="BV1249" s="2" t="s">
        <v>89</v>
      </c>
      <c r="BW1249" s="2" t="s">
        <v>156</v>
      </c>
      <c r="BX1249" s="2" t="s">
        <v>668</v>
      </c>
      <c r="BY1249" s="2">
        <v>6336.96</v>
      </c>
      <c r="CC1249" s="2" t="s">
        <v>296</v>
      </c>
      <c r="CD1249" s="2">
        <v>208</v>
      </c>
      <c r="CE1249" s="2" t="s">
        <v>87</v>
      </c>
      <c r="CF1249" s="3">
        <v>43084</v>
      </c>
      <c r="CI1249" s="2">
        <v>1</v>
      </c>
      <c r="CJ1249" s="2">
        <v>2</v>
      </c>
      <c r="CK1249" s="2">
        <v>24</v>
      </c>
      <c r="CL1249" s="2" t="s">
        <v>89</v>
      </c>
    </row>
    <row r="1250" spans="1:90">
      <c r="A1250" s="2" t="s">
        <v>71</v>
      </c>
      <c r="B1250" s="2" t="s">
        <v>72</v>
      </c>
      <c r="C1250" s="2" t="s">
        <v>73</v>
      </c>
      <c r="E1250" s="2" t="str">
        <f>"FES1162594627"</f>
        <v>FES1162594627</v>
      </c>
      <c r="F1250" s="3">
        <v>43080</v>
      </c>
      <c r="G1250" s="2">
        <v>201806</v>
      </c>
      <c r="H1250" s="2" t="s">
        <v>74</v>
      </c>
      <c r="I1250" s="2" t="s">
        <v>75</v>
      </c>
      <c r="J1250" s="2" t="s">
        <v>97</v>
      </c>
      <c r="K1250" s="2" t="s">
        <v>77</v>
      </c>
      <c r="L1250" s="2" t="s">
        <v>158</v>
      </c>
      <c r="M1250" s="2" t="s">
        <v>159</v>
      </c>
      <c r="N1250" s="2" t="s">
        <v>1148</v>
      </c>
      <c r="O1250" s="2" t="s">
        <v>101</v>
      </c>
      <c r="P1250" s="2" t="str">
        <f>"2170606467                    "</f>
        <v xml:space="preserve">2170606467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6.43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</v>
      </c>
      <c r="BJ1250" s="2">
        <v>0.2</v>
      </c>
      <c r="BK1250" s="2">
        <v>1</v>
      </c>
      <c r="BL1250" s="2">
        <v>45.93</v>
      </c>
      <c r="BM1250" s="2">
        <v>6.43</v>
      </c>
      <c r="BN1250" s="2">
        <v>52.36</v>
      </c>
      <c r="BO1250" s="2">
        <v>52.36</v>
      </c>
      <c r="BQ1250" s="2" t="s">
        <v>102</v>
      </c>
      <c r="BR1250" s="2" t="s">
        <v>103</v>
      </c>
      <c r="BS1250" s="3">
        <v>43081</v>
      </c>
      <c r="BT1250" s="4">
        <v>0.41666666666666669</v>
      </c>
      <c r="BU1250" s="2" t="s">
        <v>1750</v>
      </c>
      <c r="BV1250" s="2" t="s">
        <v>85</v>
      </c>
      <c r="BY1250" s="2">
        <v>1200</v>
      </c>
      <c r="CA1250" s="2" t="s">
        <v>362</v>
      </c>
      <c r="CC1250" s="2" t="s">
        <v>159</v>
      </c>
      <c r="CD1250" s="2">
        <v>200</v>
      </c>
      <c r="CE1250" s="2" t="s">
        <v>120</v>
      </c>
      <c r="CF1250" s="3">
        <v>43083</v>
      </c>
      <c r="CI1250" s="2">
        <v>1</v>
      </c>
      <c r="CJ1250" s="2">
        <v>1</v>
      </c>
      <c r="CK1250" s="2">
        <v>21</v>
      </c>
      <c r="CL1250" s="2" t="s">
        <v>89</v>
      </c>
    </row>
    <row r="1251" spans="1:90">
      <c r="A1251" s="2" t="s">
        <v>71</v>
      </c>
      <c r="B1251" s="2" t="s">
        <v>72</v>
      </c>
      <c r="C1251" s="2" t="s">
        <v>73</v>
      </c>
      <c r="E1251" s="2" t="str">
        <f>"FES1162594838"</f>
        <v>FES1162594838</v>
      </c>
      <c r="F1251" s="3">
        <v>43080</v>
      </c>
      <c r="G1251" s="2">
        <v>201806</v>
      </c>
      <c r="H1251" s="2" t="s">
        <v>74</v>
      </c>
      <c r="I1251" s="2" t="s">
        <v>75</v>
      </c>
      <c r="J1251" s="2" t="s">
        <v>97</v>
      </c>
      <c r="K1251" s="2" t="s">
        <v>77</v>
      </c>
      <c r="L1251" s="2" t="s">
        <v>136</v>
      </c>
      <c r="M1251" s="2" t="s">
        <v>137</v>
      </c>
      <c r="N1251" s="2" t="s">
        <v>580</v>
      </c>
      <c r="O1251" s="2" t="s">
        <v>101</v>
      </c>
      <c r="P1251" s="2" t="str">
        <f>"2170606730                    "</f>
        <v xml:space="preserve">2170606730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32.159999999999997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9.6</v>
      </c>
      <c r="BJ1251" s="2">
        <v>6.7</v>
      </c>
      <c r="BK1251" s="2">
        <v>10</v>
      </c>
      <c r="BL1251" s="2">
        <v>229.58</v>
      </c>
      <c r="BM1251" s="2">
        <v>32.14</v>
      </c>
      <c r="BN1251" s="2">
        <v>261.72000000000003</v>
      </c>
      <c r="BO1251" s="2">
        <v>261.72000000000003</v>
      </c>
      <c r="BQ1251" s="2" t="s">
        <v>102</v>
      </c>
      <c r="BR1251" s="2" t="s">
        <v>103</v>
      </c>
      <c r="BS1251" s="3">
        <v>43081</v>
      </c>
      <c r="BT1251" s="4">
        <v>0.30902777777777779</v>
      </c>
      <c r="BU1251" s="2" t="s">
        <v>1751</v>
      </c>
      <c r="BV1251" s="2" t="s">
        <v>85</v>
      </c>
      <c r="BY1251" s="2">
        <v>33589.21</v>
      </c>
      <c r="CA1251" s="2" t="s">
        <v>180</v>
      </c>
      <c r="CC1251" s="2" t="s">
        <v>137</v>
      </c>
      <c r="CD1251" s="2">
        <v>6001</v>
      </c>
      <c r="CE1251" s="2" t="s">
        <v>87</v>
      </c>
      <c r="CF1251" s="3">
        <v>43083</v>
      </c>
      <c r="CI1251" s="2">
        <v>1</v>
      </c>
      <c r="CJ1251" s="2">
        <v>1</v>
      </c>
      <c r="CK1251" s="2">
        <v>21</v>
      </c>
      <c r="CL1251" s="2" t="s">
        <v>89</v>
      </c>
    </row>
    <row r="1252" spans="1:90">
      <c r="A1252" s="2" t="s">
        <v>71</v>
      </c>
      <c r="B1252" s="2" t="s">
        <v>72</v>
      </c>
      <c r="C1252" s="2" t="s">
        <v>73</v>
      </c>
      <c r="E1252" s="2" t="str">
        <f>"FES1162594891"</f>
        <v>FES1162594891</v>
      </c>
      <c r="F1252" s="3">
        <v>43080</v>
      </c>
      <c r="G1252" s="2">
        <v>201806</v>
      </c>
      <c r="H1252" s="2" t="s">
        <v>74</v>
      </c>
      <c r="I1252" s="2" t="s">
        <v>75</v>
      </c>
      <c r="J1252" s="2" t="s">
        <v>97</v>
      </c>
      <c r="K1252" s="2" t="s">
        <v>77</v>
      </c>
      <c r="L1252" s="2" t="s">
        <v>173</v>
      </c>
      <c r="M1252" s="2" t="s">
        <v>174</v>
      </c>
      <c r="N1252" s="2" t="s">
        <v>323</v>
      </c>
      <c r="O1252" s="2" t="s">
        <v>101</v>
      </c>
      <c r="P1252" s="2" t="str">
        <f>"2170606787                    "</f>
        <v xml:space="preserve">2170606787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35.380000000000003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10.8</v>
      </c>
      <c r="BJ1252" s="2">
        <v>4.3</v>
      </c>
      <c r="BK1252" s="2">
        <v>11</v>
      </c>
      <c r="BL1252" s="2">
        <v>252.54</v>
      </c>
      <c r="BM1252" s="2">
        <v>35.36</v>
      </c>
      <c r="BN1252" s="2">
        <v>287.89999999999998</v>
      </c>
      <c r="BO1252" s="2">
        <v>287.89999999999998</v>
      </c>
      <c r="BQ1252" s="2" t="s">
        <v>82</v>
      </c>
      <c r="BR1252" s="2" t="s">
        <v>103</v>
      </c>
      <c r="BS1252" s="3">
        <v>43081</v>
      </c>
      <c r="BT1252" s="4">
        <v>0.41666666666666669</v>
      </c>
      <c r="BU1252" s="2" t="s">
        <v>324</v>
      </c>
      <c r="BV1252" s="2" t="s">
        <v>85</v>
      </c>
      <c r="BY1252" s="2">
        <v>21390.83</v>
      </c>
      <c r="CA1252" s="2" t="s">
        <v>177</v>
      </c>
      <c r="CC1252" s="2" t="s">
        <v>174</v>
      </c>
      <c r="CD1252" s="2">
        <v>7405</v>
      </c>
      <c r="CE1252" s="2" t="s">
        <v>95</v>
      </c>
      <c r="CF1252" s="3">
        <v>43082</v>
      </c>
      <c r="CI1252" s="2">
        <v>1</v>
      </c>
      <c r="CJ1252" s="2">
        <v>1</v>
      </c>
      <c r="CK1252" s="2">
        <v>21</v>
      </c>
      <c r="CL1252" s="2" t="s">
        <v>89</v>
      </c>
    </row>
    <row r="1253" spans="1:90">
      <c r="A1253" s="2" t="s">
        <v>71</v>
      </c>
      <c r="B1253" s="2" t="s">
        <v>72</v>
      </c>
      <c r="C1253" s="2" t="s">
        <v>73</v>
      </c>
      <c r="E1253" s="2" t="str">
        <f>"FES1162594925"</f>
        <v>FES1162594925</v>
      </c>
      <c r="F1253" s="3">
        <v>43080</v>
      </c>
      <c r="G1253" s="2">
        <v>201806</v>
      </c>
      <c r="H1253" s="2" t="s">
        <v>74</v>
      </c>
      <c r="I1253" s="2" t="s">
        <v>75</v>
      </c>
      <c r="J1253" s="2" t="s">
        <v>97</v>
      </c>
      <c r="K1253" s="2" t="s">
        <v>77</v>
      </c>
      <c r="L1253" s="2" t="s">
        <v>136</v>
      </c>
      <c r="M1253" s="2" t="s">
        <v>137</v>
      </c>
      <c r="N1253" s="2" t="s">
        <v>823</v>
      </c>
      <c r="O1253" s="2" t="s">
        <v>101</v>
      </c>
      <c r="P1253" s="2" t="str">
        <f>"217060686828                  "</f>
        <v xml:space="preserve">217060686828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12.87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4</v>
      </c>
      <c r="BJ1253" s="2">
        <v>1.8</v>
      </c>
      <c r="BK1253" s="2">
        <v>4</v>
      </c>
      <c r="BL1253" s="2">
        <v>91.85</v>
      </c>
      <c r="BM1253" s="2">
        <v>12.86</v>
      </c>
      <c r="BN1253" s="2">
        <v>104.71</v>
      </c>
      <c r="BO1253" s="2">
        <v>104.71</v>
      </c>
      <c r="BQ1253" s="2" t="s">
        <v>924</v>
      </c>
      <c r="BR1253" s="2" t="s">
        <v>103</v>
      </c>
      <c r="BS1253" s="3">
        <v>43081</v>
      </c>
      <c r="BT1253" s="4">
        <v>0.33680555555555558</v>
      </c>
      <c r="BU1253" s="2" t="s">
        <v>1031</v>
      </c>
      <c r="BV1253" s="2" t="s">
        <v>85</v>
      </c>
      <c r="BY1253" s="2">
        <v>9123.84</v>
      </c>
      <c r="CA1253" s="2" t="s">
        <v>180</v>
      </c>
      <c r="CC1253" s="2" t="s">
        <v>137</v>
      </c>
      <c r="CD1253" s="2">
        <v>6001</v>
      </c>
      <c r="CE1253" s="2" t="s">
        <v>95</v>
      </c>
      <c r="CF1253" s="3">
        <v>43083</v>
      </c>
      <c r="CI1253" s="2">
        <v>1</v>
      </c>
      <c r="CJ1253" s="2">
        <v>1</v>
      </c>
      <c r="CK1253" s="2">
        <v>21</v>
      </c>
      <c r="CL1253" s="2" t="s">
        <v>89</v>
      </c>
    </row>
    <row r="1254" spans="1:90">
      <c r="A1254" s="2" t="s">
        <v>71</v>
      </c>
      <c r="B1254" s="2" t="s">
        <v>72</v>
      </c>
      <c r="C1254" s="2" t="s">
        <v>73</v>
      </c>
      <c r="E1254" s="2" t="str">
        <f>"FES1162594266"</f>
        <v>FES1162594266</v>
      </c>
      <c r="F1254" s="3">
        <v>43080</v>
      </c>
      <c r="G1254" s="2">
        <v>201806</v>
      </c>
      <c r="H1254" s="2" t="s">
        <v>74</v>
      </c>
      <c r="I1254" s="2" t="s">
        <v>75</v>
      </c>
      <c r="J1254" s="2" t="s">
        <v>97</v>
      </c>
      <c r="K1254" s="2" t="s">
        <v>77</v>
      </c>
      <c r="L1254" s="2" t="s">
        <v>189</v>
      </c>
      <c r="M1254" s="2" t="s">
        <v>190</v>
      </c>
      <c r="N1254" s="2" t="s">
        <v>330</v>
      </c>
      <c r="O1254" s="2" t="s">
        <v>101</v>
      </c>
      <c r="P1254" s="2" t="str">
        <f>"2170605716                    "</f>
        <v xml:space="preserve">2170605716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6.43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</v>
      </c>
      <c r="BJ1254" s="2">
        <v>0.2</v>
      </c>
      <c r="BK1254" s="2">
        <v>1</v>
      </c>
      <c r="BL1254" s="2">
        <v>45.93</v>
      </c>
      <c r="BM1254" s="2">
        <v>6.43</v>
      </c>
      <c r="BN1254" s="2">
        <v>52.36</v>
      </c>
      <c r="BO1254" s="2">
        <v>52.36</v>
      </c>
      <c r="BQ1254" s="2" t="s">
        <v>331</v>
      </c>
      <c r="BR1254" s="2" t="s">
        <v>103</v>
      </c>
      <c r="BS1254" s="3">
        <v>43081</v>
      </c>
      <c r="BT1254" s="4">
        <v>0.4375</v>
      </c>
      <c r="BU1254" s="2" t="s">
        <v>332</v>
      </c>
      <c r="BV1254" s="2" t="s">
        <v>85</v>
      </c>
      <c r="BY1254" s="2">
        <v>1200</v>
      </c>
      <c r="CC1254" s="2" t="s">
        <v>190</v>
      </c>
      <c r="CD1254" s="2">
        <v>157</v>
      </c>
      <c r="CE1254" s="2" t="s">
        <v>120</v>
      </c>
      <c r="CF1254" s="3">
        <v>43082</v>
      </c>
      <c r="CI1254" s="2">
        <v>1</v>
      </c>
      <c r="CJ1254" s="2">
        <v>1</v>
      </c>
      <c r="CK1254" s="2">
        <v>21</v>
      </c>
      <c r="CL1254" s="2" t="s">
        <v>89</v>
      </c>
    </row>
    <row r="1255" spans="1:90">
      <c r="A1255" s="2" t="s">
        <v>71</v>
      </c>
      <c r="B1255" s="2" t="s">
        <v>72</v>
      </c>
      <c r="C1255" s="2" t="s">
        <v>73</v>
      </c>
      <c r="E1255" s="2" t="str">
        <f>"FES1162594938"</f>
        <v>FES1162594938</v>
      </c>
      <c r="F1255" s="3">
        <v>43080</v>
      </c>
      <c r="G1255" s="2">
        <v>201806</v>
      </c>
      <c r="H1255" s="2" t="s">
        <v>74</v>
      </c>
      <c r="I1255" s="2" t="s">
        <v>75</v>
      </c>
      <c r="J1255" s="2" t="s">
        <v>97</v>
      </c>
      <c r="K1255" s="2" t="s">
        <v>77</v>
      </c>
      <c r="L1255" s="2" t="s">
        <v>106</v>
      </c>
      <c r="M1255" s="2" t="s">
        <v>107</v>
      </c>
      <c r="N1255" s="2" t="s">
        <v>108</v>
      </c>
      <c r="O1255" s="2" t="s">
        <v>101</v>
      </c>
      <c r="P1255" s="2" t="str">
        <f>"2170606849                    "</f>
        <v xml:space="preserve">2170606849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5.03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4</v>
      </c>
      <c r="BJ1255" s="2">
        <v>4.4000000000000004</v>
      </c>
      <c r="BK1255" s="2">
        <v>5</v>
      </c>
      <c r="BL1255" s="2">
        <v>35.89</v>
      </c>
      <c r="BM1255" s="2">
        <v>5.0199999999999996</v>
      </c>
      <c r="BN1255" s="2">
        <v>40.909999999999997</v>
      </c>
      <c r="BO1255" s="2">
        <v>40.909999999999997</v>
      </c>
      <c r="BQ1255" s="2" t="s">
        <v>82</v>
      </c>
      <c r="BR1255" s="2" t="s">
        <v>103</v>
      </c>
      <c r="BS1255" s="3">
        <v>43081</v>
      </c>
      <c r="BT1255" s="4">
        <v>0.4069444444444445</v>
      </c>
      <c r="BU1255" s="2" t="s">
        <v>369</v>
      </c>
      <c r="BV1255" s="2" t="s">
        <v>85</v>
      </c>
      <c r="BY1255" s="2">
        <v>21780</v>
      </c>
      <c r="CA1255" s="2" t="s">
        <v>110</v>
      </c>
      <c r="CC1255" s="2" t="s">
        <v>107</v>
      </c>
      <c r="CD1255" s="2">
        <v>2094</v>
      </c>
      <c r="CE1255" s="2" t="s">
        <v>356</v>
      </c>
      <c r="CF1255" s="3">
        <v>43082</v>
      </c>
      <c r="CI1255" s="2">
        <v>1</v>
      </c>
      <c r="CJ1255" s="2">
        <v>1</v>
      </c>
      <c r="CK1255" s="2">
        <v>22</v>
      </c>
      <c r="CL1255" s="2" t="s">
        <v>89</v>
      </c>
    </row>
    <row r="1256" spans="1:90">
      <c r="A1256" s="2" t="s">
        <v>71</v>
      </c>
      <c r="B1256" s="2" t="s">
        <v>72</v>
      </c>
      <c r="C1256" s="2" t="s">
        <v>73</v>
      </c>
      <c r="E1256" s="2" t="str">
        <f>"FES1162594939"</f>
        <v>FES1162594939</v>
      </c>
      <c r="F1256" s="3">
        <v>43080</v>
      </c>
      <c r="G1256" s="2">
        <v>201806</v>
      </c>
      <c r="H1256" s="2" t="s">
        <v>74</v>
      </c>
      <c r="I1256" s="2" t="s">
        <v>75</v>
      </c>
      <c r="J1256" s="2" t="s">
        <v>97</v>
      </c>
      <c r="K1256" s="2" t="s">
        <v>77</v>
      </c>
      <c r="L1256" s="2" t="s">
        <v>173</v>
      </c>
      <c r="M1256" s="2" t="s">
        <v>174</v>
      </c>
      <c r="N1256" s="2" t="s">
        <v>1745</v>
      </c>
      <c r="O1256" s="2" t="s">
        <v>101</v>
      </c>
      <c r="P1256" s="2" t="str">
        <f>"2170606811                    "</f>
        <v xml:space="preserve">2170606811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6.43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1</v>
      </c>
      <c r="BJ1256" s="2">
        <v>0.2</v>
      </c>
      <c r="BK1256" s="2">
        <v>1</v>
      </c>
      <c r="BL1256" s="2">
        <v>45.93</v>
      </c>
      <c r="BM1256" s="2">
        <v>6.43</v>
      </c>
      <c r="BN1256" s="2">
        <v>52.36</v>
      </c>
      <c r="BO1256" s="2">
        <v>52.36</v>
      </c>
      <c r="BQ1256" s="2" t="s">
        <v>82</v>
      </c>
      <c r="BR1256" s="2" t="s">
        <v>103</v>
      </c>
      <c r="BS1256" s="3">
        <v>43081</v>
      </c>
      <c r="BT1256" s="4">
        <v>0.48819444444444443</v>
      </c>
      <c r="BU1256" s="2" t="s">
        <v>1746</v>
      </c>
      <c r="BV1256" s="2" t="s">
        <v>89</v>
      </c>
      <c r="BW1256" s="2" t="s">
        <v>149</v>
      </c>
      <c r="BX1256" s="2" t="s">
        <v>246</v>
      </c>
      <c r="BY1256" s="2">
        <v>1200</v>
      </c>
      <c r="CA1256" s="2" t="s">
        <v>537</v>
      </c>
      <c r="CC1256" s="2" t="s">
        <v>174</v>
      </c>
      <c r="CD1256" s="2">
        <v>7500</v>
      </c>
      <c r="CE1256" s="2" t="s">
        <v>120</v>
      </c>
      <c r="CF1256" s="3">
        <v>43082</v>
      </c>
      <c r="CI1256" s="2">
        <v>1</v>
      </c>
      <c r="CJ1256" s="2">
        <v>1</v>
      </c>
      <c r="CK1256" s="2">
        <v>21</v>
      </c>
      <c r="CL1256" s="2" t="s">
        <v>89</v>
      </c>
    </row>
    <row r="1257" spans="1:90">
      <c r="A1257" s="2" t="s">
        <v>71</v>
      </c>
      <c r="B1257" s="2" t="s">
        <v>72</v>
      </c>
      <c r="C1257" s="2" t="s">
        <v>73</v>
      </c>
      <c r="E1257" s="2" t="str">
        <f>"FES1162594736"</f>
        <v>FES1162594736</v>
      </c>
      <c r="F1257" s="3">
        <v>43080</v>
      </c>
      <c r="G1257" s="2">
        <v>201806</v>
      </c>
      <c r="H1257" s="2" t="s">
        <v>74</v>
      </c>
      <c r="I1257" s="2" t="s">
        <v>75</v>
      </c>
      <c r="J1257" s="2" t="s">
        <v>97</v>
      </c>
      <c r="K1257" s="2" t="s">
        <v>77</v>
      </c>
      <c r="L1257" s="2" t="s">
        <v>173</v>
      </c>
      <c r="M1257" s="2" t="s">
        <v>174</v>
      </c>
      <c r="N1257" s="2" t="s">
        <v>1752</v>
      </c>
      <c r="O1257" s="2" t="s">
        <v>101</v>
      </c>
      <c r="P1257" s="2" t="str">
        <f>"2170606620                    "</f>
        <v xml:space="preserve">2170606620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6.43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1</v>
      </c>
      <c r="BJ1257" s="2">
        <v>0.2</v>
      </c>
      <c r="BK1257" s="2">
        <v>1</v>
      </c>
      <c r="BL1257" s="2">
        <v>45.93</v>
      </c>
      <c r="BM1257" s="2">
        <v>6.43</v>
      </c>
      <c r="BN1257" s="2">
        <v>52.36</v>
      </c>
      <c r="BO1257" s="2">
        <v>52.36</v>
      </c>
      <c r="BQ1257" s="2" t="s">
        <v>102</v>
      </c>
      <c r="BR1257" s="2" t="s">
        <v>103</v>
      </c>
      <c r="BS1257" s="3">
        <v>43081</v>
      </c>
      <c r="BT1257" s="4">
        <v>0.41666666666666669</v>
      </c>
      <c r="BU1257" s="2" t="s">
        <v>324</v>
      </c>
      <c r="BV1257" s="2" t="s">
        <v>85</v>
      </c>
      <c r="BY1257" s="2">
        <v>1200</v>
      </c>
      <c r="CC1257" s="2" t="s">
        <v>174</v>
      </c>
      <c r="CD1257" s="2">
        <v>7441</v>
      </c>
      <c r="CE1257" s="2" t="s">
        <v>120</v>
      </c>
      <c r="CF1257" s="3">
        <v>43082</v>
      </c>
      <c r="CI1257" s="2">
        <v>1</v>
      </c>
      <c r="CJ1257" s="2">
        <v>1</v>
      </c>
      <c r="CK1257" s="2">
        <v>21</v>
      </c>
      <c r="CL1257" s="2" t="s">
        <v>89</v>
      </c>
    </row>
    <row r="1258" spans="1:90">
      <c r="A1258" s="2" t="s">
        <v>71</v>
      </c>
      <c r="B1258" s="2" t="s">
        <v>72</v>
      </c>
      <c r="C1258" s="2" t="s">
        <v>73</v>
      </c>
      <c r="E1258" s="2" t="str">
        <f>"FES1162594884"</f>
        <v>FES1162594884</v>
      </c>
      <c r="F1258" s="3">
        <v>43080</v>
      </c>
      <c r="G1258" s="2">
        <v>201806</v>
      </c>
      <c r="H1258" s="2" t="s">
        <v>74</v>
      </c>
      <c r="I1258" s="2" t="s">
        <v>75</v>
      </c>
      <c r="J1258" s="2" t="s">
        <v>97</v>
      </c>
      <c r="K1258" s="2" t="s">
        <v>77</v>
      </c>
      <c r="L1258" s="2" t="s">
        <v>277</v>
      </c>
      <c r="M1258" s="2" t="s">
        <v>278</v>
      </c>
      <c r="N1258" s="2" t="s">
        <v>1092</v>
      </c>
      <c r="O1258" s="2" t="s">
        <v>101</v>
      </c>
      <c r="P1258" s="2" t="str">
        <f>"2170606779                    "</f>
        <v xml:space="preserve">2170606779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5.03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</v>
      </c>
      <c r="BJ1258" s="2">
        <v>0.2</v>
      </c>
      <c r="BK1258" s="2">
        <v>1</v>
      </c>
      <c r="BL1258" s="2">
        <v>35.89</v>
      </c>
      <c r="BM1258" s="2">
        <v>5.0199999999999996</v>
      </c>
      <c r="BN1258" s="2">
        <v>40.909999999999997</v>
      </c>
      <c r="BO1258" s="2">
        <v>40.909999999999997</v>
      </c>
      <c r="BQ1258" s="2" t="s">
        <v>102</v>
      </c>
      <c r="BR1258" s="2" t="s">
        <v>103</v>
      </c>
      <c r="BS1258" s="3">
        <v>43081</v>
      </c>
      <c r="BT1258" s="4">
        <v>0.4375</v>
      </c>
      <c r="BU1258" s="2" t="s">
        <v>106</v>
      </c>
      <c r="BV1258" s="2" t="s">
        <v>85</v>
      </c>
      <c r="BY1258" s="2">
        <v>1200</v>
      </c>
      <c r="CA1258" s="2" t="s">
        <v>320</v>
      </c>
      <c r="CC1258" s="2" t="s">
        <v>278</v>
      </c>
      <c r="CD1258" s="2">
        <v>2158</v>
      </c>
      <c r="CE1258" s="2" t="s">
        <v>120</v>
      </c>
      <c r="CF1258" s="3">
        <v>43083</v>
      </c>
      <c r="CI1258" s="2">
        <v>1</v>
      </c>
      <c r="CJ1258" s="2">
        <v>1</v>
      </c>
      <c r="CK1258" s="2">
        <v>22</v>
      </c>
      <c r="CL1258" s="2" t="s">
        <v>89</v>
      </c>
    </row>
    <row r="1259" spans="1:90">
      <c r="A1259" s="2" t="s">
        <v>71</v>
      </c>
      <c r="B1259" s="2" t="s">
        <v>72</v>
      </c>
      <c r="C1259" s="2" t="s">
        <v>73</v>
      </c>
      <c r="E1259" s="2" t="str">
        <f>"FES1162594773"</f>
        <v>FES1162594773</v>
      </c>
      <c r="F1259" s="3">
        <v>43080</v>
      </c>
      <c r="G1259" s="2">
        <v>201806</v>
      </c>
      <c r="H1259" s="2" t="s">
        <v>74</v>
      </c>
      <c r="I1259" s="2" t="s">
        <v>75</v>
      </c>
      <c r="J1259" s="2" t="s">
        <v>97</v>
      </c>
      <c r="K1259" s="2" t="s">
        <v>77</v>
      </c>
      <c r="L1259" s="2" t="s">
        <v>173</v>
      </c>
      <c r="M1259" s="2" t="s">
        <v>174</v>
      </c>
      <c r="N1259" s="2" t="s">
        <v>1753</v>
      </c>
      <c r="O1259" s="2" t="s">
        <v>101</v>
      </c>
      <c r="P1259" s="2" t="str">
        <f>"2170606678                    "</f>
        <v xml:space="preserve">2170606678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6.43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45.93</v>
      </c>
      <c r="BM1259" s="2">
        <v>6.43</v>
      </c>
      <c r="BN1259" s="2">
        <v>52.36</v>
      </c>
      <c r="BO1259" s="2">
        <v>52.36</v>
      </c>
      <c r="BQ1259" s="2" t="s">
        <v>82</v>
      </c>
      <c r="BR1259" s="2" t="s">
        <v>103</v>
      </c>
      <c r="BS1259" s="3">
        <v>43081</v>
      </c>
      <c r="BT1259" s="4">
        <v>0.43611111111111112</v>
      </c>
      <c r="BU1259" s="2" t="s">
        <v>1754</v>
      </c>
      <c r="BV1259" s="2" t="s">
        <v>85</v>
      </c>
      <c r="BY1259" s="2">
        <v>1200</v>
      </c>
      <c r="CA1259" s="2" t="s">
        <v>247</v>
      </c>
      <c r="CC1259" s="2" t="s">
        <v>174</v>
      </c>
      <c r="CD1259" s="2">
        <v>7530</v>
      </c>
      <c r="CE1259" s="2" t="s">
        <v>120</v>
      </c>
      <c r="CF1259" s="3">
        <v>43082</v>
      </c>
      <c r="CI1259" s="2">
        <v>1</v>
      </c>
      <c r="CJ1259" s="2">
        <v>1</v>
      </c>
      <c r="CK1259" s="2">
        <v>21</v>
      </c>
      <c r="CL1259" s="2" t="s">
        <v>89</v>
      </c>
    </row>
    <row r="1260" spans="1:90">
      <c r="A1260" s="2" t="s">
        <v>71</v>
      </c>
      <c r="B1260" s="2" t="s">
        <v>72</v>
      </c>
      <c r="C1260" s="2" t="s">
        <v>73</v>
      </c>
      <c r="E1260" s="2" t="str">
        <f>"FES1162594643"</f>
        <v>FES1162594643</v>
      </c>
      <c r="F1260" s="3">
        <v>43080</v>
      </c>
      <c r="G1260" s="2">
        <v>201806</v>
      </c>
      <c r="H1260" s="2" t="s">
        <v>74</v>
      </c>
      <c r="I1260" s="2" t="s">
        <v>75</v>
      </c>
      <c r="J1260" s="2" t="s">
        <v>97</v>
      </c>
      <c r="K1260" s="2" t="s">
        <v>77</v>
      </c>
      <c r="L1260" s="2" t="s">
        <v>90</v>
      </c>
      <c r="M1260" s="2" t="s">
        <v>91</v>
      </c>
      <c r="N1260" s="2" t="s">
        <v>1158</v>
      </c>
      <c r="O1260" s="2" t="s">
        <v>101</v>
      </c>
      <c r="P1260" s="2" t="str">
        <f>"2170606489                    "</f>
        <v xml:space="preserve">2170606489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5.03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</v>
      </c>
      <c r="BJ1260" s="2">
        <v>0.2</v>
      </c>
      <c r="BK1260" s="2">
        <v>1</v>
      </c>
      <c r="BL1260" s="2">
        <v>35.89</v>
      </c>
      <c r="BM1260" s="2">
        <v>5.0199999999999996</v>
      </c>
      <c r="BN1260" s="2">
        <v>40.909999999999997</v>
      </c>
      <c r="BO1260" s="2">
        <v>40.909999999999997</v>
      </c>
      <c r="BQ1260" s="2" t="s">
        <v>102</v>
      </c>
      <c r="BR1260" s="2" t="s">
        <v>103</v>
      </c>
      <c r="BS1260" s="3">
        <v>43081</v>
      </c>
      <c r="BT1260" s="4">
        <v>0.57430555555555551</v>
      </c>
      <c r="BU1260" s="2" t="s">
        <v>1160</v>
      </c>
      <c r="BV1260" s="2" t="s">
        <v>89</v>
      </c>
      <c r="BW1260" s="2" t="s">
        <v>156</v>
      </c>
      <c r="BX1260" s="2" t="s">
        <v>157</v>
      </c>
      <c r="BY1260" s="2">
        <v>1200</v>
      </c>
      <c r="CA1260" s="2" t="s">
        <v>347</v>
      </c>
      <c r="CC1260" s="2" t="s">
        <v>91</v>
      </c>
      <c r="CD1260" s="2">
        <v>1559</v>
      </c>
      <c r="CE1260" s="2" t="s">
        <v>120</v>
      </c>
      <c r="CF1260" s="3">
        <v>43082</v>
      </c>
      <c r="CI1260" s="2">
        <v>1</v>
      </c>
      <c r="CJ1260" s="2">
        <v>1</v>
      </c>
      <c r="CK1260" s="2">
        <v>22</v>
      </c>
      <c r="CL1260" s="2" t="s">
        <v>89</v>
      </c>
    </row>
    <row r="1261" spans="1:90">
      <c r="A1261" s="2" t="s">
        <v>71</v>
      </c>
      <c r="B1261" s="2" t="s">
        <v>72</v>
      </c>
      <c r="C1261" s="2" t="s">
        <v>73</v>
      </c>
      <c r="E1261" s="2" t="str">
        <f>"FES1162594972"</f>
        <v>FES1162594972</v>
      </c>
      <c r="F1261" s="3">
        <v>43080</v>
      </c>
      <c r="G1261" s="2">
        <v>201806</v>
      </c>
      <c r="H1261" s="2" t="s">
        <v>74</v>
      </c>
      <c r="I1261" s="2" t="s">
        <v>75</v>
      </c>
      <c r="J1261" s="2" t="s">
        <v>97</v>
      </c>
      <c r="K1261" s="2" t="s">
        <v>77</v>
      </c>
      <c r="L1261" s="2" t="s">
        <v>106</v>
      </c>
      <c r="M1261" s="2" t="s">
        <v>107</v>
      </c>
      <c r="N1261" s="2" t="s">
        <v>108</v>
      </c>
      <c r="O1261" s="2" t="s">
        <v>101</v>
      </c>
      <c r="P1261" s="2" t="str">
        <f>"2170606862                    "</f>
        <v xml:space="preserve">2170606862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5.03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</v>
      </c>
      <c r="BJ1261" s="2">
        <v>0.2</v>
      </c>
      <c r="BK1261" s="2">
        <v>1</v>
      </c>
      <c r="BL1261" s="2">
        <v>35.89</v>
      </c>
      <c r="BM1261" s="2">
        <v>5.0199999999999996</v>
      </c>
      <c r="BN1261" s="2">
        <v>40.909999999999997</v>
      </c>
      <c r="BO1261" s="2">
        <v>40.909999999999997</v>
      </c>
      <c r="BQ1261" s="2" t="s">
        <v>82</v>
      </c>
      <c r="BR1261" s="2" t="s">
        <v>103</v>
      </c>
      <c r="BS1261" s="3">
        <v>43081</v>
      </c>
      <c r="BT1261" s="4">
        <v>0.40416666666666662</v>
      </c>
      <c r="BU1261" s="2" t="s">
        <v>369</v>
      </c>
      <c r="BV1261" s="2" t="s">
        <v>85</v>
      </c>
      <c r="BY1261" s="2">
        <v>1200</v>
      </c>
      <c r="CA1261" s="2" t="s">
        <v>110</v>
      </c>
      <c r="CC1261" s="2" t="s">
        <v>107</v>
      </c>
      <c r="CD1261" s="2">
        <v>2094</v>
      </c>
      <c r="CE1261" s="2" t="s">
        <v>120</v>
      </c>
      <c r="CF1261" s="3">
        <v>43082</v>
      </c>
      <c r="CI1261" s="2">
        <v>1</v>
      </c>
      <c r="CJ1261" s="2">
        <v>1</v>
      </c>
      <c r="CK1261" s="2">
        <v>22</v>
      </c>
      <c r="CL1261" s="2" t="s">
        <v>89</v>
      </c>
    </row>
    <row r="1262" spans="1:90">
      <c r="A1262" s="2" t="s">
        <v>71</v>
      </c>
      <c r="B1262" s="2" t="s">
        <v>72</v>
      </c>
      <c r="C1262" s="2" t="s">
        <v>73</v>
      </c>
      <c r="E1262" s="2" t="str">
        <f>"FES1162594655"</f>
        <v>FES1162594655</v>
      </c>
      <c r="F1262" s="3">
        <v>43080</v>
      </c>
      <c r="G1262" s="2">
        <v>201806</v>
      </c>
      <c r="H1262" s="2" t="s">
        <v>74</v>
      </c>
      <c r="I1262" s="2" t="s">
        <v>75</v>
      </c>
      <c r="J1262" s="2" t="s">
        <v>97</v>
      </c>
      <c r="K1262" s="2" t="s">
        <v>77</v>
      </c>
      <c r="L1262" s="2" t="s">
        <v>90</v>
      </c>
      <c r="M1262" s="2" t="s">
        <v>91</v>
      </c>
      <c r="N1262" s="2" t="s">
        <v>1158</v>
      </c>
      <c r="O1262" s="2" t="s">
        <v>101</v>
      </c>
      <c r="P1262" s="2" t="str">
        <f>"2170606508                    "</f>
        <v xml:space="preserve">2170606508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5.03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4</v>
      </c>
      <c r="BJ1262" s="2">
        <v>3.7</v>
      </c>
      <c r="BK1262" s="2">
        <v>4</v>
      </c>
      <c r="BL1262" s="2">
        <v>35.89</v>
      </c>
      <c r="BM1262" s="2">
        <v>5.0199999999999996</v>
      </c>
      <c r="BN1262" s="2">
        <v>40.909999999999997</v>
      </c>
      <c r="BO1262" s="2">
        <v>40.909999999999997</v>
      </c>
      <c r="BQ1262" s="2" t="s">
        <v>1159</v>
      </c>
      <c r="BR1262" s="2" t="s">
        <v>103</v>
      </c>
      <c r="BS1262" s="3">
        <v>43081</v>
      </c>
      <c r="BT1262" s="4">
        <v>0.41666666666666669</v>
      </c>
      <c r="BU1262" s="2" t="s">
        <v>1160</v>
      </c>
      <c r="BV1262" s="2" t="s">
        <v>85</v>
      </c>
      <c r="BY1262" s="2">
        <v>18259</v>
      </c>
      <c r="CA1262" s="2" t="s">
        <v>347</v>
      </c>
      <c r="CC1262" s="2" t="s">
        <v>91</v>
      </c>
      <c r="CD1262" s="2">
        <v>1559</v>
      </c>
      <c r="CE1262" s="2" t="s">
        <v>87</v>
      </c>
      <c r="CF1262" s="3">
        <v>43082</v>
      </c>
      <c r="CI1262" s="2">
        <v>1</v>
      </c>
      <c r="CJ1262" s="2">
        <v>1</v>
      </c>
      <c r="CK1262" s="2">
        <v>22</v>
      </c>
      <c r="CL1262" s="2" t="s">
        <v>89</v>
      </c>
    </row>
    <row r="1263" spans="1:90">
      <c r="A1263" s="2" t="s">
        <v>71</v>
      </c>
      <c r="B1263" s="2" t="s">
        <v>72</v>
      </c>
      <c r="C1263" s="2" t="s">
        <v>73</v>
      </c>
      <c r="E1263" s="2" t="str">
        <f>"FES1162594738"</f>
        <v>FES1162594738</v>
      </c>
      <c r="F1263" s="3">
        <v>43080</v>
      </c>
      <c r="G1263" s="2">
        <v>201806</v>
      </c>
      <c r="H1263" s="2" t="s">
        <v>74</v>
      </c>
      <c r="I1263" s="2" t="s">
        <v>75</v>
      </c>
      <c r="J1263" s="2" t="s">
        <v>97</v>
      </c>
      <c r="K1263" s="2" t="s">
        <v>77</v>
      </c>
      <c r="L1263" s="2" t="s">
        <v>173</v>
      </c>
      <c r="M1263" s="2" t="s">
        <v>174</v>
      </c>
      <c r="N1263" s="2" t="s">
        <v>1755</v>
      </c>
      <c r="O1263" s="2" t="s">
        <v>101</v>
      </c>
      <c r="P1263" s="2" t="str">
        <f>"2170606622                    "</f>
        <v xml:space="preserve">2170606622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6.43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1</v>
      </c>
      <c r="BJ1263" s="2">
        <v>0.2</v>
      </c>
      <c r="BK1263" s="2">
        <v>1</v>
      </c>
      <c r="BL1263" s="2">
        <v>45.93</v>
      </c>
      <c r="BM1263" s="2">
        <v>6.43</v>
      </c>
      <c r="BN1263" s="2">
        <v>52.36</v>
      </c>
      <c r="BO1263" s="2">
        <v>52.36</v>
      </c>
      <c r="BQ1263" s="2" t="s">
        <v>82</v>
      </c>
      <c r="BR1263" s="2" t="s">
        <v>103</v>
      </c>
      <c r="BS1263" s="3">
        <v>43081</v>
      </c>
      <c r="BT1263" s="4">
        <v>0.41666666666666669</v>
      </c>
      <c r="BU1263" s="2" t="s">
        <v>1756</v>
      </c>
      <c r="BV1263" s="2" t="s">
        <v>85</v>
      </c>
      <c r="BY1263" s="2">
        <v>1200</v>
      </c>
      <c r="CA1263" s="2" t="s">
        <v>1261</v>
      </c>
      <c r="CC1263" s="2" t="s">
        <v>174</v>
      </c>
      <c r="CD1263" s="2">
        <v>8000</v>
      </c>
      <c r="CE1263" s="2" t="s">
        <v>120</v>
      </c>
      <c r="CF1263" s="3">
        <v>43082</v>
      </c>
      <c r="CI1263" s="2">
        <v>1</v>
      </c>
      <c r="CJ1263" s="2">
        <v>1</v>
      </c>
      <c r="CK1263" s="2">
        <v>21</v>
      </c>
      <c r="CL1263" s="2" t="s">
        <v>89</v>
      </c>
    </row>
    <row r="1264" spans="1:90">
      <c r="A1264" s="2" t="s">
        <v>71</v>
      </c>
      <c r="B1264" s="2" t="s">
        <v>72</v>
      </c>
      <c r="C1264" s="2" t="s">
        <v>73</v>
      </c>
      <c r="E1264" s="2" t="str">
        <f>"FES1162594733"</f>
        <v>FES1162594733</v>
      </c>
      <c r="F1264" s="3">
        <v>43080</v>
      </c>
      <c r="G1264" s="2">
        <v>201806</v>
      </c>
      <c r="H1264" s="2" t="s">
        <v>74</v>
      </c>
      <c r="I1264" s="2" t="s">
        <v>75</v>
      </c>
      <c r="J1264" s="2" t="s">
        <v>97</v>
      </c>
      <c r="K1264" s="2" t="s">
        <v>77</v>
      </c>
      <c r="L1264" s="2" t="s">
        <v>173</v>
      </c>
      <c r="M1264" s="2" t="s">
        <v>174</v>
      </c>
      <c r="N1264" s="2" t="s">
        <v>1757</v>
      </c>
      <c r="O1264" s="2" t="s">
        <v>101</v>
      </c>
      <c r="P1264" s="2" t="str">
        <f>"2170603827                    "</f>
        <v xml:space="preserve">2170603827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6.43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45.93</v>
      </c>
      <c r="BM1264" s="2">
        <v>6.43</v>
      </c>
      <c r="BN1264" s="2">
        <v>52.36</v>
      </c>
      <c r="BO1264" s="2">
        <v>52.36</v>
      </c>
      <c r="BQ1264" s="2" t="s">
        <v>128</v>
      </c>
      <c r="BR1264" s="2" t="s">
        <v>103</v>
      </c>
      <c r="BS1264" s="3">
        <v>43082</v>
      </c>
      <c r="BT1264" s="4">
        <v>0.49236111111111108</v>
      </c>
      <c r="BU1264" s="2" t="s">
        <v>1758</v>
      </c>
      <c r="BV1264" s="2" t="s">
        <v>89</v>
      </c>
      <c r="BW1264" s="2" t="s">
        <v>149</v>
      </c>
      <c r="BX1264" s="2" t="s">
        <v>368</v>
      </c>
      <c r="BY1264" s="2">
        <v>1200</v>
      </c>
      <c r="CA1264" s="2" t="s">
        <v>395</v>
      </c>
      <c r="CC1264" s="2" t="s">
        <v>174</v>
      </c>
      <c r="CD1264" s="2">
        <v>7441</v>
      </c>
      <c r="CE1264" s="2" t="s">
        <v>120</v>
      </c>
      <c r="CF1264" s="3">
        <v>43083</v>
      </c>
      <c r="CI1264" s="2">
        <v>1</v>
      </c>
      <c r="CJ1264" s="2">
        <v>2</v>
      </c>
      <c r="CK1264" s="2">
        <v>21</v>
      </c>
      <c r="CL1264" s="2" t="s">
        <v>89</v>
      </c>
    </row>
    <row r="1265" spans="1:90">
      <c r="A1265" s="2" t="s">
        <v>71</v>
      </c>
      <c r="B1265" s="2" t="s">
        <v>72</v>
      </c>
      <c r="C1265" s="2" t="s">
        <v>73</v>
      </c>
      <c r="E1265" s="2" t="str">
        <f>"FES1162594767"</f>
        <v>FES1162594767</v>
      </c>
      <c r="F1265" s="3">
        <v>43080</v>
      </c>
      <c r="G1265" s="2">
        <v>201806</v>
      </c>
      <c r="H1265" s="2" t="s">
        <v>74</v>
      </c>
      <c r="I1265" s="2" t="s">
        <v>75</v>
      </c>
      <c r="J1265" s="2" t="s">
        <v>97</v>
      </c>
      <c r="K1265" s="2" t="s">
        <v>77</v>
      </c>
      <c r="L1265" s="2" t="s">
        <v>212</v>
      </c>
      <c r="M1265" s="2" t="s">
        <v>212</v>
      </c>
      <c r="N1265" s="2" t="s">
        <v>1263</v>
      </c>
      <c r="O1265" s="2" t="s">
        <v>101</v>
      </c>
      <c r="P1265" s="2" t="str">
        <f>"2170606669                    "</f>
        <v xml:space="preserve">2170606669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6.43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0.2</v>
      </c>
      <c r="BK1265" s="2">
        <v>1</v>
      </c>
      <c r="BL1265" s="2">
        <v>45.93</v>
      </c>
      <c r="BM1265" s="2">
        <v>6.43</v>
      </c>
      <c r="BN1265" s="2">
        <v>52.36</v>
      </c>
      <c r="BO1265" s="2">
        <v>52.36</v>
      </c>
      <c r="BQ1265" s="2" t="s">
        <v>82</v>
      </c>
      <c r="BR1265" s="2" t="s">
        <v>103</v>
      </c>
      <c r="BS1265" s="3">
        <v>43081</v>
      </c>
      <c r="BT1265" s="4">
        <v>0.6118055555555556</v>
      </c>
      <c r="BU1265" s="2" t="s">
        <v>1759</v>
      </c>
      <c r="BV1265" s="2" t="s">
        <v>89</v>
      </c>
      <c r="BW1265" s="2" t="s">
        <v>313</v>
      </c>
      <c r="BX1265" s="2" t="s">
        <v>368</v>
      </c>
      <c r="BY1265" s="2">
        <v>1200</v>
      </c>
      <c r="CC1265" s="2" t="s">
        <v>212</v>
      </c>
      <c r="CD1265" s="2">
        <v>7646</v>
      </c>
      <c r="CE1265" s="2" t="s">
        <v>120</v>
      </c>
      <c r="CF1265" s="3">
        <v>43082</v>
      </c>
      <c r="CI1265" s="2">
        <v>1</v>
      </c>
      <c r="CJ1265" s="2">
        <v>1</v>
      </c>
      <c r="CK1265" s="2">
        <v>21</v>
      </c>
      <c r="CL1265" s="2" t="s">
        <v>89</v>
      </c>
    </row>
    <row r="1266" spans="1:90">
      <c r="A1266" s="2" t="s">
        <v>71</v>
      </c>
      <c r="B1266" s="2" t="s">
        <v>72</v>
      </c>
      <c r="C1266" s="2" t="s">
        <v>73</v>
      </c>
      <c r="E1266" s="2" t="str">
        <f>"009935791682"</f>
        <v>009935791682</v>
      </c>
      <c r="F1266" s="3">
        <v>43080</v>
      </c>
      <c r="G1266" s="2">
        <v>201806</v>
      </c>
      <c r="H1266" s="2" t="s">
        <v>74</v>
      </c>
      <c r="I1266" s="2" t="s">
        <v>75</v>
      </c>
      <c r="J1266" s="2" t="s">
        <v>97</v>
      </c>
      <c r="K1266" s="2" t="s">
        <v>77</v>
      </c>
      <c r="L1266" s="2" t="s">
        <v>115</v>
      </c>
      <c r="M1266" s="2" t="s">
        <v>116</v>
      </c>
      <c r="N1266" s="2" t="s">
        <v>1612</v>
      </c>
      <c r="O1266" s="2" t="s">
        <v>101</v>
      </c>
      <c r="P1266" s="2" t="str">
        <f>"1162594223                    "</f>
        <v xml:space="preserve">1162594223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5.03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6</v>
      </c>
      <c r="BJ1266" s="2">
        <v>4.0999999999999996</v>
      </c>
      <c r="BK1266" s="2">
        <v>6</v>
      </c>
      <c r="BL1266" s="2">
        <v>35.89</v>
      </c>
      <c r="BM1266" s="2">
        <v>5.0199999999999996</v>
      </c>
      <c r="BN1266" s="2">
        <v>40.909999999999997</v>
      </c>
      <c r="BO1266" s="2">
        <v>40.909999999999997</v>
      </c>
      <c r="BP1266" s="2" t="s">
        <v>1760</v>
      </c>
      <c r="BQ1266" s="2" t="s">
        <v>102</v>
      </c>
      <c r="BR1266" s="2" t="s">
        <v>103</v>
      </c>
      <c r="BS1266" s="3">
        <v>43081</v>
      </c>
      <c r="BT1266" s="4">
        <v>0.36805555555555558</v>
      </c>
      <c r="BU1266" s="2" t="s">
        <v>205</v>
      </c>
      <c r="BV1266" s="2" t="s">
        <v>85</v>
      </c>
      <c r="BY1266" s="2">
        <v>20358</v>
      </c>
      <c r="CC1266" s="2" t="s">
        <v>116</v>
      </c>
      <c r="CD1266" s="2">
        <v>1460</v>
      </c>
      <c r="CE1266" s="2" t="s">
        <v>95</v>
      </c>
      <c r="CF1266" s="3">
        <v>43082</v>
      </c>
      <c r="CI1266" s="2">
        <v>1</v>
      </c>
      <c r="CJ1266" s="2">
        <v>1</v>
      </c>
      <c r="CK1266" s="2">
        <v>22</v>
      </c>
      <c r="CL1266" s="2" t="s">
        <v>89</v>
      </c>
    </row>
    <row r="1267" spans="1:90">
      <c r="A1267" s="2" t="s">
        <v>71</v>
      </c>
      <c r="B1267" s="2" t="s">
        <v>72</v>
      </c>
      <c r="C1267" s="2" t="s">
        <v>73</v>
      </c>
      <c r="E1267" s="2" t="str">
        <f>"009935791683"</f>
        <v>009935791683</v>
      </c>
      <c r="F1267" s="3">
        <v>43080</v>
      </c>
      <c r="G1267" s="2">
        <v>201806</v>
      </c>
      <c r="H1267" s="2" t="s">
        <v>74</v>
      </c>
      <c r="I1267" s="2" t="s">
        <v>75</v>
      </c>
      <c r="J1267" s="2" t="s">
        <v>97</v>
      </c>
      <c r="K1267" s="2" t="s">
        <v>77</v>
      </c>
      <c r="L1267" s="2" t="s">
        <v>115</v>
      </c>
      <c r="M1267" s="2" t="s">
        <v>116</v>
      </c>
      <c r="N1267" s="2" t="s">
        <v>1612</v>
      </c>
      <c r="O1267" s="2" t="s">
        <v>101</v>
      </c>
      <c r="P1267" s="2" t="str">
        <f>"1162593282                    "</f>
        <v xml:space="preserve">1162593282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5.03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2.7</v>
      </c>
      <c r="BJ1267" s="2">
        <v>1.9</v>
      </c>
      <c r="BK1267" s="2">
        <v>3</v>
      </c>
      <c r="BL1267" s="2">
        <v>35.89</v>
      </c>
      <c r="BM1267" s="2">
        <v>5.0199999999999996</v>
      </c>
      <c r="BN1267" s="2">
        <v>40.909999999999997</v>
      </c>
      <c r="BO1267" s="2">
        <v>40.909999999999997</v>
      </c>
      <c r="BP1267" s="2" t="s">
        <v>1760</v>
      </c>
      <c r="BQ1267" s="2" t="s">
        <v>102</v>
      </c>
      <c r="BR1267" s="2" t="s">
        <v>103</v>
      </c>
      <c r="BS1267" s="3">
        <v>43081</v>
      </c>
      <c r="BT1267" s="4">
        <v>0.36805555555555558</v>
      </c>
      <c r="BU1267" s="2" t="s">
        <v>205</v>
      </c>
      <c r="BV1267" s="2" t="s">
        <v>85</v>
      </c>
      <c r="BY1267" s="2">
        <v>9629.09</v>
      </c>
      <c r="CC1267" s="2" t="s">
        <v>116</v>
      </c>
      <c r="CD1267" s="2">
        <v>1460</v>
      </c>
      <c r="CE1267" s="2" t="s">
        <v>120</v>
      </c>
      <c r="CF1267" s="3">
        <v>43082</v>
      </c>
      <c r="CI1267" s="2">
        <v>1</v>
      </c>
      <c r="CJ1267" s="2">
        <v>1</v>
      </c>
      <c r="CK1267" s="2">
        <v>22</v>
      </c>
      <c r="CL1267" s="2" t="s">
        <v>89</v>
      </c>
    </row>
    <row r="1268" spans="1:90">
      <c r="A1268" s="2" t="s">
        <v>71</v>
      </c>
      <c r="B1268" s="2" t="s">
        <v>72</v>
      </c>
      <c r="C1268" s="2" t="s">
        <v>73</v>
      </c>
      <c r="E1268" s="2" t="str">
        <f>"009935791684"</f>
        <v>009935791684</v>
      </c>
      <c r="F1268" s="3">
        <v>43080</v>
      </c>
      <c r="G1268" s="2">
        <v>201806</v>
      </c>
      <c r="H1268" s="2" t="s">
        <v>74</v>
      </c>
      <c r="I1268" s="2" t="s">
        <v>75</v>
      </c>
      <c r="J1268" s="2" t="s">
        <v>97</v>
      </c>
      <c r="K1268" s="2" t="s">
        <v>77</v>
      </c>
      <c r="L1268" s="2" t="s">
        <v>115</v>
      </c>
      <c r="M1268" s="2" t="s">
        <v>116</v>
      </c>
      <c r="N1268" s="2" t="s">
        <v>1612</v>
      </c>
      <c r="O1268" s="2" t="s">
        <v>101</v>
      </c>
      <c r="P1268" s="2" t="str">
        <f>"1162593290                    "</f>
        <v xml:space="preserve">1162593290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5.03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35.89</v>
      </c>
      <c r="BM1268" s="2">
        <v>5.0199999999999996</v>
      </c>
      <c r="BN1268" s="2">
        <v>40.909999999999997</v>
      </c>
      <c r="BO1268" s="2">
        <v>40.909999999999997</v>
      </c>
      <c r="BP1268" s="2" t="s">
        <v>1760</v>
      </c>
      <c r="BQ1268" s="2" t="s">
        <v>102</v>
      </c>
      <c r="BR1268" s="2" t="s">
        <v>103</v>
      </c>
      <c r="BS1268" s="3">
        <v>43081</v>
      </c>
      <c r="BT1268" s="4">
        <v>0.36805555555555558</v>
      </c>
      <c r="BU1268" s="2" t="s">
        <v>205</v>
      </c>
      <c r="BV1268" s="2" t="s">
        <v>85</v>
      </c>
      <c r="BY1268" s="2">
        <v>1200</v>
      </c>
      <c r="CC1268" s="2" t="s">
        <v>116</v>
      </c>
      <c r="CD1268" s="2">
        <v>1460</v>
      </c>
      <c r="CE1268" s="2" t="s">
        <v>120</v>
      </c>
      <c r="CF1268" s="3">
        <v>43082</v>
      </c>
      <c r="CI1268" s="2">
        <v>1</v>
      </c>
      <c r="CJ1268" s="2">
        <v>1</v>
      </c>
      <c r="CK1268" s="2">
        <v>22</v>
      </c>
      <c r="CL1268" s="2" t="s">
        <v>89</v>
      </c>
    </row>
    <row r="1269" spans="1:90">
      <c r="A1269" s="2" t="s">
        <v>71</v>
      </c>
      <c r="B1269" s="2" t="s">
        <v>72</v>
      </c>
      <c r="C1269" s="2" t="s">
        <v>73</v>
      </c>
      <c r="E1269" s="2" t="str">
        <f>"FES1162594599"</f>
        <v>FES1162594599</v>
      </c>
      <c r="F1269" s="3">
        <v>43080</v>
      </c>
      <c r="G1269" s="2">
        <v>201806</v>
      </c>
      <c r="H1269" s="2" t="s">
        <v>74</v>
      </c>
      <c r="I1269" s="2" t="s">
        <v>75</v>
      </c>
      <c r="J1269" s="2" t="s">
        <v>97</v>
      </c>
      <c r="K1269" s="2" t="s">
        <v>77</v>
      </c>
      <c r="L1269" s="2" t="s">
        <v>136</v>
      </c>
      <c r="M1269" s="2" t="s">
        <v>137</v>
      </c>
      <c r="N1269" s="2" t="s">
        <v>662</v>
      </c>
      <c r="O1269" s="2" t="s">
        <v>101</v>
      </c>
      <c r="P1269" s="2" t="str">
        <f>"2170605666                    "</f>
        <v xml:space="preserve">2170605666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6.43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1</v>
      </c>
      <c r="BJ1269" s="2">
        <v>0.2</v>
      </c>
      <c r="BK1269" s="2">
        <v>1</v>
      </c>
      <c r="BL1269" s="2">
        <v>45.93</v>
      </c>
      <c r="BM1269" s="2">
        <v>6.43</v>
      </c>
      <c r="BN1269" s="2">
        <v>52.36</v>
      </c>
      <c r="BO1269" s="2">
        <v>52.36</v>
      </c>
      <c r="BQ1269" s="2" t="s">
        <v>128</v>
      </c>
      <c r="BR1269" s="2" t="s">
        <v>103</v>
      </c>
      <c r="BS1269" s="3">
        <v>43081</v>
      </c>
      <c r="BT1269" s="4">
        <v>0.30486111111111108</v>
      </c>
      <c r="BU1269" s="2" t="s">
        <v>1479</v>
      </c>
      <c r="BV1269" s="2" t="s">
        <v>85</v>
      </c>
      <c r="BY1269" s="2">
        <v>1200</v>
      </c>
      <c r="CA1269" s="2" t="s">
        <v>140</v>
      </c>
      <c r="CC1269" s="2" t="s">
        <v>137</v>
      </c>
      <c r="CD1269" s="2">
        <v>6012</v>
      </c>
      <c r="CE1269" s="2" t="s">
        <v>120</v>
      </c>
      <c r="CF1269" s="3">
        <v>43083</v>
      </c>
      <c r="CI1269" s="2">
        <v>1</v>
      </c>
      <c r="CJ1269" s="2">
        <v>1</v>
      </c>
      <c r="CK1269" s="2">
        <v>21</v>
      </c>
      <c r="CL1269" s="2" t="s">
        <v>89</v>
      </c>
    </row>
    <row r="1270" spans="1:90">
      <c r="A1270" s="2" t="s">
        <v>71</v>
      </c>
      <c r="B1270" s="2" t="s">
        <v>72</v>
      </c>
      <c r="C1270" s="2" t="s">
        <v>73</v>
      </c>
      <c r="E1270" s="2" t="str">
        <f>"FES1162594795"</f>
        <v>FES1162594795</v>
      </c>
      <c r="F1270" s="3">
        <v>43080</v>
      </c>
      <c r="G1270" s="2">
        <v>201806</v>
      </c>
      <c r="H1270" s="2" t="s">
        <v>74</v>
      </c>
      <c r="I1270" s="2" t="s">
        <v>75</v>
      </c>
      <c r="J1270" s="2" t="s">
        <v>97</v>
      </c>
      <c r="K1270" s="2" t="s">
        <v>77</v>
      </c>
      <c r="L1270" s="2" t="s">
        <v>136</v>
      </c>
      <c r="M1270" s="2" t="s">
        <v>137</v>
      </c>
      <c r="N1270" s="2" t="s">
        <v>178</v>
      </c>
      <c r="O1270" s="2" t="s">
        <v>101</v>
      </c>
      <c r="P1270" s="2" t="str">
        <f>"2170605362                    "</f>
        <v xml:space="preserve">2170605362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6.43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2</v>
      </c>
      <c r="BJ1270" s="2">
        <v>0.2</v>
      </c>
      <c r="BK1270" s="2">
        <v>2</v>
      </c>
      <c r="BL1270" s="2">
        <v>45.93</v>
      </c>
      <c r="BM1270" s="2">
        <v>6.43</v>
      </c>
      <c r="BN1270" s="2">
        <v>52.36</v>
      </c>
      <c r="BO1270" s="2">
        <v>52.36</v>
      </c>
      <c r="BQ1270" s="2" t="s">
        <v>102</v>
      </c>
      <c r="BR1270" s="2" t="s">
        <v>103</v>
      </c>
      <c r="BS1270" s="3">
        <v>43081</v>
      </c>
      <c r="BT1270" s="4">
        <v>0.32083333333333336</v>
      </c>
      <c r="BU1270" s="2" t="s">
        <v>348</v>
      </c>
      <c r="BV1270" s="2" t="s">
        <v>85</v>
      </c>
      <c r="BY1270" s="2">
        <v>1200</v>
      </c>
      <c r="CA1270" s="2" t="s">
        <v>180</v>
      </c>
      <c r="CC1270" s="2" t="s">
        <v>137</v>
      </c>
      <c r="CD1270" s="2">
        <v>6001</v>
      </c>
      <c r="CE1270" s="2" t="s">
        <v>120</v>
      </c>
      <c r="CF1270" s="3">
        <v>43083</v>
      </c>
      <c r="CI1270" s="2">
        <v>1</v>
      </c>
      <c r="CJ1270" s="2">
        <v>1</v>
      </c>
      <c r="CK1270" s="2">
        <v>21</v>
      </c>
      <c r="CL1270" s="2" t="s">
        <v>89</v>
      </c>
    </row>
    <row r="1271" spans="1:90">
      <c r="A1271" s="2" t="s">
        <v>71</v>
      </c>
      <c r="B1271" s="2" t="s">
        <v>72</v>
      </c>
      <c r="C1271" s="2" t="s">
        <v>73</v>
      </c>
      <c r="E1271" s="2" t="str">
        <f>"FES1162594874"</f>
        <v>FES1162594874</v>
      </c>
      <c r="F1271" s="3">
        <v>43080</v>
      </c>
      <c r="G1271" s="2">
        <v>201806</v>
      </c>
      <c r="H1271" s="2" t="s">
        <v>74</v>
      </c>
      <c r="I1271" s="2" t="s">
        <v>75</v>
      </c>
      <c r="J1271" s="2" t="s">
        <v>97</v>
      </c>
      <c r="K1271" s="2" t="s">
        <v>77</v>
      </c>
      <c r="L1271" s="2" t="s">
        <v>145</v>
      </c>
      <c r="M1271" s="2" t="s">
        <v>146</v>
      </c>
      <c r="N1271" s="2" t="s">
        <v>1533</v>
      </c>
      <c r="O1271" s="2" t="s">
        <v>101</v>
      </c>
      <c r="P1271" s="2" t="str">
        <f>"2170606769                    "</f>
        <v xml:space="preserve">2170606769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6.43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1</v>
      </c>
      <c r="BJ1271" s="2">
        <v>0.2</v>
      </c>
      <c r="BK1271" s="2">
        <v>1</v>
      </c>
      <c r="BL1271" s="2">
        <v>45.93</v>
      </c>
      <c r="BM1271" s="2">
        <v>6.43</v>
      </c>
      <c r="BN1271" s="2">
        <v>52.36</v>
      </c>
      <c r="BO1271" s="2">
        <v>52.36</v>
      </c>
      <c r="BQ1271" s="2" t="s">
        <v>102</v>
      </c>
      <c r="BR1271" s="2" t="s">
        <v>103</v>
      </c>
      <c r="BS1271" s="3">
        <v>43081</v>
      </c>
      <c r="BT1271" s="4">
        <v>0.41666666666666669</v>
      </c>
      <c r="BU1271" s="2" t="s">
        <v>1535</v>
      </c>
      <c r="BV1271" s="2" t="s">
        <v>85</v>
      </c>
      <c r="BY1271" s="2">
        <v>1200</v>
      </c>
      <c r="CA1271" s="2" t="s">
        <v>629</v>
      </c>
      <c r="CC1271" s="2" t="s">
        <v>146</v>
      </c>
      <c r="CD1271" s="2">
        <v>5201</v>
      </c>
      <c r="CE1271" s="2" t="s">
        <v>120</v>
      </c>
      <c r="CF1271" s="3">
        <v>43084</v>
      </c>
      <c r="CI1271" s="2">
        <v>1</v>
      </c>
      <c r="CJ1271" s="2">
        <v>1</v>
      </c>
      <c r="CK1271" s="2">
        <v>21</v>
      </c>
      <c r="CL1271" s="2" t="s">
        <v>89</v>
      </c>
    </row>
    <row r="1272" spans="1:90">
      <c r="A1272" s="2" t="s">
        <v>71</v>
      </c>
      <c r="B1272" s="2" t="s">
        <v>72</v>
      </c>
      <c r="C1272" s="2" t="s">
        <v>73</v>
      </c>
      <c r="E1272" s="2" t="str">
        <f>"FES1162594962"</f>
        <v>FES1162594962</v>
      </c>
      <c r="F1272" s="3">
        <v>43080</v>
      </c>
      <c r="G1272" s="2">
        <v>201806</v>
      </c>
      <c r="H1272" s="2" t="s">
        <v>74</v>
      </c>
      <c r="I1272" s="2" t="s">
        <v>75</v>
      </c>
      <c r="J1272" s="2" t="s">
        <v>97</v>
      </c>
      <c r="K1272" s="2" t="s">
        <v>77</v>
      </c>
      <c r="L1272" s="2" t="s">
        <v>136</v>
      </c>
      <c r="M1272" s="2" t="s">
        <v>137</v>
      </c>
      <c r="N1272" s="2" t="s">
        <v>1210</v>
      </c>
      <c r="O1272" s="2" t="s">
        <v>101</v>
      </c>
      <c r="P1272" s="2" t="str">
        <f>"2170606671                    "</f>
        <v xml:space="preserve">2170606671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6.43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</v>
      </c>
      <c r="BJ1272" s="2">
        <v>0.2</v>
      </c>
      <c r="BK1272" s="2">
        <v>1</v>
      </c>
      <c r="BL1272" s="2">
        <v>45.93</v>
      </c>
      <c r="BM1272" s="2">
        <v>6.43</v>
      </c>
      <c r="BN1272" s="2">
        <v>52.36</v>
      </c>
      <c r="BO1272" s="2">
        <v>52.36</v>
      </c>
      <c r="BQ1272" s="2" t="s">
        <v>82</v>
      </c>
      <c r="BR1272" s="2" t="s">
        <v>103</v>
      </c>
      <c r="BS1272" s="3">
        <v>43081</v>
      </c>
      <c r="BT1272" s="4">
        <v>0.35972222222222222</v>
      </c>
      <c r="BU1272" s="2" t="s">
        <v>1761</v>
      </c>
      <c r="BV1272" s="2" t="s">
        <v>85</v>
      </c>
      <c r="BY1272" s="2">
        <v>1200</v>
      </c>
      <c r="CA1272" s="2" t="s">
        <v>180</v>
      </c>
      <c r="CC1272" s="2" t="s">
        <v>137</v>
      </c>
      <c r="CD1272" s="2">
        <v>6001</v>
      </c>
      <c r="CE1272" s="2" t="s">
        <v>120</v>
      </c>
      <c r="CF1272" s="3">
        <v>43083</v>
      </c>
      <c r="CI1272" s="2">
        <v>1</v>
      </c>
      <c r="CJ1272" s="2">
        <v>1</v>
      </c>
      <c r="CK1272" s="2">
        <v>21</v>
      </c>
      <c r="CL1272" s="2" t="s">
        <v>89</v>
      </c>
    </row>
    <row r="1273" spans="1:90">
      <c r="A1273" s="2" t="s">
        <v>71</v>
      </c>
      <c r="B1273" s="2" t="s">
        <v>72</v>
      </c>
      <c r="C1273" s="2" t="s">
        <v>73</v>
      </c>
      <c r="E1273" s="2" t="str">
        <f>"FES1162594980"</f>
        <v>FES1162594980</v>
      </c>
      <c r="F1273" s="3">
        <v>43080</v>
      </c>
      <c r="G1273" s="2">
        <v>201806</v>
      </c>
      <c r="H1273" s="2" t="s">
        <v>74</v>
      </c>
      <c r="I1273" s="2" t="s">
        <v>75</v>
      </c>
      <c r="J1273" s="2" t="s">
        <v>97</v>
      </c>
      <c r="K1273" s="2" t="s">
        <v>77</v>
      </c>
      <c r="L1273" s="2" t="s">
        <v>136</v>
      </c>
      <c r="M1273" s="2" t="s">
        <v>137</v>
      </c>
      <c r="N1273" s="2" t="s">
        <v>178</v>
      </c>
      <c r="O1273" s="2" t="s">
        <v>101</v>
      </c>
      <c r="P1273" s="2" t="str">
        <f>"2170606823                    "</f>
        <v xml:space="preserve">2170606823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6.43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1</v>
      </c>
      <c r="BJ1273" s="2">
        <v>0.2</v>
      </c>
      <c r="BK1273" s="2">
        <v>1</v>
      </c>
      <c r="BL1273" s="2">
        <v>45.93</v>
      </c>
      <c r="BM1273" s="2">
        <v>6.43</v>
      </c>
      <c r="BN1273" s="2">
        <v>52.36</v>
      </c>
      <c r="BO1273" s="2">
        <v>52.36</v>
      </c>
      <c r="BQ1273" s="2" t="s">
        <v>102</v>
      </c>
      <c r="BR1273" s="2" t="s">
        <v>103</v>
      </c>
      <c r="BS1273" s="3">
        <v>43082</v>
      </c>
      <c r="BT1273" s="4">
        <v>0.3125</v>
      </c>
      <c r="BU1273" s="2" t="s">
        <v>179</v>
      </c>
      <c r="BV1273" s="2" t="s">
        <v>89</v>
      </c>
      <c r="BW1273" s="2" t="s">
        <v>313</v>
      </c>
      <c r="BX1273" s="2" t="s">
        <v>314</v>
      </c>
      <c r="BY1273" s="2">
        <v>1200</v>
      </c>
      <c r="CA1273" s="2" t="s">
        <v>180</v>
      </c>
      <c r="CC1273" s="2" t="s">
        <v>137</v>
      </c>
      <c r="CD1273" s="2">
        <v>6001</v>
      </c>
      <c r="CE1273" s="2" t="s">
        <v>120</v>
      </c>
      <c r="CF1273" s="3">
        <v>43084</v>
      </c>
      <c r="CI1273" s="2">
        <v>1</v>
      </c>
      <c r="CJ1273" s="2">
        <v>2</v>
      </c>
      <c r="CK1273" s="2">
        <v>21</v>
      </c>
      <c r="CL1273" s="2" t="s">
        <v>89</v>
      </c>
    </row>
    <row r="1274" spans="1:90">
      <c r="A1274" s="2" t="s">
        <v>71</v>
      </c>
      <c r="B1274" s="2" t="s">
        <v>72</v>
      </c>
      <c r="C1274" s="2" t="s">
        <v>73</v>
      </c>
      <c r="E1274" s="2" t="str">
        <f>"FES1162594956"</f>
        <v>FES1162594956</v>
      </c>
      <c r="F1274" s="3">
        <v>43080</v>
      </c>
      <c r="G1274" s="2">
        <v>201806</v>
      </c>
      <c r="H1274" s="2" t="s">
        <v>74</v>
      </c>
      <c r="I1274" s="2" t="s">
        <v>75</v>
      </c>
      <c r="J1274" s="2" t="s">
        <v>97</v>
      </c>
      <c r="K1274" s="2" t="s">
        <v>77</v>
      </c>
      <c r="L1274" s="2" t="s">
        <v>136</v>
      </c>
      <c r="M1274" s="2" t="s">
        <v>137</v>
      </c>
      <c r="N1274" s="2" t="s">
        <v>1762</v>
      </c>
      <c r="O1274" s="2" t="s">
        <v>101</v>
      </c>
      <c r="P1274" s="2" t="str">
        <f>"2170605312                    "</f>
        <v xml:space="preserve">2170605312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6.43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</v>
      </c>
      <c r="BJ1274" s="2">
        <v>0.2</v>
      </c>
      <c r="BK1274" s="2">
        <v>1</v>
      </c>
      <c r="BL1274" s="2">
        <v>45.93</v>
      </c>
      <c r="BM1274" s="2">
        <v>6.43</v>
      </c>
      <c r="BN1274" s="2">
        <v>52.36</v>
      </c>
      <c r="BO1274" s="2">
        <v>52.36</v>
      </c>
      <c r="BQ1274" s="2" t="s">
        <v>102</v>
      </c>
      <c r="BR1274" s="2" t="s">
        <v>103</v>
      </c>
      <c r="BS1274" s="3">
        <v>43081</v>
      </c>
      <c r="BT1274" s="4">
        <v>0.4201388888888889</v>
      </c>
      <c r="BU1274" s="2" t="s">
        <v>1763</v>
      </c>
      <c r="BV1274" s="2" t="s">
        <v>85</v>
      </c>
      <c r="BY1274" s="2">
        <v>1200</v>
      </c>
      <c r="CA1274" s="2" t="s">
        <v>140</v>
      </c>
      <c r="CC1274" s="2" t="s">
        <v>137</v>
      </c>
      <c r="CD1274" s="2">
        <v>6012</v>
      </c>
      <c r="CE1274" s="2" t="s">
        <v>120</v>
      </c>
      <c r="CF1274" s="3">
        <v>43083</v>
      </c>
      <c r="CI1274" s="2">
        <v>1</v>
      </c>
      <c r="CJ1274" s="2">
        <v>1</v>
      </c>
      <c r="CK1274" s="2">
        <v>21</v>
      </c>
      <c r="CL1274" s="2" t="s">
        <v>89</v>
      </c>
    </row>
    <row r="1275" spans="1:90">
      <c r="A1275" s="2" t="s">
        <v>71</v>
      </c>
      <c r="B1275" s="2" t="s">
        <v>72</v>
      </c>
      <c r="C1275" s="2" t="s">
        <v>73</v>
      </c>
      <c r="E1275" s="2" t="str">
        <f>"FES1162594810"</f>
        <v>FES1162594810</v>
      </c>
      <c r="F1275" s="3">
        <v>43080</v>
      </c>
      <c r="G1275" s="2">
        <v>201806</v>
      </c>
      <c r="H1275" s="2" t="s">
        <v>74</v>
      </c>
      <c r="I1275" s="2" t="s">
        <v>75</v>
      </c>
      <c r="J1275" s="2" t="s">
        <v>97</v>
      </c>
      <c r="K1275" s="2" t="s">
        <v>77</v>
      </c>
      <c r="L1275" s="2" t="s">
        <v>136</v>
      </c>
      <c r="M1275" s="2" t="s">
        <v>137</v>
      </c>
      <c r="N1275" s="2" t="s">
        <v>974</v>
      </c>
      <c r="O1275" s="2" t="s">
        <v>101</v>
      </c>
      <c r="P1275" s="2" t="str">
        <f>"2170606700                    "</f>
        <v xml:space="preserve">2170606700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6.43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</v>
      </c>
      <c r="BJ1275" s="2">
        <v>0.2</v>
      </c>
      <c r="BK1275" s="2">
        <v>1</v>
      </c>
      <c r="BL1275" s="2">
        <v>45.93</v>
      </c>
      <c r="BM1275" s="2">
        <v>6.43</v>
      </c>
      <c r="BN1275" s="2">
        <v>52.36</v>
      </c>
      <c r="BO1275" s="2">
        <v>52.36</v>
      </c>
      <c r="BQ1275" s="2" t="s">
        <v>82</v>
      </c>
      <c r="BR1275" s="2" t="s">
        <v>103</v>
      </c>
      <c r="BS1275" s="3">
        <v>43081</v>
      </c>
      <c r="BT1275" s="4">
        <v>0.33888888888888885</v>
      </c>
      <c r="BU1275" s="2" t="s">
        <v>692</v>
      </c>
      <c r="BV1275" s="2" t="s">
        <v>85</v>
      </c>
      <c r="BY1275" s="2">
        <v>1200</v>
      </c>
      <c r="CA1275" s="2" t="s">
        <v>140</v>
      </c>
      <c r="CC1275" s="2" t="s">
        <v>137</v>
      </c>
      <c r="CD1275" s="2">
        <v>6001</v>
      </c>
      <c r="CE1275" s="2" t="s">
        <v>120</v>
      </c>
      <c r="CF1275" s="3">
        <v>43083</v>
      </c>
      <c r="CI1275" s="2">
        <v>1</v>
      </c>
      <c r="CJ1275" s="2">
        <v>1</v>
      </c>
      <c r="CK1275" s="2">
        <v>21</v>
      </c>
      <c r="CL1275" s="2" t="s">
        <v>89</v>
      </c>
    </row>
    <row r="1276" spans="1:90">
      <c r="A1276" s="2" t="s">
        <v>71</v>
      </c>
      <c r="B1276" s="2" t="s">
        <v>72</v>
      </c>
      <c r="C1276" s="2" t="s">
        <v>73</v>
      </c>
      <c r="E1276" s="2" t="str">
        <f>"FES1162594966"</f>
        <v>FES1162594966</v>
      </c>
      <c r="F1276" s="3">
        <v>43080</v>
      </c>
      <c r="G1276" s="2">
        <v>201806</v>
      </c>
      <c r="H1276" s="2" t="s">
        <v>74</v>
      </c>
      <c r="I1276" s="2" t="s">
        <v>75</v>
      </c>
      <c r="J1276" s="2" t="s">
        <v>97</v>
      </c>
      <c r="K1276" s="2" t="s">
        <v>77</v>
      </c>
      <c r="L1276" s="2" t="s">
        <v>136</v>
      </c>
      <c r="M1276" s="2" t="s">
        <v>137</v>
      </c>
      <c r="N1276" s="2" t="s">
        <v>823</v>
      </c>
      <c r="O1276" s="2" t="s">
        <v>101</v>
      </c>
      <c r="P1276" s="2" t="str">
        <f>"2170606777                    "</f>
        <v xml:space="preserve">2170606777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6.43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45.93</v>
      </c>
      <c r="BM1276" s="2">
        <v>6.43</v>
      </c>
      <c r="BN1276" s="2">
        <v>52.36</v>
      </c>
      <c r="BO1276" s="2">
        <v>52.36</v>
      </c>
      <c r="BQ1276" s="2" t="s">
        <v>102</v>
      </c>
      <c r="BR1276" s="2" t="s">
        <v>103</v>
      </c>
      <c r="BS1276" s="3">
        <v>43081</v>
      </c>
      <c r="BT1276" s="4">
        <v>0.33680555555555558</v>
      </c>
      <c r="BU1276" s="2" t="s">
        <v>1031</v>
      </c>
      <c r="BV1276" s="2" t="s">
        <v>85</v>
      </c>
      <c r="BY1276" s="2">
        <v>1200</v>
      </c>
      <c r="CA1276" s="2" t="s">
        <v>180</v>
      </c>
      <c r="CC1276" s="2" t="s">
        <v>137</v>
      </c>
      <c r="CD1276" s="2">
        <v>6001</v>
      </c>
      <c r="CE1276" s="2" t="s">
        <v>120</v>
      </c>
      <c r="CF1276" s="3">
        <v>43083</v>
      </c>
      <c r="CI1276" s="2">
        <v>1</v>
      </c>
      <c r="CJ1276" s="2">
        <v>1</v>
      </c>
      <c r="CK1276" s="2">
        <v>21</v>
      </c>
      <c r="CL1276" s="2" t="s">
        <v>89</v>
      </c>
    </row>
    <row r="1277" spans="1:90">
      <c r="A1277" s="2" t="s">
        <v>71</v>
      </c>
      <c r="B1277" s="2" t="s">
        <v>72</v>
      </c>
      <c r="C1277" s="2" t="s">
        <v>73</v>
      </c>
      <c r="E1277" s="2" t="str">
        <f>"FES1162594968"</f>
        <v>FES1162594968</v>
      </c>
      <c r="F1277" s="3">
        <v>43080</v>
      </c>
      <c r="G1277" s="2">
        <v>201806</v>
      </c>
      <c r="H1277" s="2" t="s">
        <v>74</v>
      </c>
      <c r="I1277" s="2" t="s">
        <v>75</v>
      </c>
      <c r="J1277" s="2" t="s">
        <v>97</v>
      </c>
      <c r="K1277" s="2" t="s">
        <v>77</v>
      </c>
      <c r="L1277" s="2" t="s">
        <v>136</v>
      </c>
      <c r="M1277" s="2" t="s">
        <v>137</v>
      </c>
      <c r="N1277" s="2" t="s">
        <v>178</v>
      </c>
      <c r="O1277" s="2" t="s">
        <v>101</v>
      </c>
      <c r="P1277" s="2" t="str">
        <f>"2170606823                    "</f>
        <v xml:space="preserve">2170606823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6.43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</v>
      </c>
      <c r="BJ1277" s="2">
        <v>0.2</v>
      </c>
      <c r="BK1277" s="2">
        <v>1</v>
      </c>
      <c r="BL1277" s="2">
        <v>45.93</v>
      </c>
      <c r="BM1277" s="2">
        <v>6.43</v>
      </c>
      <c r="BN1277" s="2">
        <v>52.36</v>
      </c>
      <c r="BO1277" s="2">
        <v>52.36</v>
      </c>
      <c r="BQ1277" s="2" t="s">
        <v>102</v>
      </c>
      <c r="BR1277" s="2" t="s">
        <v>103</v>
      </c>
      <c r="BS1277" s="3">
        <v>43081</v>
      </c>
      <c r="BT1277" s="4">
        <v>0.32083333333333336</v>
      </c>
      <c r="BU1277" s="2" t="s">
        <v>348</v>
      </c>
      <c r="BV1277" s="2" t="s">
        <v>85</v>
      </c>
      <c r="BY1277" s="2">
        <v>1200</v>
      </c>
      <c r="CC1277" s="2" t="s">
        <v>137</v>
      </c>
      <c r="CD1277" s="2">
        <v>6001</v>
      </c>
      <c r="CE1277" s="2" t="s">
        <v>120</v>
      </c>
      <c r="CF1277" s="3">
        <v>43083</v>
      </c>
      <c r="CI1277" s="2">
        <v>1</v>
      </c>
      <c r="CJ1277" s="2">
        <v>1</v>
      </c>
      <c r="CK1277" s="2">
        <v>21</v>
      </c>
      <c r="CL1277" s="2" t="s">
        <v>89</v>
      </c>
    </row>
    <row r="1278" spans="1:90">
      <c r="A1278" s="2" t="s">
        <v>71</v>
      </c>
      <c r="B1278" s="2" t="s">
        <v>72</v>
      </c>
      <c r="C1278" s="2" t="s">
        <v>73</v>
      </c>
      <c r="E1278" s="2" t="str">
        <f>"FES1162598841"</f>
        <v>FES1162598841</v>
      </c>
      <c r="F1278" s="3">
        <v>43080</v>
      </c>
      <c r="G1278" s="2">
        <v>201806</v>
      </c>
      <c r="H1278" s="2" t="s">
        <v>74</v>
      </c>
      <c r="I1278" s="2" t="s">
        <v>75</v>
      </c>
      <c r="J1278" s="2" t="s">
        <v>97</v>
      </c>
      <c r="K1278" s="2" t="s">
        <v>77</v>
      </c>
      <c r="L1278" s="2" t="s">
        <v>145</v>
      </c>
      <c r="M1278" s="2" t="s">
        <v>146</v>
      </c>
      <c r="N1278" s="2" t="s">
        <v>953</v>
      </c>
      <c r="O1278" s="2" t="s">
        <v>101</v>
      </c>
      <c r="P1278" s="2" t="str">
        <f>"2170606733                    "</f>
        <v xml:space="preserve">2170606733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6.43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45.93</v>
      </c>
      <c r="BM1278" s="2">
        <v>6.43</v>
      </c>
      <c r="BN1278" s="2">
        <v>52.36</v>
      </c>
      <c r="BO1278" s="2">
        <v>52.36</v>
      </c>
      <c r="BQ1278" s="2" t="s">
        <v>102</v>
      </c>
      <c r="BR1278" s="2" t="s">
        <v>103</v>
      </c>
      <c r="BS1278" s="3">
        <v>43080</v>
      </c>
      <c r="BT1278" s="4">
        <v>0.41666666666666669</v>
      </c>
      <c r="BU1278" s="2" t="s">
        <v>1764</v>
      </c>
      <c r="BV1278" s="2" t="s">
        <v>85</v>
      </c>
      <c r="BY1278" s="2">
        <v>1200</v>
      </c>
      <c r="CC1278" s="2" t="s">
        <v>146</v>
      </c>
      <c r="CD1278" s="2">
        <v>5201</v>
      </c>
      <c r="CE1278" s="2" t="s">
        <v>120</v>
      </c>
      <c r="CF1278" s="3">
        <v>43088</v>
      </c>
      <c r="CI1278" s="2">
        <v>1</v>
      </c>
      <c r="CJ1278" s="2">
        <v>-7</v>
      </c>
      <c r="CK1278" s="2">
        <v>21</v>
      </c>
      <c r="CL1278" s="2" t="s">
        <v>89</v>
      </c>
    </row>
    <row r="1279" spans="1:90">
      <c r="A1279" s="2" t="s">
        <v>71</v>
      </c>
      <c r="B1279" s="2" t="s">
        <v>72</v>
      </c>
      <c r="C1279" s="2" t="s">
        <v>73</v>
      </c>
      <c r="E1279" s="2" t="str">
        <f>"FES1162594869"</f>
        <v>FES1162594869</v>
      </c>
      <c r="F1279" s="3">
        <v>43080</v>
      </c>
      <c r="G1279" s="2">
        <v>201806</v>
      </c>
      <c r="H1279" s="2" t="s">
        <v>74</v>
      </c>
      <c r="I1279" s="2" t="s">
        <v>75</v>
      </c>
      <c r="J1279" s="2" t="s">
        <v>97</v>
      </c>
      <c r="K1279" s="2" t="s">
        <v>77</v>
      </c>
      <c r="L1279" s="2" t="s">
        <v>682</v>
      </c>
      <c r="M1279" s="2" t="s">
        <v>683</v>
      </c>
      <c r="N1279" s="2" t="s">
        <v>684</v>
      </c>
      <c r="O1279" s="2" t="s">
        <v>101</v>
      </c>
      <c r="P1279" s="2" t="str">
        <f>"2170606765                    "</f>
        <v xml:space="preserve">2170606765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12.47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89</v>
      </c>
      <c r="BM1279" s="2">
        <v>12.46</v>
      </c>
      <c r="BN1279" s="2">
        <v>101.46</v>
      </c>
      <c r="BO1279" s="2">
        <v>101.46</v>
      </c>
      <c r="BQ1279" s="2" t="s">
        <v>102</v>
      </c>
      <c r="BR1279" s="2" t="s">
        <v>103</v>
      </c>
      <c r="BS1279" s="3">
        <v>43081</v>
      </c>
      <c r="BT1279" s="4">
        <v>0.7583333333333333</v>
      </c>
      <c r="BU1279" s="2" t="s">
        <v>1765</v>
      </c>
      <c r="BV1279" s="2" t="s">
        <v>85</v>
      </c>
      <c r="BY1279" s="2">
        <v>1200</v>
      </c>
      <c r="CC1279" s="2" t="s">
        <v>683</v>
      </c>
      <c r="CD1279" s="2">
        <v>6300</v>
      </c>
      <c r="CE1279" s="2" t="s">
        <v>120</v>
      </c>
      <c r="CI1279" s="2">
        <v>3</v>
      </c>
      <c r="CJ1279" s="2">
        <v>1</v>
      </c>
      <c r="CK1279" s="2">
        <v>23</v>
      </c>
      <c r="CL1279" s="2" t="s">
        <v>89</v>
      </c>
    </row>
    <row r="1280" spans="1:90">
      <c r="A1280" s="2" t="s">
        <v>71</v>
      </c>
      <c r="B1280" s="2" t="s">
        <v>72</v>
      </c>
      <c r="C1280" s="2" t="s">
        <v>73</v>
      </c>
      <c r="E1280" s="2" t="str">
        <f>"FES1162594998"</f>
        <v>FES1162594998</v>
      </c>
      <c r="F1280" s="3">
        <v>43080</v>
      </c>
      <c r="G1280" s="2">
        <v>201806</v>
      </c>
      <c r="H1280" s="2" t="s">
        <v>74</v>
      </c>
      <c r="I1280" s="2" t="s">
        <v>75</v>
      </c>
      <c r="J1280" s="2" t="s">
        <v>97</v>
      </c>
      <c r="K1280" s="2" t="s">
        <v>77</v>
      </c>
      <c r="L1280" s="2" t="s">
        <v>340</v>
      </c>
      <c r="M1280" s="2" t="s">
        <v>341</v>
      </c>
      <c r="N1280" s="2" t="s">
        <v>342</v>
      </c>
      <c r="O1280" s="2" t="s">
        <v>101</v>
      </c>
      <c r="P1280" s="2" t="str">
        <f>"2170606913                    "</f>
        <v xml:space="preserve">2170606913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12.47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89</v>
      </c>
      <c r="BM1280" s="2">
        <v>12.46</v>
      </c>
      <c r="BN1280" s="2">
        <v>101.46</v>
      </c>
      <c r="BO1280" s="2">
        <v>101.46</v>
      </c>
      <c r="BQ1280" s="2" t="s">
        <v>102</v>
      </c>
      <c r="BR1280" s="2" t="s">
        <v>103</v>
      </c>
      <c r="BS1280" s="3">
        <v>43081</v>
      </c>
      <c r="BT1280" s="4">
        <v>0.54166666666666663</v>
      </c>
      <c r="BU1280" s="2" t="s">
        <v>344</v>
      </c>
      <c r="BV1280" s="2" t="s">
        <v>85</v>
      </c>
      <c r="BY1280" s="2">
        <v>1200</v>
      </c>
      <c r="CC1280" s="2" t="s">
        <v>341</v>
      </c>
      <c r="CD1280" s="2">
        <v>6139</v>
      </c>
      <c r="CE1280" s="2" t="s">
        <v>120</v>
      </c>
      <c r="CI1280" s="2">
        <v>3</v>
      </c>
      <c r="CJ1280" s="2">
        <v>1</v>
      </c>
      <c r="CK1280" s="2">
        <v>23</v>
      </c>
      <c r="CL1280" s="2" t="s">
        <v>89</v>
      </c>
    </row>
    <row r="1281" spans="1:90">
      <c r="A1281" s="2" t="s">
        <v>71</v>
      </c>
      <c r="B1281" s="2" t="s">
        <v>72</v>
      </c>
      <c r="C1281" s="2" t="s">
        <v>73</v>
      </c>
      <c r="E1281" s="2" t="str">
        <f>"FES1162594662"</f>
        <v>FES1162594662</v>
      </c>
      <c r="F1281" s="3">
        <v>43080</v>
      </c>
      <c r="G1281" s="2">
        <v>201806</v>
      </c>
      <c r="H1281" s="2" t="s">
        <v>74</v>
      </c>
      <c r="I1281" s="2" t="s">
        <v>75</v>
      </c>
      <c r="J1281" s="2" t="s">
        <v>97</v>
      </c>
      <c r="K1281" s="2" t="s">
        <v>77</v>
      </c>
      <c r="L1281" s="2" t="s">
        <v>145</v>
      </c>
      <c r="M1281" s="2" t="s">
        <v>146</v>
      </c>
      <c r="N1281" s="2" t="s">
        <v>753</v>
      </c>
      <c r="O1281" s="2" t="s">
        <v>101</v>
      </c>
      <c r="P1281" s="2" t="str">
        <f>"2170606520                    "</f>
        <v xml:space="preserve">2170606520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6.43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</v>
      </c>
      <c r="BJ1281" s="2">
        <v>0.2</v>
      </c>
      <c r="BK1281" s="2">
        <v>1</v>
      </c>
      <c r="BL1281" s="2">
        <v>45.93</v>
      </c>
      <c r="BM1281" s="2">
        <v>6.43</v>
      </c>
      <c r="BN1281" s="2">
        <v>52.36</v>
      </c>
      <c r="BO1281" s="2">
        <v>52.36</v>
      </c>
      <c r="BQ1281" s="2" t="s">
        <v>82</v>
      </c>
      <c r="BR1281" s="2" t="s">
        <v>103</v>
      </c>
      <c r="BS1281" s="3">
        <v>43081</v>
      </c>
      <c r="BT1281" s="4">
        <v>0.3666666666666667</v>
      </c>
      <c r="BU1281" s="2" t="s">
        <v>901</v>
      </c>
      <c r="BV1281" s="2" t="s">
        <v>85</v>
      </c>
      <c r="BY1281" s="2">
        <v>1200</v>
      </c>
      <c r="CA1281" s="2" t="s">
        <v>754</v>
      </c>
      <c r="CC1281" s="2" t="s">
        <v>146</v>
      </c>
      <c r="CD1281" s="2">
        <v>5201</v>
      </c>
      <c r="CE1281" s="2" t="s">
        <v>120</v>
      </c>
      <c r="CF1281" s="3">
        <v>43084</v>
      </c>
      <c r="CI1281" s="2">
        <v>1</v>
      </c>
      <c r="CJ1281" s="2">
        <v>1</v>
      </c>
      <c r="CK1281" s="2">
        <v>21</v>
      </c>
      <c r="CL1281" s="2" t="s">
        <v>89</v>
      </c>
    </row>
    <row r="1282" spans="1:90">
      <c r="A1282" s="2" t="s">
        <v>71</v>
      </c>
      <c r="B1282" s="2" t="s">
        <v>72</v>
      </c>
      <c r="C1282" s="2" t="s">
        <v>73</v>
      </c>
      <c r="E1282" s="2" t="str">
        <f>"FES1162594615"</f>
        <v>FES1162594615</v>
      </c>
      <c r="F1282" s="3">
        <v>43080</v>
      </c>
      <c r="G1282" s="2">
        <v>201806</v>
      </c>
      <c r="H1282" s="2" t="s">
        <v>74</v>
      </c>
      <c r="I1282" s="2" t="s">
        <v>75</v>
      </c>
      <c r="J1282" s="2" t="s">
        <v>97</v>
      </c>
      <c r="K1282" s="2" t="s">
        <v>77</v>
      </c>
      <c r="L1282" s="2" t="s">
        <v>158</v>
      </c>
      <c r="M1282" s="2" t="s">
        <v>159</v>
      </c>
      <c r="N1282" s="2" t="s">
        <v>1766</v>
      </c>
      <c r="O1282" s="2" t="s">
        <v>101</v>
      </c>
      <c r="P1282" s="2" t="str">
        <f>"2170606378                    "</f>
        <v xml:space="preserve">2170606378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6.43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45.93</v>
      </c>
      <c r="BM1282" s="2">
        <v>6.43</v>
      </c>
      <c r="BN1282" s="2">
        <v>52.36</v>
      </c>
      <c r="BO1282" s="2">
        <v>52.36</v>
      </c>
      <c r="BQ1282" s="2" t="s">
        <v>102</v>
      </c>
      <c r="BR1282" s="2" t="s">
        <v>103</v>
      </c>
      <c r="BS1282" s="2" t="s">
        <v>185</v>
      </c>
      <c r="BY1282" s="2">
        <v>1200</v>
      </c>
      <c r="CC1282" s="2" t="s">
        <v>159</v>
      </c>
      <c r="CD1282" s="2">
        <v>183</v>
      </c>
      <c r="CE1282" s="2" t="s">
        <v>120</v>
      </c>
      <c r="CI1282" s="2">
        <v>1</v>
      </c>
      <c r="CJ1282" s="2" t="s">
        <v>185</v>
      </c>
      <c r="CK1282" s="2">
        <v>21</v>
      </c>
      <c r="CL1282" s="2" t="s">
        <v>89</v>
      </c>
    </row>
    <row r="1283" spans="1:90">
      <c r="A1283" s="2" t="s">
        <v>71</v>
      </c>
      <c r="B1283" s="2" t="s">
        <v>72</v>
      </c>
      <c r="C1283" s="2" t="s">
        <v>73</v>
      </c>
      <c r="E1283" s="2" t="str">
        <f>"FES1162594718"</f>
        <v>FES1162594718</v>
      </c>
      <c r="F1283" s="3">
        <v>43080</v>
      </c>
      <c r="G1283" s="2">
        <v>201806</v>
      </c>
      <c r="H1283" s="2" t="s">
        <v>74</v>
      </c>
      <c r="I1283" s="2" t="s">
        <v>75</v>
      </c>
      <c r="J1283" s="2" t="s">
        <v>97</v>
      </c>
      <c r="K1283" s="2" t="s">
        <v>77</v>
      </c>
      <c r="L1283" s="2" t="s">
        <v>136</v>
      </c>
      <c r="M1283" s="2" t="s">
        <v>137</v>
      </c>
      <c r="N1283" s="2" t="s">
        <v>1767</v>
      </c>
      <c r="O1283" s="2" t="s">
        <v>101</v>
      </c>
      <c r="P1283" s="2" t="str">
        <f>"2170606602                    "</f>
        <v xml:space="preserve">2170606602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6.43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45.93</v>
      </c>
      <c r="BM1283" s="2">
        <v>6.43</v>
      </c>
      <c r="BN1283" s="2">
        <v>52.36</v>
      </c>
      <c r="BO1283" s="2">
        <v>52.36</v>
      </c>
      <c r="BQ1283" s="2" t="s">
        <v>102</v>
      </c>
      <c r="BR1283" s="2" t="s">
        <v>103</v>
      </c>
      <c r="BS1283" s="3">
        <v>43081</v>
      </c>
      <c r="BT1283" s="4">
        <v>0.31041666666666667</v>
      </c>
      <c r="BU1283" s="2" t="s">
        <v>1768</v>
      </c>
      <c r="BV1283" s="2" t="s">
        <v>85</v>
      </c>
      <c r="BY1283" s="2">
        <v>1200</v>
      </c>
      <c r="CA1283" s="2" t="s">
        <v>180</v>
      </c>
      <c r="CC1283" s="2" t="s">
        <v>137</v>
      </c>
      <c r="CD1283" s="2">
        <v>6001</v>
      </c>
      <c r="CE1283" s="2" t="s">
        <v>120</v>
      </c>
      <c r="CF1283" s="3">
        <v>43083</v>
      </c>
      <c r="CI1283" s="2">
        <v>1</v>
      </c>
      <c r="CJ1283" s="2">
        <v>1</v>
      </c>
      <c r="CK1283" s="2">
        <v>21</v>
      </c>
      <c r="CL1283" s="2" t="s">
        <v>89</v>
      </c>
    </row>
    <row r="1284" spans="1:90">
      <c r="A1284" s="2" t="s">
        <v>71</v>
      </c>
      <c r="B1284" s="2" t="s">
        <v>72</v>
      </c>
      <c r="C1284" s="2" t="s">
        <v>73</v>
      </c>
      <c r="E1284" s="2" t="str">
        <f>"FES1162594860"</f>
        <v>FES1162594860</v>
      </c>
      <c r="F1284" s="3">
        <v>43080</v>
      </c>
      <c r="G1284" s="2">
        <v>201806</v>
      </c>
      <c r="H1284" s="2" t="s">
        <v>74</v>
      </c>
      <c r="I1284" s="2" t="s">
        <v>75</v>
      </c>
      <c r="J1284" s="2" t="s">
        <v>97</v>
      </c>
      <c r="K1284" s="2" t="s">
        <v>77</v>
      </c>
      <c r="L1284" s="2" t="s">
        <v>111</v>
      </c>
      <c r="M1284" s="2" t="s">
        <v>112</v>
      </c>
      <c r="N1284" s="2" t="s">
        <v>113</v>
      </c>
      <c r="O1284" s="2" t="s">
        <v>101</v>
      </c>
      <c r="P1284" s="2" t="str">
        <f>"2170606752                    "</f>
        <v xml:space="preserve">2170606752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6.43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45.93</v>
      </c>
      <c r="BM1284" s="2">
        <v>6.43</v>
      </c>
      <c r="BN1284" s="2">
        <v>52.36</v>
      </c>
      <c r="BO1284" s="2">
        <v>52.36</v>
      </c>
      <c r="BQ1284" s="2" t="s">
        <v>82</v>
      </c>
      <c r="BR1284" s="2" t="s">
        <v>103</v>
      </c>
      <c r="BS1284" s="3">
        <v>43081</v>
      </c>
      <c r="BT1284" s="4">
        <v>0.36805555555555558</v>
      </c>
      <c r="BU1284" s="2" t="s">
        <v>114</v>
      </c>
      <c r="BV1284" s="2" t="s">
        <v>85</v>
      </c>
      <c r="BY1284" s="2">
        <v>1200</v>
      </c>
      <c r="CC1284" s="2" t="s">
        <v>112</v>
      </c>
      <c r="CD1284" s="2">
        <v>6220</v>
      </c>
      <c r="CE1284" s="2" t="s">
        <v>120</v>
      </c>
      <c r="CF1284" s="3">
        <v>43083</v>
      </c>
      <c r="CI1284" s="2">
        <v>1</v>
      </c>
      <c r="CJ1284" s="2">
        <v>1</v>
      </c>
      <c r="CK1284" s="2">
        <v>21</v>
      </c>
      <c r="CL1284" s="2" t="s">
        <v>89</v>
      </c>
    </row>
    <row r="1285" spans="1:90">
      <c r="A1285" s="2" t="s">
        <v>71</v>
      </c>
      <c r="B1285" s="2" t="s">
        <v>72</v>
      </c>
      <c r="C1285" s="2" t="s">
        <v>73</v>
      </c>
      <c r="E1285" s="2" t="str">
        <f>"FES1162594872"</f>
        <v>FES1162594872</v>
      </c>
      <c r="F1285" s="3">
        <v>43080</v>
      </c>
      <c r="G1285" s="2">
        <v>201806</v>
      </c>
      <c r="H1285" s="2" t="s">
        <v>74</v>
      </c>
      <c r="I1285" s="2" t="s">
        <v>75</v>
      </c>
      <c r="J1285" s="2" t="s">
        <v>97</v>
      </c>
      <c r="K1285" s="2" t="s">
        <v>77</v>
      </c>
      <c r="L1285" s="2" t="s">
        <v>682</v>
      </c>
      <c r="M1285" s="2" t="s">
        <v>683</v>
      </c>
      <c r="N1285" s="2" t="s">
        <v>684</v>
      </c>
      <c r="O1285" s="2" t="s">
        <v>101</v>
      </c>
      <c r="P1285" s="2" t="str">
        <f>"2170606767                    "</f>
        <v xml:space="preserve">2170606767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12.47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1</v>
      </c>
      <c r="BJ1285" s="2">
        <v>0.2</v>
      </c>
      <c r="BK1285" s="2">
        <v>1</v>
      </c>
      <c r="BL1285" s="2">
        <v>89</v>
      </c>
      <c r="BM1285" s="2">
        <v>12.46</v>
      </c>
      <c r="BN1285" s="2">
        <v>101.46</v>
      </c>
      <c r="BO1285" s="2">
        <v>101.46</v>
      </c>
      <c r="BQ1285" s="2" t="s">
        <v>102</v>
      </c>
      <c r="BR1285" s="2" t="s">
        <v>103</v>
      </c>
      <c r="BS1285" s="3">
        <v>43081</v>
      </c>
      <c r="BT1285" s="4">
        <v>0.7583333333333333</v>
      </c>
      <c r="BU1285" s="2" t="s">
        <v>1765</v>
      </c>
      <c r="BV1285" s="2" t="s">
        <v>85</v>
      </c>
      <c r="BY1285" s="2">
        <v>1200</v>
      </c>
      <c r="CC1285" s="2" t="s">
        <v>683</v>
      </c>
      <c r="CD1285" s="2">
        <v>6300</v>
      </c>
      <c r="CE1285" s="2" t="s">
        <v>120</v>
      </c>
      <c r="CI1285" s="2">
        <v>3</v>
      </c>
      <c r="CJ1285" s="2">
        <v>1</v>
      </c>
      <c r="CK1285" s="2">
        <v>23</v>
      </c>
      <c r="CL1285" s="2" t="s">
        <v>89</v>
      </c>
    </row>
    <row r="1286" spans="1:90">
      <c r="A1286" s="2" t="s">
        <v>71</v>
      </c>
      <c r="B1286" s="2" t="s">
        <v>72</v>
      </c>
      <c r="C1286" s="2" t="s">
        <v>73</v>
      </c>
      <c r="E1286" s="2" t="str">
        <f>"FES1162594840"</f>
        <v>FES1162594840</v>
      </c>
      <c r="F1286" s="3">
        <v>43080</v>
      </c>
      <c r="G1286" s="2">
        <v>201806</v>
      </c>
      <c r="H1286" s="2" t="s">
        <v>74</v>
      </c>
      <c r="I1286" s="2" t="s">
        <v>75</v>
      </c>
      <c r="J1286" s="2" t="s">
        <v>97</v>
      </c>
      <c r="K1286" s="2" t="s">
        <v>77</v>
      </c>
      <c r="L1286" s="2" t="s">
        <v>136</v>
      </c>
      <c r="M1286" s="2" t="s">
        <v>137</v>
      </c>
      <c r="N1286" s="2" t="s">
        <v>580</v>
      </c>
      <c r="O1286" s="2" t="s">
        <v>101</v>
      </c>
      <c r="P1286" s="2" t="str">
        <f>"2170606732                    "</f>
        <v xml:space="preserve">2170606732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6.43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45.93</v>
      </c>
      <c r="BM1286" s="2">
        <v>6.43</v>
      </c>
      <c r="BN1286" s="2">
        <v>52.36</v>
      </c>
      <c r="BO1286" s="2">
        <v>52.36</v>
      </c>
      <c r="BQ1286" s="2" t="s">
        <v>102</v>
      </c>
      <c r="BR1286" s="2" t="s">
        <v>103</v>
      </c>
      <c r="BS1286" s="3">
        <v>43081</v>
      </c>
      <c r="BT1286" s="4">
        <v>0.3263888888888889</v>
      </c>
      <c r="BU1286" s="2" t="s">
        <v>1751</v>
      </c>
      <c r="BV1286" s="2" t="s">
        <v>85</v>
      </c>
      <c r="BY1286" s="2">
        <v>1200</v>
      </c>
      <c r="CA1286" s="2" t="s">
        <v>180</v>
      </c>
      <c r="CC1286" s="2" t="s">
        <v>137</v>
      </c>
      <c r="CD1286" s="2">
        <v>6001</v>
      </c>
      <c r="CE1286" s="2" t="s">
        <v>120</v>
      </c>
      <c r="CF1286" s="3">
        <v>43083</v>
      </c>
      <c r="CI1286" s="2">
        <v>1</v>
      </c>
      <c r="CJ1286" s="2">
        <v>1</v>
      </c>
      <c r="CK1286" s="2">
        <v>21</v>
      </c>
      <c r="CL1286" s="2" t="s">
        <v>89</v>
      </c>
    </row>
    <row r="1287" spans="1:90">
      <c r="A1287" s="2" t="s">
        <v>71</v>
      </c>
      <c r="B1287" s="2" t="s">
        <v>72</v>
      </c>
      <c r="C1287" s="2" t="s">
        <v>73</v>
      </c>
      <c r="E1287" s="2" t="str">
        <f>"FES1162594612"</f>
        <v>FES1162594612</v>
      </c>
      <c r="F1287" s="3">
        <v>43080</v>
      </c>
      <c r="G1287" s="2">
        <v>201806</v>
      </c>
      <c r="H1287" s="2" t="s">
        <v>74</v>
      </c>
      <c r="I1287" s="2" t="s">
        <v>75</v>
      </c>
      <c r="J1287" s="2" t="s">
        <v>97</v>
      </c>
      <c r="K1287" s="2" t="s">
        <v>77</v>
      </c>
      <c r="L1287" s="2" t="s">
        <v>136</v>
      </c>
      <c r="M1287" s="2" t="s">
        <v>137</v>
      </c>
      <c r="N1287" s="2" t="s">
        <v>1769</v>
      </c>
      <c r="O1287" s="2" t="s">
        <v>101</v>
      </c>
      <c r="P1287" s="2" t="str">
        <f>"2170606205                    "</f>
        <v xml:space="preserve">2170606205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6.43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1</v>
      </c>
      <c r="BJ1287" s="2">
        <v>0.2</v>
      </c>
      <c r="BK1287" s="2">
        <v>1</v>
      </c>
      <c r="BL1287" s="2">
        <v>45.93</v>
      </c>
      <c r="BM1287" s="2">
        <v>6.43</v>
      </c>
      <c r="BN1287" s="2">
        <v>52.36</v>
      </c>
      <c r="BO1287" s="2">
        <v>52.36</v>
      </c>
      <c r="BQ1287" s="2" t="s">
        <v>102</v>
      </c>
      <c r="BR1287" s="2" t="s">
        <v>103</v>
      </c>
      <c r="BS1287" s="3">
        <v>43081</v>
      </c>
      <c r="BT1287" s="4">
        <v>0.34027777777777773</v>
      </c>
      <c r="BU1287" s="2" t="s">
        <v>1770</v>
      </c>
      <c r="BV1287" s="2" t="s">
        <v>85</v>
      </c>
      <c r="BY1287" s="2">
        <v>1200</v>
      </c>
      <c r="CA1287" s="2" t="s">
        <v>1771</v>
      </c>
      <c r="CC1287" s="2" t="s">
        <v>137</v>
      </c>
      <c r="CD1287" s="2">
        <v>6065</v>
      </c>
      <c r="CE1287" s="2" t="s">
        <v>120</v>
      </c>
      <c r="CF1287" s="3">
        <v>43083</v>
      </c>
      <c r="CI1287" s="2">
        <v>1</v>
      </c>
      <c r="CJ1287" s="2">
        <v>1</v>
      </c>
      <c r="CK1287" s="2">
        <v>21</v>
      </c>
      <c r="CL1287" s="2" t="s">
        <v>89</v>
      </c>
    </row>
    <row r="1288" spans="1:90">
      <c r="A1288" s="2" t="s">
        <v>71</v>
      </c>
      <c r="B1288" s="2" t="s">
        <v>72</v>
      </c>
      <c r="C1288" s="2" t="s">
        <v>73</v>
      </c>
      <c r="E1288" s="2" t="str">
        <f>"FES1162594648"</f>
        <v>FES1162594648</v>
      </c>
      <c r="F1288" s="3">
        <v>43080</v>
      </c>
      <c r="G1288" s="2">
        <v>201806</v>
      </c>
      <c r="H1288" s="2" t="s">
        <v>74</v>
      </c>
      <c r="I1288" s="2" t="s">
        <v>75</v>
      </c>
      <c r="J1288" s="2" t="s">
        <v>97</v>
      </c>
      <c r="K1288" s="2" t="s">
        <v>77</v>
      </c>
      <c r="L1288" s="2" t="s">
        <v>136</v>
      </c>
      <c r="M1288" s="2" t="s">
        <v>137</v>
      </c>
      <c r="N1288" s="2" t="s">
        <v>333</v>
      </c>
      <c r="O1288" s="2" t="s">
        <v>101</v>
      </c>
      <c r="P1288" s="2" t="str">
        <f>"2170606494                    "</f>
        <v xml:space="preserve">2170606494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6.43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45.93</v>
      </c>
      <c r="BM1288" s="2">
        <v>6.43</v>
      </c>
      <c r="BN1288" s="2">
        <v>52.36</v>
      </c>
      <c r="BO1288" s="2">
        <v>52.36</v>
      </c>
      <c r="BQ1288" s="2" t="s">
        <v>102</v>
      </c>
      <c r="BR1288" s="2" t="s">
        <v>103</v>
      </c>
      <c r="BS1288" s="3">
        <v>43081</v>
      </c>
      <c r="BT1288" s="4">
        <v>0.3125</v>
      </c>
      <c r="BU1288" s="2" t="s">
        <v>335</v>
      </c>
      <c r="BV1288" s="2" t="s">
        <v>85</v>
      </c>
      <c r="BY1288" s="2">
        <v>1200</v>
      </c>
      <c r="CA1288" s="2" t="s">
        <v>140</v>
      </c>
      <c r="CC1288" s="2" t="s">
        <v>137</v>
      </c>
      <c r="CD1288" s="2">
        <v>6012</v>
      </c>
      <c r="CE1288" s="2" t="s">
        <v>120</v>
      </c>
      <c r="CF1288" s="3">
        <v>43083</v>
      </c>
      <c r="CI1288" s="2">
        <v>1</v>
      </c>
      <c r="CJ1288" s="2">
        <v>1</v>
      </c>
      <c r="CK1288" s="2">
        <v>21</v>
      </c>
      <c r="CL1288" s="2" t="s">
        <v>89</v>
      </c>
    </row>
    <row r="1289" spans="1:90">
      <c r="A1289" s="2" t="s">
        <v>71</v>
      </c>
      <c r="B1289" s="2" t="s">
        <v>72</v>
      </c>
      <c r="C1289" s="2" t="s">
        <v>73</v>
      </c>
      <c r="E1289" s="2" t="str">
        <f>"FES1162594609"</f>
        <v>FES1162594609</v>
      </c>
      <c r="F1289" s="3">
        <v>43080</v>
      </c>
      <c r="G1289" s="2">
        <v>201806</v>
      </c>
      <c r="H1289" s="2" t="s">
        <v>74</v>
      </c>
      <c r="I1289" s="2" t="s">
        <v>75</v>
      </c>
      <c r="J1289" s="2" t="s">
        <v>97</v>
      </c>
      <c r="K1289" s="2" t="s">
        <v>77</v>
      </c>
      <c r="L1289" s="2" t="s">
        <v>136</v>
      </c>
      <c r="M1289" s="2" t="s">
        <v>137</v>
      </c>
      <c r="N1289" s="2" t="s">
        <v>1772</v>
      </c>
      <c r="O1289" s="2" t="s">
        <v>101</v>
      </c>
      <c r="P1289" s="2" t="str">
        <f>"2170606144                    "</f>
        <v xml:space="preserve">2170606144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6.43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45.93</v>
      </c>
      <c r="BM1289" s="2">
        <v>6.43</v>
      </c>
      <c r="BN1289" s="2">
        <v>52.36</v>
      </c>
      <c r="BO1289" s="2">
        <v>52.36</v>
      </c>
      <c r="BQ1289" s="2" t="s">
        <v>82</v>
      </c>
      <c r="BR1289" s="2" t="s">
        <v>103</v>
      </c>
      <c r="BS1289" s="3">
        <v>43081</v>
      </c>
      <c r="BT1289" s="4">
        <v>0.37152777777777773</v>
      </c>
      <c r="BU1289" s="2" t="s">
        <v>1773</v>
      </c>
      <c r="BV1289" s="2" t="s">
        <v>85</v>
      </c>
      <c r="BY1289" s="2">
        <v>1200</v>
      </c>
      <c r="CA1289" s="2" t="s">
        <v>180</v>
      </c>
      <c r="CC1289" s="2" t="s">
        <v>137</v>
      </c>
      <c r="CD1289" s="2">
        <v>6001</v>
      </c>
      <c r="CE1289" s="2" t="s">
        <v>120</v>
      </c>
      <c r="CF1289" s="3">
        <v>43083</v>
      </c>
      <c r="CI1289" s="2">
        <v>1</v>
      </c>
      <c r="CJ1289" s="2">
        <v>1</v>
      </c>
      <c r="CK1289" s="2">
        <v>21</v>
      </c>
      <c r="CL1289" s="2" t="s">
        <v>89</v>
      </c>
    </row>
    <row r="1290" spans="1:90">
      <c r="A1290" s="2" t="s">
        <v>71</v>
      </c>
      <c r="B1290" s="2" t="s">
        <v>72</v>
      </c>
      <c r="C1290" s="2" t="s">
        <v>73</v>
      </c>
      <c r="E1290" s="2" t="str">
        <f>"FES1162594611"</f>
        <v>FES1162594611</v>
      </c>
      <c r="F1290" s="3">
        <v>43080</v>
      </c>
      <c r="G1290" s="2">
        <v>201806</v>
      </c>
      <c r="H1290" s="2" t="s">
        <v>74</v>
      </c>
      <c r="I1290" s="2" t="s">
        <v>75</v>
      </c>
      <c r="J1290" s="2" t="s">
        <v>97</v>
      </c>
      <c r="K1290" s="2" t="s">
        <v>77</v>
      </c>
      <c r="L1290" s="2" t="s">
        <v>1215</v>
      </c>
      <c r="M1290" s="2" t="s">
        <v>1216</v>
      </c>
      <c r="N1290" s="2" t="s">
        <v>1217</v>
      </c>
      <c r="O1290" s="2" t="s">
        <v>101</v>
      </c>
      <c r="P1290" s="2" t="str">
        <f>"2170606168                    "</f>
        <v xml:space="preserve">2170606168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6.43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45.93</v>
      </c>
      <c r="BM1290" s="2">
        <v>6.43</v>
      </c>
      <c r="BN1290" s="2">
        <v>52.36</v>
      </c>
      <c r="BO1290" s="2">
        <v>52.36</v>
      </c>
      <c r="BQ1290" s="2" t="s">
        <v>102</v>
      </c>
      <c r="BR1290" s="2" t="s">
        <v>103</v>
      </c>
      <c r="BS1290" s="3">
        <v>43082</v>
      </c>
      <c r="BT1290" s="4">
        <v>0.53472222222222221</v>
      </c>
      <c r="BU1290" s="2" t="s">
        <v>1218</v>
      </c>
      <c r="BV1290" s="2" t="s">
        <v>89</v>
      </c>
      <c r="BW1290" s="2" t="s">
        <v>149</v>
      </c>
      <c r="BX1290" s="2" t="s">
        <v>150</v>
      </c>
      <c r="BY1290" s="2">
        <v>1200</v>
      </c>
      <c r="CA1290" s="2" t="s">
        <v>1219</v>
      </c>
      <c r="CC1290" s="2" t="s">
        <v>1216</v>
      </c>
      <c r="CD1290" s="2">
        <v>5257</v>
      </c>
      <c r="CE1290" s="2" t="s">
        <v>120</v>
      </c>
      <c r="CF1290" s="3">
        <v>43087</v>
      </c>
      <c r="CI1290" s="2">
        <v>1</v>
      </c>
      <c r="CJ1290" s="2">
        <v>2</v>
      </c>
      <c r="CK1290" s="2">
        <v>21</v>
      </c>
      <c r="CL1290" s="2" t="s">
        <v>89</v>
      </c>
    </row>
    <row r="1291" spans="1:90">
      <c r="A1291" s="2" t="s">
        <v>71</v>
      </c>
      <c r="B1291" s="2" t="s">
        <v>72</v>
      </c>
      <c r="C1291" s="2" t="s">
        <v>73</v>
      </c>
      <c r="E1291" s="2" t="str">
        <f>"FES1162594789"</f>
        <v>FES1162594789</v>
      </c>
      <c r="F1291" s="3">
        <v>43080</v>
      </c>
      <c r="G1291" s="2">
        <v>201806</v>
      </c>
      <c r="H1291" s="2" t="s">
        <v>74</v>
      </c>
      <c r="I1291" s="2" t="s">
        <v>75</v>
      </c>
      <c r="J1291" s="2" t="s">
        <v>97</v>
      </c>
      <c r="K1291" s="2" t="s">
        <v>77</v>
      </c>
      <c r="L1291" s="2" t="s">
        <v>136</v>
      </c>
      <c r="M1291" s="2" t="s">
        <v>137</v>
      </c>
      <c r="N1291" s="2" t="s">
        <v>138</v>
      </c>
      <c r="O1291" s="2" t="s">
        <v>101</v>
      </c>
      <c r="P1291" s="2" t="str">
        <f>"2170604962                    "</f>
        <v xml:space="preserve">2170604962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6.43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45.93</v>
      </c>
      <c r="BM1291" s="2">
        <v>6.43</v>
      </c>
      <c r="BN1291" s="2">
        <v>52.36</v>
      </c>
      <c r="BO1291" s="2">
        <v>52.36</v>
      </c>
      <c r="BQ1291" s="2" t="s">
        <v>82</v>
      </c>
      <c r="BR1291" s="2" t="s">
        <v>103</v>
      </c>
      <c r="BS1291" s="3">
        <v>43081</v>
      </c>
      <c r="BT1291" s="4">
        <v>0.35416666666666669</v>
      </c>
      <c r="BU1291" s="2" t="s">
        <v>139</v>
      </c>
      <c r="BV1291" s="2" t="s">
        <v>85</v>
      </c>
      <c r="BY1291" s="2">
        <v>1200</v>
      </c>
      <c r="CA1291" s="2" t="s">
        <v>140</v>
      </c>
      <c r="CC1291" s="2" t="s">
        <v>137</v>
      </c>
      <c r="CD1291" s="2">
        <v>6001</v>
      </c>
      <c r="CE1291" s="2" t="s">
        <v>120</v>
      </c>
      <c r="CF1291" s="3">
        <v>43083</v>
      </c>
      <c r="CI1291" s="2">
        <v>1</v>
      </c>
      <c r="CJ1291" s="2">
        <v>1</v>
      </c>
      <c r="CK1291" s="2">
        <v>21</v>
      </c>
      <c r="CL1291" s="2" t="s">
        <v>89</v>
      </c>
    </row>
    <row r="1292" spans="1:90">
      <c r="A1292" s="2" t="s">
        <v>71</v>
      </c>
      <c r="B1292" s="2" t="s">
        <v>72</v>
      </c>
      <c r="C1292" s="2" t="s">
        <v>73</v>
      </c>
      <c r="E1292" s="2" t="str">
        <f>"FES1162594728"</f>
        <v>FES1162594728</v>
      </c>
      <c r="F1292" s="3">
        <v>43080</v>
      </c>
      <c r="G1292" s="2">
        <v>201806</v>
      </c>
      <c r="H1292" s="2" t="s">
        <v>74</v>
      </c>
      <c r="I1292" s="2" t="s">
        <v>75</v>
      </c>
      <c r="J1292" s="2" t="s">
        <v>97</v>
      </c>
      <c r="K1292" s="2" t="s">
        <v>77</v>
      </c>
      <c r="L1292" s="2" t="s">
        <v>111</v>
      </c>
      <c r="M1292" s="2" t="s">
        <v>112</v>
      </c>
      <c r="N1292" s="2" t="s">
        <v>113</v>
      </c>
      <c r="O1292" s="2" t="s">
        <v>101</v>
      </c>
      <c r="P1292" s="2" t="str">
        <f>"2170606614                    "</f>
        <v xml:space="preserve">2170606614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6.43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</v>
      </c>
      <c r="BJ1292" s="2">
        <v>0.2</v>
      </c>
      <c r="BK1292" s="2">
        <v>1</v>
      </c>
      <c r="BL1292" s="2">
        <v>45.93</v>
      </c>
      <c r="BM1292" s="2">
        <v>6.43</v>
      </c>
      <c r="BN1292" s="2">
        <v>52.36</v>
      </c>
      <c r="BO1292" s="2">
        <v>52.36</v>
      </c>
      <c r="BQ1292" s="2" t="s">
        <v>82</v>
      </c>
      <c r="BR1292" s="2" t="s">
        <v>103</v>
      </c>
      <c r="BS1292" s="3">
        <v>43081</v>
      </c>
      <c r="BT1292" s="4">
        <v>0.36805555555555558</v>
      </c>
      <c r="BU1292" s="2" t="s">
        <v>114</v>
      </c>
      <c r="BV1292" s="2" t="s">
        <v>85</v>
      </c>
      <c r="BY1292" s="2">
        <v>1200</v>
      </c>
      <c r="CC1292" s="2" t="s">
        <v>112</v>
      </c>
      <c r="CD1292" s="2">
        <v>6220</v>
      </c>
      <c r="CE1292" s="2" t="s">
        <v>120</v>
      </c>
      <c r="CF1292" s="3">
        <v>43083</v>
      </c>
      <c r="CI1292" s="2">
        <v>1</v>
      </c>
      <c r="CJ1292" s="2">
        <v>1</v>
      </c>
      <c r="CK1292" s="2">
        <v>21</v>
      </c>
      <c r="CL1292" s="2" t="s">
        <v>89</v>
      </c>
    </row>
    <row r="1293" spans="1:90">
      <c r="A1293" s="2" t="s">
        <v>71</v>
      </c>
      <c r="B1293" s="2" t="s">
        <v>72</v>
      </c>
      <c r="C1293" s="2" t="s">
        <v>73</v>
      </c>
      <c r="E1293" s="2" t="str">
        <f>"FES1162594645"</f>
        <v>FES1162594645</v>
      </c>
      <c r="F1293" s="3">
        <v>43080</v>
      </c>
      <c r="G1293" s="2">
        <v>201806</v>
      </c>
      <c r="H1293" s="2" t="s">
        <v>74</v>
      </c>
      <c r="I1293" s="2" t="s">
        <v>75</v>
      </c>
      <c r="J1293" s="2" t="s">
        <v>97</v>
      </c>
      <c r="K1293" s="2" t="s">
        <v>77</v>
      </c>
      <c r="L1293" s="2" t="s">
        <v>682</v>
      </c>
      <c r="M1293" s="2" t="s">
        <v>683</v>
      </c>
      <c r="N1293" s="2" t="s">
        <v>684</v>
      </c>
      <c r="O1293" s="2" t="s">
        <v>101</v>
      </c>
      <c r="P1293" s="2" t="str">
        <f>"2170606491                    "</f>
        <v xml:space="preserve">2170606491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12.47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89</v>
      </c>
      <c r="BM1293" s="2">
        <v>12.46</v>
      </c>
      <c r="BN1293" s="2">
        <v>101.46</v>
      </c>
      <c r="BO1293" s="2">
        <v>101.46</v>
      </c>
      <c r="BQ1293" s="2" t="s">
        <v>102</v>
      </c>
      <c r="BR1293" s="2" t="s">
        <v>103</v>
      </c>
      <c r="BS1293" s="3">
        <v>43081</v>
      </c>
      <c r="BT1293" s="4">
        <v>0.7583333333333333</v>
      </c>
      <c r="BU1293" s="2" t="s">
        <v>1765</v>
      </c>
      <c r="BV1293" s="2" t="s">
        <v>85</v>
      </c>
      <c r="BY1293" s="2">
        <v>1200</v>
      </c>
      <c r="CC1293" s="2" t="s">
        <v>683</v>
      </c>
      <c r="CD1293" s="2">
        <v>6300</v>
      </c>
      <c r="CE1293" s="2" t="s">
        <v>120</v>
      </c>
      <c r="CI1293" s="2">
        <v>3</v>
      </c>
      <c r="CJ1293" s="2">
        <v>1</v>
      </c>
      <c r="CK1293" s="2">
        <v>23</v>
      </c>
      <c r="CL1293" s="2" t="s">
        <v>89</v>
      </c>
    </row>
    <row r="1294" spans="1:90">
      <c r="A1294" s="2" t="s">
        <v>71</v>
      </c>
      <c r="B1294" s="2" t="s">
        <v>72</v>
      </c>
      <c r="C1294" s="2" t="s">
        <v>73</v>
      </c>
      <c r="E1294" s="2" t="str">
        <f>"FES1162594952"</f>
        <v>FES1162594952</v>
      </c>
      <c r="F1294" s="3">
        <v>43080</v>
      </c>
      <c r="G1294" s="2">
        <v>201806</v>
      </c>
      <c r="H1294" s="2" t="s">
        <v>74</v>
      </c>
      <c r="I1294" s="2" t="s">
        <v>75</v>
      </c>
      <c r="J1294" s="2" t="s">
        <v>97</v>
      </c>
      <c r="K1294" s="2" t="s">
        <v>77</v>
      </c>
      <c r="L1294" s="2" t="s">
        <v>136</v>
      </c>
      <c r="M1294" s="2" t="s">
        <v>137</v>
      </c>
      <c r="N1294" s="2" t="s">
        <v>138</v>
      </c>
      <c r="O1294" s="2" t="s">
        <v>101</v>
      </c>
      <c r="P1294" s="2" t="str">
        <f>"2170604962                    "</f>
        <v xml:space="preserve">2170604962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6.43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45.93</v>
      </c>
      <c r="BM1294" s="2">
        <v>6.43</v>
      </c>
      <c r="BN1294" s="2">
        <v>52.36</v>
      </c>
      <c r="BO1294" s="2">
        <v>52.36</v>
      </c>
      <c r="BQ1294" s="2" t="s">
        <v>82</v>
      </c>
      <c r="BR1294" s="2" t="s">
        <v>103</v>
      </c>
      <c r="BS1294" s="3">
        <v>43081</v>
      </c>
      <c r="BT1294" s="4">
        <v>0.35416666666666669</v>
      </c>
      <c r="BU1294" s="2" t="s">
        <v>139</v>
      </c>
      <c r="BV1294" s="2" t="s">
        <v>85</v>
      </c>
      <c r="BY1294" s="2">
        <v>1200</v>
      </c>
      <c r="CA1294" s="2" t="s">
        <v>140</v>
      </c>
      <c r="CC1294" s="2" t="s">
        <v>137</v>
      </c>
      <c r="CD1294" s="2">
        <v>6001</v>
      </c>
      <c r="CE1294" s="2" t="s">
        <v>120</v>
      </c>
      <c r="CF1294" s="3">
        <v>43083</v>
      </c>
      <c r="CI1294" s="2">
        <v>1</v>
      </c>
      <c r="CJ1294" s="2">
        <v>1</v>
      </c>
      <c r="CK1294" s="2">
        <v>21</v>
      </c>
      <c r="CL1294" s="2" t="s">
        <v>89</v>
      </c>
    </row>
    <row r="1295" spans="1:90">
      <c r="A1295" s="2" t="s">
        <v>71</v>
      </c>
      <c r="B1295" s="2" t="s">
        <v>72</v>
      </c>
      <c r="C1295" s="2" t="s">
        <v>73</v>
      </c>
      <c r="E1295" s="2" t="str">
        <f>"FES1162594680"</f>
        <v>FES1162594680</v>
      </c>
      <c r="F1295" s="3">
        <v>43080</v>
      </c>
      <c r="G1295" s="2">
        <v>201806</v>
      </c>
      <c r="H1295" s="2" t="s">
        <v>74</v>
      </c>
      <c r="I1295" s="2" t="s">
        <v>75</v>
      </c>
      <c r="J1295" s="2" t="s">
        <v>97</v>
      </c>
      <c r="K1295" s="2" t="s">
        <v>77</v>
      </c>
      <c r="L1295" s="2" t="s">
        <v>145</v>
      </c>
      <c r="M1295" s="2" t="s">
        <v>146</v>
      </c>
      <c r="N1295" s="2" t="s">
        <v>709</v>
      </c>
      <c r="O1295" s="2" t="s">
        <v>101</v>
      </c>
      <c r="P1295" s="2" t="str">
        <f>"2170606542                    "</f>
        <v xml:space="preserve">2170606542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6.43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1</v>
      </c>
      <c r="BJ1295" s="2">
        <v>0.2</v>
      </c>
      <c r="BK1295" s="2">
        <v>1</v>
      </c>
      <c r="BL1295" s="2">
        <v>45.93</v>
      </c>
      <c r="BM1295" s="2">
        <v>6.43</v>
      </c>
      <c r="BN1295" s="2">
        <v>52.36</v>
      </c>
      <c r="BO1295" s="2">
        <v>52.36</v>
      </c>
      <c r="BQ1295" s="2" t="s">
        <v>102</v>
      </c>
      <c r="BR1295" s="2" t="s">
        <v>103</v>
      </c>
      <c r="BS1295" s="3">
        <v>43081</v>
      </c>
      <c r="BT1295" s="4">
        <v>0.41666666666666669</v>
      </c>
      <c r="BU1295" s="2" t="s">
        <v>1774</v>
      </c>
      <c r="BV1295" s="2" t="s">
        <v>85</v>
      </c>
      <c r="BY1295" s="2">
        <v>1200</v>
      </c>
      <c r="CC1295" s="2" t="s">
        <v>146</v>
      </c>
      <c r="CD1295" s="2">
        <v>5201</v>
      </c>
      <c r="CE1295" s="2" t="s">
        <v>120</v>
      </c>
      <c r="CF1295" s="3">
        <v>43084</v>
      </c>
      <c r="CI1295" s="2">
        <v>1</v>
      </c>
      <c r="CJ1295" s="2">
        <v>1</v>
      </c>
      <c r="CK1295" s="2">
        <v>21</v>
      </c>
      <c r="CL1295" s="2" t="s">
        <v>89</v>
      </c>
    </row>
    <row r="1296" spans="1:90">
      <c r="A1296" s="2" t="s">
        <v>71</v>
      </c>
      <c r="B1296" s="2" t="s">
        <v>72</v>
      </c>
      <c r="C1296" s="2" t="s">
        <v>73</v>
      </c>
      <c r="E1296" s="2" t="str">
        <f>"FES1162594944"</f>
        <v>FES1162594944</v>
      </c>
      <c r="F1296" s="3">
        <v>43080</v>
      </c>
      <c r="G1296" s="2">
        <v>201806</v>
      </c>
      <c r="H1296" s="2" t="s">
        <v>74</v>
      </c>
      <c r="I1296" s="2" t="s">
        <v>75</v>
      </c>
      <c r="J1296" s="2" t="s">
        <v>97</v>
      </c>
      <c r="K1296" s="2" t="s">
        <v>77</v>
      </c>
      <c r="L1296" s="2" t="s">
        <v>136</v>
      </c>
      <c r="M1296" s="2" t="s">
        <v>137</v>
      </c>
      <c r="N1296" s="2" t="s">
        <v>1249</v>
      </c>
      <c r="O1296" s="2" t="s">
        <v>101</v>
      </c>
      <c r="P1296" s="2" t="str">
        <f>"2170606858                    "</f>
        <v xml:space="preserve">2170606858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6.43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1</v>
      </c>
      <c r="BJ1296" s="2">
        <v>0.2</v>
      </c>
      <c r="BK1296" s="2">
        <v>1</v>
      </c>
      <c r="BL1296" s="2">
        <v>45.93</v>
      </c>
      <c r="BM1296" s="2">
        <v>6.43</v>
      </c>
      <c r="BN1296" s="2">
        <v>52.36</v>
      </c>
      <c r="BO1296" s="2">
        <v>52.36</v>
      </c>
      <c r="BQ1296" s="2" t="s">
        <v>102</v>
      </c>
      <c r="BR1296" s="2" t="s">
        <v>103</v>
      </c>
      <c r="BS1296" s="3">
        <v>43081</v>
      </c>
      <c r="BT1296" s="4">
        <v>0.41666666666666669</v>
      </c>
      <c r="BU1296" s="2" t="s">
        <v>1250</v>
      </c>
      <c r="BV1296" s="2" t="s">
        <v>85</v>
      </c>
      <c r="BY1296" s="2">
        <v>1200</v>
      </c>
      <c r="CA1296" s="2" t="s">
        <v>180</v>
      </c>
      <c r="CC1296" s="2" t="s">
        <v>137</v>
      </c>
      <c r="CD1296" s="2">
        <v>6001</v>
      </c>
      <c r="CE1296" s="2" t="s">
        <v>120</v>
      </c>
      <c r="CF1296" s="3">
        <v>43083</v>
      </c>
      <c r="CI1296" s="2">
        <v>1</v>
      </c>
      <c r="CJ1296" s="2">
        <v>1</v>
      </c>
      <c r="CK1296" s="2">
        <v>21</v>
      </c>
      <c r="CL1296" s="2" t="s">
        <v>89</v>
      </c>
    </row>
    <row r="1297" spans="1:90">
      <c r="A1297" s="2" t="s">
        <v>71</v>
      </c>
      <c r="B1297" s="2" t="s">
        <v>72</v>
      </c>
      <c r="C1297" s="2" t="s">
        <v>73</v>
      </c>
      <c r="E1297" s="2" t="str">
        <f>"FES1162594737"</f>
        <v>FES1162594737</v>
      </c>
      <c r="F1297" s="3">
        <v>43080</v>
      </c>
      <c r="G1297" s="2">
        <v>201806</v>
      </c>
      <c r="H1297" s="2" t="s">
        <v>74</v>
      </c>
      <c r="I1297" s="2" t="s">
        <v>75</v>
      </c>
      <c r="J1297" s="2" t="s">
        <v>97</v>
      </c>
      <c r="K1297" s="2" t="s">
        <v>77</v>
      </c>
      <c r="L1297" s="2" t="s">
        <v>136</v>
      </c>
      <c r="M1297" s="2" t="s">
        <v>137</v>
      </c>
      <c r="N1297" s="2" t="s">
        <v>580</v>
      </c>
      <c r="O1297" s="2" t="s">
        <v>101</v>
      </c>
      <c r="P1297" s="2" t="str">
        <f>"2170606621                    "</f>
        <v xml:space="preserve">2170606621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14.47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2</v>
      </c>
      <c r="BJ1297" s="2">
        <v>4.0999999999999996</v>
      </c>
      <c r="BK1297" s="2">
        <v>4.5</v>
      </c>
      <c r="BL1297" s="2">
        <v>103.32</v>
      </c>
      <c r="BM1297" s="2">
        <v>14.46</v>
      </c>
      <c r="BN1297" s="2">
        <v>117.78</v>
      </c>
      <c r="BO1297" s="2">
        <v>117.78</v>
      </c>
      <c r="BQ1297" s="2" t="s">
        <v>102</v>
      </c>
      <c r="BR1297" s="2" t="s">
        <v>103</v>
      </c>
      <c r="BS1297" s="3">
        <v>43081</v>
      </c>
      <c r="BT1297" s="4">
        <v>0.3263888888888889</v>
      </c>
      <c r="BU1297" s="2" t="s">
        <v>1751</v>
      </c>
      <c r="BV1297" s="2" t="s">
        <v>85</v>
      </c>
      <c r="BY1297" s="2">
        <v>20358</v>
      </c>
      <c r="CA1297" s="2" t="s">
        <v>180</v>
      </c>
      <c r="CC1297" s="2" t="s">
        <v>137</v>
      </c>
      <c r="CD1297" s="2">
        <v>6001</v>
      </c>
      <c r="CE1297" s="2" t="s">
        <v>95</v>
      </c>
      <c r="CF1297" s="3">
        <v>43083</v>
      </c>
      <c r="CI1297" s="2">
        <v>1</v>
      </c>
      <c r="CJ1297" s="2">
        <v>1</v>
      </c>
      <c r="CK1297" s="2">
        <v>21</v>
      </c>
      <c r="CL1297" s="2" t="s">
        <v>89</v>
      </c>
    </row>
    <row r="1298" spans="1:90">
      <c r="A1298" s="2" t="s">
        <v>71</v>
      </c>
      <c r="B1298" s="2" t="s">
        <v>72</v>
      </c>
      <c r="C1298" s="2" t="s">
        <v>73</v>
      </c>
      <c r="E1298" s="2" t="str">
        <f>"FES1162594883"</f>
        <v>FES1162594883</v>
      </c>
      <c r="F1298" s="3">
        <v>43080</v>
      </c>
      <c r="G1298" s="2">
        <v>201806</v>
      </c>
      <c r="H1298" s="2" t="s">
        <v>74</v>
      </c>
      <c r="I1298" s="2" t="s">
        <v>75</v>
      </c>
      <c r="J1298" s="2" t="s">
        <v>97</v>
      </c>
      <c r="K1298" s="2" t="s">
        <v>77</v>
      </c>
      <c r="L1298" s="2" t="s">
        <v>136</v>
      </c>
      <c r="M1298" s="2" t="s">
        <v>137</v>
      </c>
      <c r="N1298" s="2" t="s">
        <v>823</v>
      </c>
      <c r="O1298" s="2" t="s">
        <v>101</v>
      </c>
      <c r="P1298" s="2" t="str">
        <f>"2170606778                    "</f>
        <v xml:space="preserve">2170606778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22.51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6.6</v>
      </c>
      <c r="BJ1298" s="2">
        <v>3.7</v>
      </c>
      <c r="BK1298" s="2">
        <v>7</v>
      </c>
      <c r="BL1298" s="2">
        <v>160.71</v>
      </c>
      <c r="BM1298" s="2">
        <v>22.5</v>
      </c>
      <c r="BN1298" s="2">
        <v>183.21</v>
      </c>
      <c r="BO1298" s="2">
        <v>183.21</v>
      </c>
      <c r="BQ1298" s="2" t="s">
        <v>102</v>
      </c>
      <c r="BR1298" s="2" t="s">
        <v>103</v>
      </c>
      <c r="BS1298" s="3">
        <v>43081</v>
      </c>
      <c r="BT1298" s="4">
        <v>0.33680555555555558</v>
      </c>
      <c r="BU1298" s="2" t="s">
        <v>1031</v>
      </c>
      <c r="BV1298" s="2" t="s">
        <v>85</v>
      </c>
      <c r="BY1298" s="2">
        <v>18683.89</v>
      </c>
      <c r="CA1298" s="2" t="s">
        <v>180</v>
      </c>
      <c r="CC1298" s="2" t="s">
        <v>137</v>
      </c>
      <c r="CD1298" s="2">
        <v>6001</v>
      </c>
      <c r="CE1298" s="2" t="s">
        <v>95</v>
      </c>
      <c r="CF1298" s="3">
        <v>43083</v>
      </c>
      <c r="CI1298" s="2">
        <v>1</v>
      </c>
      <c r="CJ1298" s="2">
        <v>1</v>
      </c>
      <c r="CK1298" s="2">
        <v>21</v>
      </c>
      <c r="CL1298" s="2" t="s">
        <v>89</v>
      </c>
    </row>
    <row r="1299" spans="1:90">
      <c r="A1299" s="2" t="s">
        <v>71</v>
      </c>
      <c r="B1299" s="2" t="s">
        <v>72</v>
      </c>
      <c r="C1299" s="2" t="s">
        <v>73</v>
      </c>
      <c r="E1299" s="2" t="str">
        <f>"FES1162594671"</f>
        <v>FES1162594671</v>
      </c>
      <c r="F1299" s="3">
        <v>43080</v>
      </c>
      <c r="G1299" s="2">
        <v>201806</v>
      </c>
      <c r="H1299" s="2" t="s">
        <v>74</v>
      </c>
      <c r="I1299" s="2" t="s">
        <v>75</v>
      </c>
      <c r="J1299" s="2" t="s">
        <v>97</v>
      </c>
      <c r="K1299" s="2" t="s">
        <v>77</v>
      </c>
      <c r="L1299" s="2" t="s">
        <v>136</v>
      </c>
      <c r="M1299" s="2" t="s">
        <v>137</v>
      </c>
      <c r="N1299" s="2" t="s">
        <v>662</v>
      </c>
      <c r="O1299" s="2" t="s">
        <v>101</v>
      </c>
      <c r="P1299" s="2" t="str">
        <f>"2170606530                    "</f>
        <v xml:space="preserve">2170606530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12.87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1.5</v>
      </c>
      <c r="BJ1299" s="2">
        <v>3.9</v>
      </c>
      <c r="BK1299" s="2">
        <v>4</v>
      </c>
      <c r="BL1299" s="2">
        <v>91.85</v>
      </c>
      <c r="BM1299" s="2">
        <v>12.86</v>
      </c>
      <c r="BN1299" s="2">
        <v>104.71</v>
      </c>
      <c r="BO1299" s="2">
        <v>104.71</v>
      </c>
      <c r="BQ1299" s="2" t="s">
        <v>128</v>
      </c>
      <c r="BR1299" s="2" t="s">
        <v>103</v>
      </c>
      <c r="BS1299" s="3">
        <v>43081</v>
      </c>
      <c r="BT1299" s="4">
        <v>0.30486111111111108</v>
      </c>
      <c r="BU1299" s="2" t="s">
        <v>1479</v>
      </c>
      <c r="BV1299" s="2" t="s">
        <v>85</v>
      </c>
      <c r="BY1299" s="2">
        <v>19691.599999999999</v>
      </c>
      <c r="CA1299" s="2" t="s">
        <v>140</v>
      </c>
      <c r="CC1299" s="2" t="s">
        <v>137</v>
      </c>
      <c r="CD1299" s="2">
        <v>6012</v>
      </c>
      <c r="CE1299" s="2" t="s">
        <v>95</v>
      </c>
      <c r="CF1299" s="3">
        <v>43083</v>
      </c>
      <c r="CI1299" s="2">
        <v>1</v>
      </c>
      <c r="CJ1299" s="2">
        <v>1</v>
      </c>
      <c r="CK1299" s="2">
        <v>21</v>
      </c>
      <c r="CL1299" s="2" t="s">
        <v>89</v>
      </c>
    </row>
    <row r="1300" spans="1:90">
      <c r="A1300" s="2" t="s">
        <v>71</v>
      </c>
      <c r="B1300" s="2" t="s">
        <v>72</v>
      </c>
      <c r="C1300" s="2" t="s">
        <v>73</v>
      </c>
      <c r="E1300" s="2" t="str">
        <f>"FES1162594841"</f>
        <v>FES1162594841</v>
      </c>
      <c r="F1300" s="3">
        <v>43080</v>
      </c>
      <c r="G1300" s="2">
        <v>201806</v>
      </c>
      <c r="H1300" s="2" t="s">
        <v>74</v>
      </c>
      <c r="I1300" s="2" t="s">
        <v>75</v>
      </c>
      <c r="J1300" s="2" t="s">
        <v>97</v>
      </c>
      <c r="K1300" s="2" t="s">
        <v>77</v>
      </c>
      <c r="L1300" s="2" t="s">
        <v>145</v>
      </c>
      <c r="M1300" s="2" t="s">
        <v>146</v>
      </c>
      <c r="N1300" s="2" t="s">
        <v>953</v>
      </c>
      <c r="O1300" s="2" t="s">
        <v>101</v>
      </c>
      <c r="P1300" s="2" t="str">
        <f>"2170606733                    "</f>
        <v xml:space="preserve">2170606733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6.43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1</v>
      </c>
      <c r="BJ1300" s="2">
        <v>0.2</v>
      </c>
      <c r="BK1300" s="2">
        <v>1</v>
      </c>
      <c r="BL1300" s="2">
        <v>45.93</v>
      </c>
      <c r="BM1300" s="2">
        <v>6.43</v>
      </c>
      <c r="BN1300" s="2">
        <v>52.36</v>
      </c>
      <c r="BO1300" s="2">
        <v>52.36</v>
      </c>
      <c r="BQ1300" s="2" t="s">
        <v>102</v>
      </c>
      <c r="BR1300" s="2" t="s">
        <v>103</v>
      </c>
      <c r="BS1300" s="3">
        <v>43081</v>
      </c>
      <c r="BT1300" s="4">
        <v>0.41666666666666669</v>
      </c>
      <c r="BU1300" s="2" t="s">
        <v>1775</v>
      </c>
      <c r="BV1300" s="2" t="s">
        <v>85</v>
      </c>
      <c r="BY1300" s="2">
        <v>1200</v>
      </c>
      <c r="CA1300" s="2" t="s">
        <v>629</v>
      </c>
      <c r="CC1300" s="2" t="s">
        <v>146</v>
      </c>
      <c r="CD1300" s="2">
        <v>5201</v>
      </c>
      <c r="CE1300" s="2" t="s">
        <v>120</v>
      </c>
      <c r="CF1300" s="3">
        <v>43084</v>
      </c>
      <c r="CI1300" s="2">
        <v>1</v>
      </c>
      <c r="CJ1300" s="2">
        <v>1</v>
      </c>
      <c r="CK1300" s="2">
        <v>21</v>
      </c>
      <c r="CL1300" s="2" t="s">
        <v>89</v>
      </c>
    </row>
    <row r="1301" spans="1:90">
      <c r="A1301" s="2" t="s">
        <v>71</v>
      </c>
      <c r="B1301" s="2" t="s">
        <v>72</v>
      </c>
      <c r="C1301" s="2" t="s">
        <v>73</v>
      </c>
      <c r="E1301" s="2" t="str">
        <f>"FES1162595033"</f>
        <v>FES1162595033</v>
      </c>
      <c r="F1301" s="3">
        <v>43080</v>
      </c>
      <c r="G1301" s="2">
        <v>201806</v>
      </c>
      <c r="H1301" s="2" t="s">
        <v>74</v>
      </c>
      <c r="I1301" s="2" t="s">
        <v>75</v>
      </c>
      <c r="J1301" s="2" t="s">
        <v>97</v>
      </c>
      <c r="K1301" s="2" t="s">
        <v>77</v>
      </c>
      <c r="L1301" s="2" t="s">
        <v>136</v>
      </c>
      <c r="M1301" s="2" t="s">
        <v>137</v>
      </c>
      <c r="N1301" s="2" t="s">
        <v>580</v>
      </c>
      <c r="O1301" s="2" t="s">
        <v>101</v>
      </c>
      <c r="P1301" s="2" t="str">
        <f>"2170606957                    "</f>
        <v xml:space="preserve">2170606957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6.43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1</v>
      </c>
      <c r="BJ1301" s="2">
        <v>0.2</v>
      </c>
      <c r="BK1301" s="2">
        <v>1</v>
      </c>
      <c r="BL1301" s="2">
        <v>45.93</v>
      </c>
      <c r="BM1301" s="2">
        <v>6.43</v>
      </c>
      <c r="BN1301" s="2">
        <v>52.36</v>
      </c>
      <c r="BO1301" s="2">
        <v>52.36</v>
      </c>
      <c r="BQ1301" s="2" t="s">
        <v>102</v>
      </c>
      <c r="BR1301" s="2" t="s">
        <v>103</v>
      </c>
      <c r="BS1301" s="3">
        <v>43081</v>
      </c>
      <c r="BT1301" s="4">
        <v>0.3263888888888889</v>
      </c>
      <c r="BU1301" s="2" t="s">
        <v>1751</v>
      </c>
      <c r="BV1301" s="2" t="s">
        <v>85</v>
      </c>
      <c r="BY1301" s="2">
        <v>1200</v>
      </c>
      <c r="CA1301" s="2" t="s">
        <v>180</v>
      </c>
      <c r="CC1301" s="2" t="s">
        <v>137</v>
      </c>
      <c r="CD1301" s="2">
        <v>6001</v>
      </c>
      <c r="CE1301" s="2" t="s">
        <v>120</v>
      </c>
      <c r="CF1301" s="3">
        <v>43083</v>
      </c>
      <c r="CI1301" s="2">
        <v>1</v>
      </c>
      <c r="CJ1301" s="2">
        <v>1</v>
      </c>
      <c r="CK1301" s="2">
        <v>21</v>
      </c>
      <c r="CL1301" s="2" t="s">
        <v>89</v>
      </c>
    </row>
    <row r="1302" spans="1:90">
      <c r="A1302" s="2" t="s">
        <v>71</v>
      </c>
      <c r="B1302" s="2" t="s">
        <v>72</v>
      </c>
      <c r="C1302" s="2" t="s">
        <v>73</v>
      </c>
      <c r="E1302" s="2" t="str">
        <f>"FES1162594636"</f>
        <v>FES1162594636</v>
      </c>
      <c r="F1302" s="3">
        <v>43080</v>
      </c>
      <c r="G1302" s="2">
        <v>201806</v>
      </c>
      <c r="H1302" s="2" t="s">
        <v>74</v>
      </c>
      <c r="I1302" s="2" t="s">
        <v>75</v>
      </c>
      <c r="J1302" s="2" t="s">
        <v>97</v>
      </c>
      <c r="K1302" s="2" t="s">
        <v>77</v>
      </c>
      <c r="L1302" s="2" t="s">
        <v>136</v>
      </c>
      <c r="M1302" s="2" t="s">
        <v>137</v>
      </c>
      <c r="N1302" s="2" t="s">
        <v>1652</v>
      </c>
      <c r="O1302" s="2" t="s">
        <v>101</v>
      </c>
      <c r="P1302" s="2" t="str">
        <f>"2170603253                    "</f>
        <v xml:space="preserve">2170603253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54.67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17</v>
      </c>
      <c r="BJ1302" s="2">
        <v>8.1</v>
      </c>
      <c r="BK1302" s="2">
        <v>17</v>
      </c>
      <c r="BL1302" s="2">
        <v>390.27</v>
      </c>
      <c r="BM1302" s="2">
        <v>54.64</v>
      </c>
      <c r="BN1302" s="2">
        <v>444.91</v>
      </c>
      <c r="BO1302" s="2">
        <v>444.91</v>
      </c>
      <c r="BQ1302" s="2" t="s">
        <v>1776</v>
      </c>
      <c r="BR1302" s="2" t="s">
        <v>103</v>
      </c>
      <c r="BS1302" s="3">
        <v>43081</v>
      </c>
      <c r="BT1302" s="4">
        <v>0.32291666666666669</v>
      </c>
      <c r="BU1302" s="2" t="s">
        <v>1777</v>
      </c>
      <c r="BV1302" s="2" t="s">
        <v>85</v>
      </c>
      <c r="BY1302" s="2">
        <v>40356</v>
      </c>
      <c r="CA1302" s="2" t="s">
        <v>180</v>
      </c>
      <c r="CC1302" s="2" t="s">
        <v>137</v>
      </c>
      <c r="CD1302" s="2">
        <v>6001</v>
      </c>
      <c r="CE1302" s="2" t="s">
        <v>1004</v>
      </c>
      <c r="CF1302" s="3">
        <v>43083</v>
      </c>
      <c r="CI1302" s="2">
        <v>1</v>
      </c>
      <c r="CJ1302" s="2">
        <v>1</v>
      </c>
      <c r="CK1302" s="2">
        <v>21</v>
      </c>
      <c r="CL1302" s="2" t="s">
        <v>89</v>
      </c>
    </row>
    <row r="1303" spans="1:90">
      <c r="A1303" s="2" t="s">
        <v>71</v>
      </c>
      <c r="B1303" s="2" t="s">
        <v>72</v>
      </c>
      <c r="C1303" s="2" t="s">
        <v>73</v>
      </c>
      <c r="E1303" s="2" t="str">
        <f>"FES1162594878"</f>
        <v>FES1162594878</v>
      </c>
      <c r="F1303" s="3">
        <v>43080</v>
      </c>
      <c r="G1303" s="2">
        <v>201806</v>
      </c>
      <c r="H1303" s="2" t="s">
        <v>74</v>
      </c>
      <c r="I1303" s="2" t="s">
        <v>75</v>
      </c>
      <c r="J1303" s="2" t="s">
        <v>97</v>
      </c>
      <c r="K1303" s="2" t="s">
        <v>77</v>
      </c>
      <c r="L1303" s="2" t="s">
        <v>682</v>
      </c>
      <c r="M1303" s="2" t="s">
        <v>683</v>
      </c>
      <c r="N1303" s="2" t="s">
        <v>684</v>
      </c>
      <c r="O1303" s="2" t="s">
        <v>101</v>
      </c>
      <c r="P1303" s="2" t="str">
        <f>"2170606775                    "</f>
        <v xml:space="preserve">2170606775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23.73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2.4</v>
      </c>
      <c r="BJ1303" s="2">
        <v>3.8</v>
      </c>
      <c r="BK1303" s="2">
        <v>4</v>
      </c>
      <c r="BL1303" s="2">
        <v>169.38</v>
      </c>
      <c r="BM1303" s="2">
        <v>23.71</v>
      </c>
      <c r="BN1303" s="2">
        <v>193.09</v>
      </c>
      <c r="BO1303" s="2">
        <v>193.09</v>
      </c>
      <c r="BQ1303" s="2" t="s">
        <v>685</v>
      </c>
      <c r="BR1303" s="2" t="s">
        <v>103</v>
      </c>
      <c r="BS1303" s="3">
        <v>43081</v>
      </c>
      <c r="BT1303" s="4">
        <v>0</v>
      </c>
      <c r="BU1303" s="2" t="s">
        <v>597</v>
      </c>
      <c r="BV1303" s="2" t="s">
        <v>85</v>
      </c>
      <c r="BY1303" s="2">
        <v>19029.8</v>
      </c>
      <c r="CC1303" s="2" t="s">
        <v>683</v>
      </c>
      <c r="CD1303" s="2">
        <v>6300</v>
      </c>
      <c r="CE1303" s="2" t="s">
        <v>95</v>
      </c>
      <c r="CI1303" s="2">
        <v>3</v>
      </c>
      <c r="CJ1303" s="2">
        <v>1</v>
      </c>
      <c r="CK1303" s="2">
        <v>23</v>
      </c>
      <c r="CL1303" s="2" t="s">
        <v>89</v>
      </c>
    </row>
    <row r="1304" spans="1:90">
      <c r="A1304" s="2" t="s">
        <v>71</v>
      </c>
      <c r="B1304" s="2" t="s">
        <v>72</v>
      </c>
      <c r="C1304" s="2" t="s">
        <v>73</v>
      </c>
      <c r="E1304" s="2" t="str">
        <f>"FES1162594975"</f>
        <v>FES1162594975</v>
      </c>
      <c r="F1304" s="3">
        <v>43080</v>
      </c>
      <c r="G1304" s="2">
        <v>201806</v>
      </c>
      <c r="H1304" s="2" t="s">
        <v>74</v>
      </c>
      <c r="I1304" s="2" t="s">
        <v>75</v>
      </c>
      <c r="J1304" s="2" t="s">
        <v>97</v>
      </c>
      <c r="K1304" s="2" t="s">
        <v>77</v>
      </c>
      <c r="L1304" s="2" t="s">
        <v>1778</v>
      </c>
      <c r="M1304" s="2" t="s">
        <v>1779</v>
      </c>
      <c r="N1304" s="2" t="s">
        <v>1780</v>
      </c>
      <c r="O1304" s="2" t="s">
        <v>101</v>
      </c>
      <c r="P1304" s="2" t="str">
        <f>"2170606866                    "</f>
        <v xml:space="preserve">2170606866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29.36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4.5999999999999996</v>
      </c>
      <c r="BJ1304" s="2">
        <v>2</v>
      </c>
      <c r="BK1304" s="2">
        <v>5</v>
      </c>
      <c r="BL1304" s="2">
        <v>209.57</v>
      </c>
      <c r="BM1304" s="2">
        <v>29.34</v>
      </c>
      <c r="BN1304" s="2">
        <v>238.91</v>
      </c>
      <c r="BO1304" s="2">
        <v>238.91</v>
      </c>
      <c r="BQ1304" s="2" t="s">
        <v>187</v>
      </c>
      <c r="BR1304" s="2" t="s">
        <v>103</v>
      </c>
      <c r="BS1304" s="3">
        <v>43081</v>
      </c>
      <c r="BT1304" s="4">
        <v>0.59722222222222221</v>
      </c>
      <c r="BU1304" s="2" t="s">
        <v>1781</v>
      </c>
      <c r="BV1304" s="2" t="s">
        <v>85</v>
      </c>
      <c r="BY1304" s="2">
        <v>10119.17</v>
      </c>
      <c r="CC1304" s="2" t="s">
        <v>1779</v>
      </c>
      <c r="CD1304" s="2">
        <v>5850</v>
      </c>
      <c r="CE1304" s="2" t="s">
        <v>95</v>
      </c>
      <c r="CF1304" s="3">
        <v>43089</v>
      </c>
      <c r="CI1304" s="2">
        <v>3</v>
      </c>
      <c r="CJ1304" s="2">
        <v>1</v>
      </c>
      <c r="CK1304" s="2">
        <v>23</v>
      </c>
      <c r="CL1304" s="2" t="s">
        <v>89</v>
      </c>
    </row>
    <row r="1305" spans="1:90">
      <c r="A1305" s="2" t="s">
        <v>71</v>
      </c>
      <c r="B1305" s="2" t="s">
        <v>72</v>
      </c>
      <c r="C1305" s="2" t="s">
        <v>73</v>
      </c>
      <c r="E1305" s="2" t="str">
        <f>"FES1162594928"</f>
        <v>FES1162594928</v>
      </c>
      <c r="F1305" s="3">
        <v>43080</v>
      </c>
      <c r="G1305" s="2">
        <v>201806</v>
      </c>
      <c r="H1305" s="2" t="s">
        <v>74</v>
      </c>
      <c r="I1305" s="2" t="s">
        <v>75</v>
      </c>
      <c r="J1305" s="2" t="s">
        <v>97</v>
      </c>
      <c r="K1305" s="2" t="s">
        <v>77</v>
      </c>
      <c r="L1305" s="2" t="s">
        <v>189</v>
      </c>
      <c r="M1305" s="2" t="s">
        <v>190</v>
      </c>
      <c r="N1305" s="2" t="s">
        <v>574</v>
      </c>
      <c r="O1305" s="2" t="s">
        <v>101</v>
      </c>
      <c r="P1305" s="2" t="str">
        <f>"2170606832                    "</f>
        <v xml:space="preserve">2170606832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6.43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1</v>
      </c>
      <c r="BJ1305" s="2">
        <v>0.2</v>
      </c>
      <c r="BK1305" s="2">
        <v>1</v>
      </c>
      <c r="BL1305" s="2">
        <v>45.93</v>
      </c>
      <c r="BM1305" s="2">
        <v>6.43</v>
      </c>
      <c r="BN1305" s="2">
        <v>52.36</v>
      </c>
      <c r="BO1305" s="2">
        <v>52.36</v>
      </c>
      <c r="BQ1305" s="2" t="s">
        <v>102</v>
      </c>
      <c r="BR1305" s="2" t="s">
        <v>103</v>
      </c>
      <c r="BS1305" s="3">
        <v>43081</v>
      </c>
      <c r="BT1305" s="4">
        <v>0.49652777777777773</v>
      </c>
      <c r="BU1305" s="2" t="s">
        <v>1089</v>
      </c>
      <c r="BV1305" s="2" t="s">
        <v>89</v>
      </c>
      <c r="BW1305" s="2" t="s">
        <v>156</v>
      </c>
      <c r="BX1305" s="2" t="s">
        <v>668</v>
      </c>
      <c r="BY1305" s="2">
        <v>1200</v>
      </c>
      <c r="CC1305" s="2" t="s">
        <v>190</v>
      </c>
      <c r="CD1305" s="2">
        <v>157</v>
      </c>
      <c r="CE1305" s="2" t="s">
        <v>120</v>
      </c>
      <c r="CF1305" s="3">
        <v>43083</v>
      </c>
      <c r="CI1305" s="2">
        <v>1</v>
      </c>
      <c r="CJ1305" s="2">
        <v>1</v>
      </c>
      <c r="CK1305" s="2">
        <v>21</v>
      </c>
      <c r="CL1305" s="2" t="s">
        <v>89</v>
      </c>
    </row>
    <row r="1306" spans="1:90">
      <c r="A1306" s="2" t="s">
        <v>71</v>
      </c>
      <c r="B1306" s="2" t="s">
        <v>72</v>
      </c>
      <c r="C1306" s="2" t="s">
        <v>73</v>
      </c>
      <c r="E1306" s="2" t="str">
        <f>"FES1162594589"</f>
        <v>FES1162594589</v>
      </c>
      <c r="F1306" s="3">
        <v>43080</v>
      </c>
      <c r="G1306" s="2">
        <v>201806</v>
      </c>
      <c r="H1306" s="2" t="s">
        <v>74</v>
      </c>
      <c r="I1306" s="2" t="s">
        <v>75</v>
      </c>
      <c r="J1306" s="2" t="s">
        <v>97</v>
      </c>
      <c r="K1306" s="2" t="s">
        <v>77</v>
      </c>
      <c r="L1306" s="2" t="s">
        <v>325</v>
      </c>
      <c r="M1306" s="2" t="s">
        <v>326</v>
      </c>
      <c r="N1306" s="2" t="s">
        <v>1782</v>
      </c>
      <c r="O1306" s="2" t="s">
        <v>101</v>
      </c>
      <c r="P1306" s="2" t="str">
        <f>"2170603889                    "</f>
        <v xml:space="preserve">2170603889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6.43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45.93</v>
      </c>
      <c r="BM1306" s="2">
        <v>6.43</v>
      </c>
      <c r="BN1306" s="2">
        <v>52.36</v>
      </c>
      <c r="BO1306" s="2">
        <v>52.36</v>
      </c>
      <c r="BQ1306" s="2" t="s">
        <v>1783</v>
      </c>
      <c r="BR1306" s="2" t="s">
        <v>103</v>
      </c>
      <c r="BS1306" s="3">
        <v>43081</v>
      </c>
      <c r="BT1306" s="4">
        <v>0.38055555555555554</v>
      </c>
      <c r="BU1306" s="2" t="s">
        <v>1784</v>
      </c>
      <c r="BV1306" s="2" t="s">
        <v>85</v>
      </c>
      <c r="BY1306" s="2">
        <v>1200</v>
      </c>
      <c r="CA1306" s="2" t="s">
        <v>1010</v>
      </c>
      <c r="CC1306" s="2" t="s">
        <v>326</v>
      </c>
      <c r="CD1306" s="2">
        <v>1934</v>
      </c>
      <c r="CE1306" s="2" t="s">
        <v>120</v>
      </c>
      <c r="CF1306" s="3">
        <v>43082</v>
      </c>
      <c r="CI1306" s="2">
        <v>1</v>
      </c>
      <c r="CJ1306" s="2">
        <v>1</v>
      </c>
      <c r="CK1306" s="2">
        <v>21</v>
      </c>
      <c r="CL1306" s="2" t="s">
        <v>89</v>
      </c>
    </row>
    <row r="1307" spans="1:90">
      <c r="A1307" s="2" t="s">
        <v>71</v>
      </c>
      <c r="B1307" s="2" t="s">
        <v>72</v>
      </c>
      <c r="C1307" s="2" t="s">
        <v>73</v>
      </c>
      <c r="E1307" s="2" t="str">
        <f>"FES1162594857"</f>
        <v>FES1162594857</v>
      </c>
      <c r="F1307" s="3">
        <v>43080</v>
      </c>
      <c r="G1307" s="2">
        <v>201806</v>
      </c>
      <c r="H1307" s="2" t="s">
        <v>74</v>
      </c>
      <c r="I1307" s="2" t="s">
        <v>75</v>
      </c>
      <c r="J1307" s="2" t="s">
        <v>97</v>
      </c>
      <c r="K1307" s="2" t="s">
        <v>77</v>
      </c>
      <c r="L1307" s="2" t="s">
        <v>106</v>
      </c>
      <c r="M1307" s="2" t="s">
        <v>107</v>
      </c>
      <c r="N1307" s="2" t="s">
        <v>1785</v>
      </c>
      <c r="O1307" s="2" t="s">
        <v>101</v>
      </c>
      <c r="P1307" s="2" t="str">
        <f>"2170606748                    "</f>
        <v xml:space="preserve">2170606748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5.03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</v>
      </c>
      <c r="BJ1307" s="2">
        <v>0.2</v>
      </c>
      <c r="BK1307" s="2">
        <v>1</v>
      </c>
      <c r="BL1307" s="2">
        <v>35.89</v>
      </c>
      <c r="BM1307" s="2">
        <v>5.0199999999999996</v>
      </c>
      <c r="BN1307" s="2">
        <v>40.909999999999997</v>
      </c>
      <c r="BO1307" s="2">
        <v>40.909999999999997</v>
      </c>
      <c r="BQ1307" s="2" t="s">
        <v>128</v>
      </c>
      <c r="BR1307" s="2" t="s">
        <v>103</v>
      </c>
      <c r="BS1307" s="3">
        <v>43081</v>
      </c>
      <c r="BT1307" s="4">
        <v>0.41666666666666669</v>
      </c>
      <c r="BU1307" s="2" t="s">
        <v>1786</v>
      </c>
      <c r="BV1307" s="2" t="s">
        <v>85</v>
      </c>
      <c r="BY1307" s="2">
        <v>1200</v>
      </c>
      <c r="CA1307" s="2" t="s">
        <v>429</v>
      </c>
      <c r="CC1307" s="2" t="s">
        <v>107</v>
      </c>
      <c r="CD1307" s="2">
        <v>2013</v>
      </c>
      <c r="CE1307" s="2" t="s">
        <v>120</v>
      </c>
      <c r="CF1307" s="3">
        <v>43082</v>
      </c>
      <c r="CI1307" s="2">
        <v>1</v>
      </c>
      <c r="CJ1307" s="2">
        <v>1</v>
      </c>
      <c r="CK1307" s="2">
        <v>22</v>
      </c>
      <c r="CL1307" s="2" t="s">
        <v>89</v>
      </c>
    </row>
    <row r="1308" spans="1:90">
      <c r="A1308" s="2" t="s">
        <v>71</v>
      </c>
      <c r="B1308" s="2" t="s">
        <v>72</v>
      </c>
      <c r="C1308" s="2" t="s">
        <v>73</v>
      </c>
      <c r="E1308" s="2" t="str">
        <f>"FES1162594622"</f>
        <v>FES1162594622</v>
      </c>
      <c r="F1308" s="3">
        <v>43080</v>
      </c>
      <c r="G1308" s="2">
        <v>201806</v>
      </c>
      <c r="H1308" s="2" t="s">
        <v>74</v>
      </c>
      <c r="I1308" s="2" t="s">
        <v>75</v>
      </c>
      <c r="J1308" s="2" t="s">
        <v>97</v>
      </c>
      <c r="K1308" s="2" t="s">
        <v>77</v>
      </c>
      <c r="L1308" s="2" t="s">
        <v>173</v>
      </c>
      <c r="M1308" s="2" t="s">
        <v>174</v>
      </c>
      <c r="N1308" s="2" t="s">
        <v>232</v>
      </c>
      <c r="O1308" s="2" t="s">
        <v>101</v>
      </c>
      <c r="P1308" s="2" t="str">
        <f>"2170606461                    "</f>
        <v xml:space="preserve">2170606461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6.43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</v>
      </c>
      <c r="BJ1308" s="2">
        <v>1.6</v>
      </c>
      <c r="BK1308" s="2">
        <v>2</v>
      </c>
      <c r="BL1308" s="2">
        <v>45.93</v>
      </c>
      <c r="BM1308" s="2">
        <v>6.43</v>
      </c>
      <c r="BN1308" s="2">
        <v>52.36</v>
      </c>
      <c r="BO1308" s="2">
        <v>52.36</v>
      </c>
      <c r="BQ1308" s="2" t="s">
        <v>102</v>
      </c>
      <c r="BR1308" s="2" t="s">
        <v>103</v>
      </c>
      <c r="BS1308" s="3">
        <v>43081</v>
      </c>
      <c r="BT1308" s="4">
        <v>0.3888888888888889</v>
      </c>
      <c r="BU1308" s="2" t="s">
        <v>1748</v>
      </c>
      <c r="BV1308" s="2" t="s">
        <v>85</v>
      </c>
      <c r="BY1308" s="2">
        <v>8100</v>
      </c>
      <c r="CA1308" s="2" t="s">
        <v>234</v>
      </c>
      <c r="CC1308" s="2" t="s">
        <v>174</v>
      </c>
      <c r="CD1308" s="2">
        <v>7530</v>
      </c>
      <c r="CE1308" s="2" t="s">
        <v>356</v>
      </c>
      <c r="CF1308" s="3">
        <v>43082</v>
      </c>
      <c r="CI1308" s="2">
        <v>1</v>
      </c>
      <c r="CJ1308" s="2">
        <v>1</v>
      </c>
      <c r="CK1308" s="2">
        <v>21</v>
      </c>
      <c r="CL1308" s="2" t="s">
        <v>89</v>
      </c>
    </row>
    <row r="1309" spans="1:90">
      <c r="A1309" s="2" t="s">
        <v>71</v>
      </c>
      <c r="B1309" s="2" t="s">
        <v>72</v>
      </c>
      <c r="C1309" s="2" t="s">
        <v>73</v>
      </c>
      <c r="E1309" s="2" t="str">
        <f>"FES1162594864"</f>
        <v>FES1162594864</v>
      </c>
      <c r="F1309" s="3">
        <v>43080</v>
      </c>
      <c r="G1309" s="2">
        <v>201806</v>
      </c>
      <c r="H1309" s="2" t="s">
        <v>74</v>
      </c>
      <c r="I1309" s="2" t="s">
        <v>75</v>
      </c>
      <c r="J1309" s="2" t="s">
        <v>97</v>
      </c>
      <c r="K1309" s="2" t="s">
        <v>77</v>
      </c>
      <c r="L1309" s="2" t="s">
        <v>152</v>
      </c>
      <c r="M1309" s="2" t="s">
        <v>153</v>
      </c>
      <c r="N1309" s="2" t="s">
        <v>725</v>
      </c>
      <c r="O1309" s="2" t="s">
        <v>101</v>
      </c>
      <c r="P1309" s="2" t="str">
        <f>"2170606758                    "</f>
        <v xml:space="preserve">2170606758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5.03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35.89</v>
      </c>
      <c r="BM1309" s="2">
        <v>5.0199999999999996</v>
      </c>
      <c r="BN1309" s="2">
        <v>40.909999999999997</v>
      </c>
      <c r="BO1309" s="2">
        <v>40.909999999999997</v>
      </c>
      <c r="BQ1309" s="2" t="s">
        <v>102</v>
      </c>
      <c r="BR1309" s="2" t="s">
        <v>103</v>
      </c>
      <c r="BS1309" s="3">
        <v>43081</v>
      </c>
      <c r="BT1309" s="4">
        <v>0.41666666666666669</v>
      </c>
      <c r="BU1309" s="2" t="s">
        <v>205</v>
      </c>
      <c r="BV1309" s="2" t="s">
        <v>85</v>
      </c>
      <c r="BY1309" s="2">
        <v>1200</v>
      </c>
      <c r="CC1309" s="2" t="s">
        <v>153</v>
      </c>
      <c r="CD1309" s="2">
        <v>1428</v>
      </c>
      <c r="CE1309" s="2" t="s">
        <v>120</v>
      </c>
      <c r="CF1309" s="3">
        <v>43082</v>
      </c>
      <c r="CI1309" s="2">
        <v>1</v>
      </c>
      <c r="CJ1309" s="2">
        <v>1</v>
      </c>
      <c r="CK1309" s="2">
        <v>22</v>
      </c>
      <c r="CL1309" s="2" t="s">
        <v>89</v>
      </c>
    </row>
    <row r="1310" spans="1:90">
      <c r="A1310" s="2" t="s">
        <v>71</v>
      </c>
      <c r="B1310" s="2" t="s">
        <v>72</v>
      </c>
      <c r="C1310" s="2" t="s">
        <v>73</v>
      </c>
      <c r="E1310" s="2" t="str">
        <f>"FES1162594743"</f>
        <v>FES1162594743</v>
      </c>
      <c r="F1310" s="3">
        <v>43080</v>
      </c>
      <c r="G1310" s="2">
        <v>201806</v>
      </c>
      <c r="H1310" s="2" t="s">
        <v>74</v>
      </c>
      <c r="I1310" s="2" t="s">
        <v>75</v>
      </c>
      <c r="J1310" s="2" t="s">
        <v>97</v>
      </c>
      <c r="K1310" s="2" t="s">
        <v>77</v>
      </c>
      <c r="L1310" s="2" t="s">
        <v>173</v>
      </c>
      <c r="M1310" s="2" t="s">
        <v>174</v>
      </c>
      <c r="N1310" s="2" t="s">
        <v>802</v>
      </c>
      <c r="O1310" s="2" t="s">
        <v>101</v>
      </c>
      <c r="P1310" s="2" t="str">
        <f>"2170606625                    "</f>
        <v xml:space="preserve">2170606625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16.079999999999998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2</v>
      </c>
      <c r="BJ1310" s="2">
        <v>5</v>
      </c>
      <c r="BK1310" s="2">
        <v>5</v>
      </c>
      <c r="BL1310" s="2">
        <v>114.8</v>
      </c>
      <c r="BM1310" s="2">
        <v>16.07</v>
      </c>
      <c r="BN1310" s="2">
        <v>130.87</v>
      </c>
      <c r="BO1310" s="2">
        <v>130.87</v>
      </c>
      <c r="BQ1310" s="2" t="s">
        <v>102</v>
      </c>
      <c r="BR1310" s="2" t="s">
        <v>103</v>
      </c>
      <c r="BS1310" s="3">
        <v>43081</v>
      </c>
      <c r="BT1310" s="4">
        <v>0.41041666666666665</v>
      </c>
      <c r="BU1310" s="2" t="s">
        <v>1787</v>
      </c>
      <c r="BV1310" s="2" t="s">
        <v>85</v>
      </c>
      <c r="BY1310" s="2">
        <v>25160</v>
      </c>
      <c r="CA1310" s="2" t="s">
        <v>395</v>
      </c>
      <c r="CC1310" s="2" t="s">
        <v>174</v>
      </c>
      <c r="CD1310" s="2">
        <v>7441</v>
      </c>
      <c r="CE1310" s="2" t="s">
        <v>356</v>
      </c>
      <c r="CF1310" s="3">
        <v>43082</v>
      </c>
      <c r="CI1310" s="2">
        <v>1</v>
      </c>
      <c r="CJ1310" s="2">
        <v>1</v>
      </c>
      <c r="CK1310" s="2">
        <v>21</v>
      </c>
      <c r="CL1310" s="2" t="s">
        <v>89</v>
      </c>
    </row>
    <row r="1311" spans="1:90">
      <c r="A1311" s="2" t="s">
        <v>71</v>
      </c>
      <c r="B1311" s="2" t="s">
        <v>72</v>
      </c>
      <c r="C1311" s="2" t="s">
        <v>73</v>
      </c>
      <c r="E1311" s="2" t="str">
        <f>"FES1162594929"</f>
        <v>FES1162594929</v>
      </c>
      <c r="F1311" s="3">
        <v>43080</v>
      </c>
      <c r="G1311" s="2">
        <v>201806</v>
      </c>
      <c r="H1311" s="2" t="s">
        <v>74</v>
      </c>
      <c r="I1311" s="2" t="s">
        <v>75</v>
      </c>
      <c r="J1311" s="2" t="s">
        <v>97</v>
      </c>
      <c r="K1311" s="2" t="s">
        <v>77</v>
      </c>
      <c r="L1311" s="2" t="s">
        <v>106</v>
      </c>
      <c r="M1311" s="2" t="s">
        <v>107</v>
      </c>
      <c r="N1311" s="2" t="s">
        <v>1788</v>
      </c>
      <c r="O1311" s="2" t="s">
        <v>101</v>
      </c>
      <c r="P1311" s="2" t="str">
        <f>"2170606834                    "</f>
        <v xml:space="preserve">2170606834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5.03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1</v>
      </c>
      <c r="BJ1311" s="2">
        <v>0.2</v>
      </c>
      <c r="BK1311" s="2">
        <v>1</v>
      </c>
      <c r="BL1311" s="2">
        <v>35.89</v>
      </c>
      <c r="BM1311" s="2">
        <v>5.0199999999999996</v>
      </c>
      <c r="BN1311" s="2">
        <v>40.909999999999997</v>
      </c>
      <c r="BO1311" s="2">
        <v>40.909999999999997</v>
      </c>
      <c r="BR1311" s="2" t="s">
        <v>103</v>
      </c>
      <c r="BS1311" s="2" t="s">
        <v>185</v>
      </c>
      <c r="BY1311" s="2">
        <v>1200</v>
      </c>
      <c r="CC1311" s="2" t="s">
        <v>107</v>
      </c>
      <c r="CD1311" s="2">
        <v>2000</v>
      </c>
      <c r="CE1311" s="2" t="s">
        <v>120</v>
      </c>
      <c r="CI1311" s="2">
        <v>1</v>
      </c>
      <c r="CJ1311" s="2" t="s">
        <v>185</v>
      </c>
      <c r="CK1311" s="2">
        <v>22</v>
      </c>
      <c r="CL1311" s="2" t="s">
        <v>89</v>
      </c>
    </row>
    <row r="1312" spans="1:90">
      <c r="A1312" s="2" t="s">
        <v>71</v>
      </c>
      <c r="B1312" s="2" t="s">
        <v>72</v>
      </c>
      <c r="C1312" s="2" t="s">
        <v>73</v>
      </c>
      <c r="E1312" s="2" t="str">
        <f>"FES1162594861"</f>
        <v>FES1162594861</v>
      </c>
      <c r="F1312" s="3">
        <v>43080</v>
      </c>
      <c r="G1312" s="2">
        <v>201806</v>
      </c>
      <c r="H1312" s="2" t="s">
        <v>74</v>
      </c>
      <c r="I1312" s="2" t="s">
        <v>75</v>
      </c>
      <c r="J1312" s="2" t="s">
        <v>97</v>
      </c>
      <c r="K1312" s="2" t="s">
        <v>77</v>
      </c>
      <c r="L1312" s="2" t="s">
        <v>1789</v>
      </c>
      <c r="M1312" s="2" t="s">
        <v>1790</v>
      </c>
      <c r="N1312" s="2" t="s">
        <v>1791</v>
      </c>
      <c r="O1312" s="2" t="s">
        <v>101</v>
      </c>
      <c r="P1312" s="2" t="str">
        <f>"2170606753                    "</f>
        <v xml:space="preserve">2170606753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9.0500000000000007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1.5</v>
      </c>
      <c r="BJ1312" s="2">
        <v>0.7</v>
      </c>
      <c r="BK1312" s="2">
        <v>1.5</v>
      </c>
      <c r="BL1312" s="2">
        <v>64.599999999999994</v>
      </c>
      <c r="BM1312" s="2">
        <v>9.0399999999999991</v>
      </c>
      <c r="BN1312" s="2">
        <v>73.64</v>
      </c>
      <c r="BO1312" s="2">
        <v>73.64</v>
      </c>
      <c r="BQ1312" s="2" t="s">
        <v>82</v>
      </c>
      <c r="BR1312" s="2" t="s">
        <v>103</v>
      </c>
      <c r="BS1312" s="3">
        <v>43081</v>
      </c>
      <c r="BT1312" s="4">
        <v>0.4236111111111111</v>
      </c>
      <c r="BU1312" s="2" t="s">
        <v>1792</v>
      </c>
      <c r="BV1312" s="2" t="s">
        <v>85</v>
      </c>
      <c r="BY1312" s="2">
        <v>3402.4</v>
      </c>
      <c r="CC1312" s="2" t="s">
        <v>1790</v>
      </c>
      <c r="CD1312" s="2">
        <v>1779</v>
      </c>
      <c r="CE1312" s="2" t="s">
        <v>356</v>
      </c>
      <c r="CF1312" s="3">
        <v>43082</v>
      </c>
      <c r="CI1312" s="2">
        <v>1</v>
      </c>
      <c r="CJ1312" s="2">
        <v>1</v>
      </c>
      <c r="CK1312" s="2">
        <v>24</v>
      </c>
      <c r="CL1312" s="2" t="s">
        <v>89</v>
      </c>
    </row>
    <row r="1313" spans="1:90">
      <c r="A1313" s="2" t="s">
        <v>71</v>
      </c>
      <c r="B1313" s="2" t="s">
        <v>72</v>
      </c>
      <c r="C1313" s="2" t="s">
        <v>73</v>
      </c>
      <c r="E1313" s="2" t="str">
        <f>"FES1162594716"</f>
        <v>FES1162594716</v>
      </c>
      <c r="F1313" s="3">
        <v>43080</v>
      </c>
      <c r="G1313" s="2">
        <v>201806</v>
      </c>
      <c r="H1313" s="2" t="s">
        <v>74</v>
      </c>
      <c r="I1313" s="2" t="s">
        <v>75</v>
      </c>
      <c r="J1313" s="2" t="s">
        <v>97</v>
      </c>
      <c r="K1313" s="2" t="s">
        <v>77</v>
      </c>
      <c r="L1313" s="2" t="s">
        <v>547</v>
      </c>
      <c r="M1313" s="2" t="s">
        <v>548</v>
      </c>
      <c r="N1313" s="2" t="s">
        <v>1273</v>
      </c>
      <c r="O1313" s="2" t="s">
        <v>101</v>
      </c>
      <c r="P1313" s="2" t="str">
        <f>"2170606600                    "</f>
        <v xml:space="preserve">2170606600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5.03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1.5</v>
      </c>
      <c r="BJ1313" s="2">
        <v>3.3</v>
      </c>
      <c r="BK1313" s="2">
        <v>4</v>
      </c>
      <c r="BL1313" s="2">
        <v>35.89</v>
      </c>
      <c r="BM1313" s="2">
        <v>5.0199999999999996</v>
      </c>
      <c r="BN1313" s="2">
        <v>40.909999999999997</v>
      </c>
      <c r="BO1313" s="2">
        <v>40.909999999999997</v>
      </c>
      <c r="BQ1313" s="2" t="s">
        <v>102</v>
      </c>
      <c r="BR1313" s="2" t="s">
        <v>103</v>
      </c>
      <c r="BS1313" s="3">
        <v>43081</v>
      </c>
      <c r="BT1313" s="4">
        <v>0.29166666666666669</v>
      </c>
      <c r="BU1313" s="2" t="s">
        <v>1274</v>
      </c>
      <c r="BV1313" s="2" t="s">
        <v>85</v>
      </c>
      <c r="BY1313" s="2">
        <v>16539.259999999998</v>
      </c>
      <c r="CA1313" s="2" t="s">
        <v>119</v>
      </c>
      <c r="CC1313" s="2" t="s">
        <v>548</v>
      </c>
      <c r="CD1313" s="2">
        <v>1501</v>
      </c>
      <c r="CE1313" s="2" t="s">
        <v>95</v>
      </c>
      <c r="CF1313" s="3">
        <v>43082</v>
      </c>
      <c r="CI1313" s="2">
        <v>1</v>
      </c>
      <c r="CJ1313" s="2">
        <v>1</v>
      </c>
      <c r="CK1313" s="2">
        <v>22</v>
      </c>
      <c r="CL1313" s="2" t="s">
        <v>89</v>
      </c>
    </row>
    <row r="1314" spans="1:90">
      <c r="A1314" s="2" t="s">
        <v>71</v>
      </c>
      <c r="B1314" s="2" t="s">
        <v>72</v>
      </c>
      <c r="C1314" s="2" t="s">
        <v>73</v>
      </c>
      <c r="E1314" s="2" t="str">
        <f>"FES1162594641"</f>
        <v>FES1162594641</v>
      </c>
      <c r="F1314" s="3">
        <v>43080</v>
      </c>
      <c r="G1314" s="2">
        <v>201806</v>
      </c>
      <c r="H1314" s="2" t="s">
        <v>74</v>
      </c>
      <c r="I1314" s="2" t="s">
        <v>75</v>
      </c>
      <c r="J1314" s="2" t="s">
        <v>97</v>
      </c>
      <c r="K1314" s="2" t="s">
        <v>77</v>
      </c>
      <c r="L1314" s="2" t="s">
        <v>90</v>
      </c>
      <c r="M1314" s="2" t="s">
        <v>91</v>
      </c>
      <c r="N1314" s="2" t="s">
        <v>1158</v>
      </c>
      <c r="O1314" s="2" t="s">
        <v>101</v>
      </c>
      <c r="P1314" s="2" t="str">
        <f>"2170606488                    "</f>
        <v xml:space="preserve">2170606488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5.03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35.89</v>
      </c>
      <c r="BM1314" s="2">
        <v>5.0199999999999996</v>
      </c>
      <c r="BN1314" s="2">
        <v>40.909999999999997</v>
      </c>
      <c r="BO1314" s="2">
        <v>40.909999999999997</v>
      </c>
      <c r="BQ1314" s="2" t="s">
        <v>1159</v>
      </c>
      <c r="BR1314" s="2" t="s">
        <v>103</v>
      </c>
      <c r="BS1314" s="3">
        <v>43081</v>
      </c>
      <c r="BT1314" s="4">
        <v>0.41666666666666669</v>
      </c>
      <c r="BU1314" s="2" t="s">
        <v>1160</v>
      </c>
      <c r="BV1314" s="2" t="s">
        <v>85</v>
      </c>
      <c r="BY1314" s="2">
        <v>1200</v>
      </c>
      <c r="CC1314" s="2" t="s">
        <v>91</v>
      </c>
      <c r="CD1314" s="2">
        <v>1559</v>
      </c>
      <c r="CE1314" s="2" t="s">
        <v>120</v>
      </c>
      <c r="CF1314" s="3">
        <v>43082</v>
      </c>
      <c r="CI1314" s="2">
        <v>1</v>
      </c>
      <c r="CJ1314" s="2">
        <v>1</v>
      </c>
      <c r="CK1314" s="2">
        <v>22</v>
      </c>
      <c r="CL1314" s="2" t="s">
        <v>89</v>
      </c>
    </row>
    <row r="1315" spans="1:90">
      <c r="A1315" s="2" t="s">
        <v>71</v>
      </c>
      <c r="B1315" s="2" t="s">
        <v>72</v>
      </c>
      <c r="C1315" s="2" t="s">
        <v>73</v>
      </c>
      <c r="E1315" s="2" t="str">
        <f>"FES1162594582"</f>
        <v>FES1162594582</v>
      </c>
      <c r="F1315" s="3">
        <v>43080</v>
      </c>
      <c r="G1315" s="2">
        <v>201806</v>
      </c>
      <c r="H1315" s="2" t="s">
        <v>74</v>
      </c>
      <c r="I1315" s="2" t="s">
        <v>75</v>
      </c>
      <c r="J1315" s="2" t="s">
        <v>97</v>
      </c>
      <c r="K1315" s="2" t="s">
        <v>77</v>
      </c>
      <c r="L1315" s="2" t="s">
        <v>547</v>
      </c>
      <c r="M1315" s="2" t="s">
        <v>548</v>
      </c>
      <c r="N1315" s="2" t="s">
        <v>573</v>
      </c>
      <c r="O1315" s="2" t="s">
        <v>101</v>
      </c>
      <c r="P1315" s="2" t="str">
        <f>"2170603668                    "</f>
        <v xml:space="preserve">2170603668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5.03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1</v>
      </c>
      <c r="BJ1315" s="2">
        <v>0.2</v>
      </c>
      <c r="BK1315" s="2">
        <v>1</v>
      </c>
      <c r="BL1315" s="2">
        <v>35.89</v>
      </c>
      <c r="BM1315" s="2">
        <v>5.0199999999999996</v>
      </c>
      <c r="BN1315" s="2">
        <v>40.909999999999997</v>
      </c>
      <c r="BO1315" s="2">
        <v>40.909999999999997</v>
      </c>
      <c r="BQ1315" s="2" t="s">
        <v>1793</v>
      </c>
      <c r="BR1315" s="2" t="s">
        <v>103</v>
      </c>
      <c r="BS1315" s="3">
        <v>43082</v>
      </c>
      <c r="BT1315" s="4">
        <v>0.31527777777777777</v>
      </c>
      <c r="BU1315" s="2" t="s">
        <v>1693</v>
      </c>
      <c r="BV1315" s="2" t="s">
        <v>89</v>
      </c>
      <c r="BW1315" s="2" t="s">
        <v>149</v>
      </c>
      <c r="BX1315" s="2" t="s">
        <v>157</v>
      </c>
      <c r="BY1315" s="2">
        <v>1200</v>
      </c>
      <c r="CA1315" s="2" t="s">
        <v>119</v>
      </c>
      <c r="CC1315" s="2" t="s">
        <v>548</v>
      </c>
      <c r="CD1315" s="2">
        <v>1501</v>
      </c>
      <c r="CE1315" s="2" t="s">
        <v>120</v>
      </c>
      <c r="CF1315" s="3">
        <v>43083</v>
      </c>
      <c r="CI1315" s="2">
        <v>1</v>
      </c>
      <c r="CJ1315" s="2">
        <v>2</v>
      </c>
      <c r="CK1315" s="2">
        <v>22</v>
      </c>
      <c r="CL1315" s="2" t="s">
        <v>89</v>
      </c>
    </row>
    <row r="1316" spans="1:90">
      <c r="A1316" s="2" t="s">
        <v>71</v>
      </c>
      <c r="B1316" s="2" t="s">
        <v>72</v>
      </c>
      <c r="C1316" s="2" t="s">
        <v>73</v>
      </c>
      <c r="E1316" s="2" t="str">
        <f>"FES1162594670"</f>
        <v>FES1162594670</v>
      </c>
      <c r="F1316" s="3">
        <v>43080</v>
      </c>
      <c r="G1316" s="2">
        <v>201806</v>
      </c>
      <c r="H1316" s="2" t="s">
        <v>74</v>
      </c>
      <c r="I1316" s="2" t="s">
        <v>75</v>
      </c>
      <c r="J1316" s="2" t="s">
        <v>97</v>
      </c>
      <c r="K1316" s="2" t="s">
        <v>77</v>
      </c>
      <c r="L1316" s="2" t="s">
        <v>115</v>
      </c>
      <c r="M1316" s="2" t="s">
        <v>116</v>
      </c>
      <c r="N1316" s="2" t="s">
        <v>283</v>
      </c>
      <c r="O1316" s="2" t="s">
        <v>101</v>
      </c>
      <c r="P1316" s="2" t="str">
        <f>"2170606528                    "</f>
        <v xml:space="preserve">2170606528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5.03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0.2</v>
      </c>
      <c r="BK1316" s="2">
        <v>1</v>
      </c>
      <c r="BL1316" s="2">
        <v>35.89</v>
      </c>
      <c r="BM1316" s="2">
        <v>5.0199999999999996</v>
      </c>
      <c r="BN1316" s="2">
        <v>40.909999999999997</v>
      </c>
      <c r="BO1316" s="2">
        <v>40.909999999999997</v>
      </c>
      <c r="BQ1316" s="2" t="s">
        <v>102</v>
      </c>
      <c r="BR1316" s="2" t="s">
        <v>103</v>
      </c>
      <c r="BS1316" s="3">
        <v>43083</v>
      </c>
      <c r="BT1316" s="4">
        <v>0.41666666666666669</v>
      </c>
      <c r="BU1316" s="2" t="s">
        <v>579</v>
      </c>
      <c r="BV1316" s="2" t="s">
        <v>89</v>
      </c>
      <c r="BW1316" s="2" t="s">
        <v>149</v>
      </c>
      <c r="BX1316" s="2" t="s">
        <v>157</v>
      </c>
      <c r="BY1316" s="2">
        <v>1200</v>
      </c>
      <c r="CC1316" s="2" t="s">
        <v>116</v>
      </c>
      <c r="CD1316" s="2">
        <v>1459</v>
      </c>
      <c r="CE1316" s="2" t="s">
        <v>120</v>
      </c>
      <c r="CF1316" s="3">
        <v>43084</v>
      </c>
      <c r="CI1316" s="2">
        <v>1</v>
      </c>
      <c r="CJ1316" s="2">
        <v>3</v>
      </c>
      <c r="CK1316" s="2">
        <v>22</v>
      </c>
      <c r="CL1316" s="2" t="s">
        <v>89</v>
      </c>
    </row>
    <row r="1317" spans="1:90">
      <c r="A1317" s="2" t="s">
        <v>71</v>
      </c>
      <c r="B1317" s="2" t="s">
        <v>72</v>
      </c>
      <c r="C1317" s="2" t="s">
        <v>73</v>
      </c>
      <c r="E1317" s="2" t="str">
        <f>"FES1162594603"</f>
        <v>FES1162594603</v>
      </c>
      <c r="F1317" s="3">
        <v>43080</v>
      </c>
      <c r="G1317" s="2">
        <v>201806</v>
      </c>
      <c r="H1317" s="2" t="s">
        <v>74</v>
      </c>
      <c r="I1317" s="2" t="s">
        <v>75</v>
      </c>
      <c r="J1317" s="2" t="s">
        <v>97</v>
      </c>
      <c r="K1317" s="2" t="s">
        <v>77</v>
      </c>
      <c r="L1317" s="2" t="s">
        <v>547</v>
      </c>
      <c r="M1317" s="2" t="s">
        <v>548</v>
      </c>
      <c r="N1317" s="2" t="s">
        <v>922</v>
      </c>
      <c r="O1317" s="2" t="s">
        <v>101</v>
      </c>
      <c r="P1317" s="2" t="str">
        <f>"2170605742                    "</f>
        <v xml:space="preserve">2170605742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5.03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1</v>
      </c>
      <c r="BJ1317" s="2">
        <v>0.2</v>
      </c>
      <c r="BK1317" s="2">
        <v>1</v>
      </c>
      <c r="BL1317" s="2">
        <v>35.89</v>
      </c>
      <c r="BM1317" s="2">
        <v>5.0199999999999996</v>
      </c>
      <c r="BN1317" s="2">
        <v>40.909999999999997</v>
      </c>
      <c r="BO1317" s="2">
        <v>40.909999999999997</v>
      </c>
      <c r="BQ1317" s="2" t="s">
        <v>1794</v>
      </c>
      <c r="BR1317" s="2" t="s">
        <v>103</v>
      </c>
      <c r="BS1317" s="3">
        <v>43081</v>
      </c>
      <c r="BT1317" s="4">
        <v>0.28680555555555554</v>
      </c>
      <c r="BU1317" s="2" t="s">
        <v>1795</v>
      </c>
      <c r="BV1317" s="2" t="s">
        <v>85</v>
      </c>
      <c r="BY1317" s="2">
        <v>1200</v>
      </c>
      <c r="CA1317" s="2" t="s">
        <v>119</v>
      </c>
      <c r="CC1317" s="2" t="s">
        <v>548</v>
      </c>
      <c r="CD1317" s="2">
        <v>1500</v>
      </c>
      <c r="CE1317" s="2" t="s">
        <v>120</v>
      </c>
      <c r="CF1317" s="3">
        <v>43082</v>
      </c>
      <c r="CI1317" s="2">
        <v>1</v>
      </c>
      <c r="CJ1317" s="2">
        <v>1</v>
      </c>
      <c r="CK1317" s="2">
        <v>22</v>
      </c>
      <c r="CL1317" s="2" t="s">
        <v>89</v>
      </c>
    </row>
    <row r="1318" spans="1:90">
      <c r="A1318" s="2" t="s">
        <v>71</v>
      </c>
      <c r="B1318" s="2" t="s">
        <v>72</v>
      </c>
      <c r="C1318" s="2" t="s">
        <v>73</v>
      </c>
      <c r="E1318" s="2" t="str">
        <f>"FES1162594620"</f>
        <v>FES1162594620</v>
      </c>
      <c r="F1318" s="3">
        <v>43080</v>
      </c>
      <c r="G1318" s="2">
        <v>201806</v>
      </c>
      <c r="H1318" s="2" t="s">
        <v>74</v>
      </c>
      <c r="I1318" s="2" t="s">
        <v>75</v>
      </c>
      <c r="J1318" s="2" t="s">
        <v>97</v>
      </c>
      <c r="K1318" s="2" t="s">
        <v>77</v>
      </c>
      <c r="L1318" s="2" t="s">
        <v>253</v>
      </c>
      <c r="M1318" s="2" t="s">
        <v>254</v>
      </c>
      <c r="N1318" s="2" t="s">
        <v>704</v>
      </c>
      <c r="O1318" s="2" t="s">
        <v>101</v>
      </c>
      <c r="P1318" s="2" t="str">
        <f>"2170606459                    "</f>
        <v xml:space="preserve">2170606459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11.26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3.4</v>
      </c>
      <c r="BJ1318" s="2">
        <v>3.3</v>
      </c>
      <c r="BK1318" s="2">
        <v>3.5</v>
      </c>
      <c r="BL1318" s="2">
        <v>80.37</v>
      </c>
      <c r="BM1318" s="2">
        <v>11.25</v>
      </c>
      <c r="BN1318" s="2">
        <v>91.62</v>
      </c>
      <c r="BO1318" s="2">
        <v>91.62</v>
      </c>
      <c r="BQ1318" s="2" t="s">
        <v>82</v>
      </c>
      <c r="BR1318" s="2" t="s">
        <v>103</v>
      </c>
      <c r="BS1318" s="3">
        <v>43081</v>
      </c>
      <c r="BT1318" s="4">
        <v>0.55902777777777779</v>
      </c>
      <c r="BU1318" s="2" t="s">
        <v>1796</v>
      </c>
      <c r="BV1318" s="2" t="s">
        <v>89</v>
      </c>
      <c r="BY1318" s="2">
        <v>16506.52</v>
      </c>
      <c r="CC1318" s="2" t="s">
        <v>254</v>
      </c>
      <c r="CD1318" s="2">
        <v>1900</v>
      </c>
      <c r="CE1318" s="2" t="s">
        <v>95</v>
      </c>
      <c r="CF1318" s="3">
        <v>43082</v>
      </c>
      <c r="CI1318" s="2">
        <v>1</v>
      </c>
      <c r="CJ1318" s="2">
        <v>1</v>
      </c>
      <c r="CK1318" s="2">
        <v>21</v>
      </c>
      <c r="CL1318" s="2" t="s">
        <v>89</v>
      </c>
    </row>
    <row r="1319" spans="1:90">
      <c r="A1319" s="2" t="s">
        <v>71</v>
      </c>
      <c r="B1319" s="2" t="s">
        <v>72</v>
      </c>
      <c r="C1319" s="2" t="s">
        <v>73</v>
      </c>
      <c r="E1319" s="2" t="str">
        <f>"FES1162594617"</f>
        <v>FES1162594617</v>
      </c>
      <c r="F1319" s="3">
        <v>43080</v>
      </c>
      <c r="G1319" s="2">
        <v>201806</v>
      </c>
      <c r="H1319" s="2" t="s">
        <v>74</v>
      </c>
      <c r="I1319" s="2" t="s">
        <v>75</v>
      </c>
      <c r="J1319" s="2" t="s">
        <v>97</v>
      </c>
      <c r="K1319" s="2" t="s">
        <v>77</v>
      </c>
      <c r="L1319" s="2" t="s">
        <v>277</v>
      </c>
      <c r="M1319" s="2" t="s">
        <v>278</v>
      </c>
      <c r="N1319" s="2" t="s">
        <v>317</v>
      </c>
      <c r="O1319" s="2" t="s">
        <v>101</v>
      </c>
      <c r="P1319" s="2" t="str">
        <f>"2170606449                    "</f>
        <v xml:space="preserve">2170606449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5.03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1.3</v>
      </c>
      <c r="BJ1319" s="2">
        <v>1.4</v>
      </c>
      <c r="BK1319" s="2">
        <v>2</v>
      </c>
      <c r="BL1319" s="2">
        <v>35.89</v>
      </c>
      <c r="BM1319" s="2">
        <v>5.0199999999999996</v>
      </c>
      <c r="BN1319" s="2">
        <v>40.909999999999997</v>
      </c>
      <c r="BO1319" s="2">
        <v>40.909999999999997</v>
      </c>
      <c r="BQ1319" s="2" t="s">
        <v>102</v>
      </c>
      <c r="BR1319" s="2" t="s">
        <v>103</v>
      </c>
      <c r="BS1319" s="3">
        <v>43081</v>
      </c>
      <c r="BT1319" s="4">
        <v>0.4375</v>
      </c>
      <c r="BU1319" s="2" t="s">
        <v>1797</v>
      </c>
      <c r="BV1319" s="2" t="s">
        <v>85</v>
      </c>
      <c r="BY1319" s="2">
        <v>6862.84</v>
      </c>
      <c r="CA1319" s="2" t="s">
        <v>320</v>
      </c>
      <c r="CC1319" s="2" t="s">
        <v>278</v>
      </c>
      <c r="CD1319" s="2">
        <v>2163</v>
      </c>
      <c r="CE1319" s="2" t="s">
        <v>95</v>
      </c>
      <c r="CF1319" s="3">
        <v>43083</v>
      </c>
      <c r="CI1319" s="2">
        <v>1</v>
      </c>
      <c r="CJ1319" s="2">
        <v>1</v>
      </c>
      <c r="CK1319" s="2">
        <v>22</v>
      </c>
      <c r="CL1319" s="2" t="s">
        <v>89</v>
      </c>
    </row>
    <row r="1320" spans="1:90">
      <c r="A1320" s="2" t="s">
        <v>71</v>
      </c>
      <c r="B1320" s="2" t="s">
        <v>72</v>
      </c>
      <c r="C1320" s="2" t="s">
        <v>73</v>
      </c>
      <c r="E1320" s="2" t="str">
        <f>"FES1162594608"</f>
        <v>FES1162594608</v>
      </c>
      <c r="F1320" s="3">
        <v>43080</v>
      </c>
      <c r="G1320" s="2">
        <v>201806</v>
      </c>
      <c r="H1320" s="2" t="s">
        <v>74</v>
      </c>
      <c r="I1320" s="2" t="s">
        <v>75</v>
      </c>
      <c r="J1320" s="2" t="s">
        <v>97</v>
      </c>
      <c r="K1320" s="2" t="s">
        <v>77</v>
      </c>
      <c r="L1320" s="2" t="s">
        <v>152</v>
      </c>
      <c r="M1320" s="2" t="s">
        <v>153</v>
      </c>
      <c r="N1320" s="2" t="s">
        <v>596</v>
      </c>
      <c r="O1320" s="2" t="s">
        <v>101</v>
      </c>
      <c r="P1320" s="2" t="str">
        <f>"2170606104                    "</f>
        <v xml:space="preserve">2170606104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5.03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1</v>
      </c>
      <c r="BJ1320" s="2">
        <v>0.2</v>
      </c>
      <c r="BK1320" s="2">
        <v>1</v>
      </c>
      <c r="BL1320" s="2">
        <v>35.89</v>
      </c>
      <c r="BM1320" s="2">
        <v>5.0199999999999996</v>
      </c>
      <c r="BN1320" s="2">
        <v>40.909999999999997</v>
      </c>
      <c r="BO1320" s="2">
        <v>40.909999999999997</v>
      </c>
      <c r="BQ1320" s="2" t="s">
        <v>1798</v>
      </c>
      <c r="BR1320" s="2" t="s">
        <v>103</v>
      </c>
      <c r="BS1320" s="3">
        <v>43081</v>
      </c>
      <c r="BT1320" s="4">
        <v>0.41666666666666669</v>
      </c>
      <c r="BU1320" s="2" t="s">
        <v>1570</v>
      </c>
      <c r="BV1320" s="2" t="s">
        <v>85</v>
      </c>
      <c r="BY1320" s="2">
        <v>1200</v>
      </c>
      <c r="CC1320" s="2" t="s">
        <v>153</v>
      </c>
      <c r="CD1320" s="2">
        <v>1422</v>
      </c>
      <c r="CE1320" s="2" t="s">
        <v>120</v>
      </c>
      <c r="CF1320" s="3">
        <v>43082</v>
      </c>
      <c r="CI1320" s="2">
        <v>1</v>
      </c>
      <c r="CJ1320" s="2">
        <v>1</v>
      </c>
      <c r="CK1320" s="2">
        <v>22</v>
      </c>
      <c r="CL1320" s="2" t="s">
        <v>89</v>
      </c>
    </row>
    <row r="1321" spans="1:90">
      <c r="A1321" s="2" t="s">
        <v>71</v>
      </c>
      <c r="B1321" s="2" t="s">
        <v>72</v>
      </c>
      <c r="C1321" s="2" t="s">
        <v>73</v>
      </c>
      <c r="E1321" s="2" t="str">
        <f>"FES1162594802"</f>
        <v>FES1162594802</v>
      </c>
      <c r="F1321" s="3">
        <v>43080</v>
      </c>
      <c r="G1321" s="2">
        <v>201806</v>
      </c>
      <c r="H1321" s="2" t="s">
        <v>74</v>
      </c>
      <c r="I1321" s="2" t="s">
        <v>75</v>
      </c>
      <c r="J1321" s="2" t="s">
        <v>97</v>
      </c>
      <c r="K1321" s="2" t="s">
        <v>77</v>
      </c>
      <c r="L1321" s="2" t="s">
        <v>547</v>
      </c>
      <c r="M1321" s="2" t="s">
        <v>548</v>
      </c>
      <c r="N1321" s="2" t="s">
        <v>922</v>
      </c>
      <c r="O1321" s="2" t="s">
        <v>101</v>
      </c>
      <c r="P1321" s="2" t="str">
        <f>"2170606367                    "</f>
        <v xml:space="preserve">2170606367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5.03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1</v>
      </c>
      <c r="BJ1321" s="2">
        <v>0.2</v>
      </c>
      <c r="BK1321" s="2">
        <v>1</v>
      </c>
      <c r="BL1321" s="2">
        <v>35.89</v>
      </c>
      <c r="BM1321" s="2">
        <v>5.0199999999999996</v>
      </c>
      <c r="BN1321" s="2">
        <v>40.909999999999997</v>
      </c>
      <c r="BO1321" s="2">
        <v>40.909999999999997</v>
      </c>
      <c r="BQ1321" s="2" t="s">
        <v>1794</v>
      </c>
      <c r="BR1321" s="2" t="s">
        <v>103</v>
      </c>
      <c r="BS1321" s="3">
        <v>43081</v>
      </c>
      <c r="BT1321" s="4">
        <v>0.28680555555555554</v>
      </c>
      <c r="BU1321" s="2" t="s">
        <v>1799</v>
      </c>
      <c r="BV1321" s="2" t="s">
        <v>85</v>
      </c>
      <c r="BY1321" s="2">
        <v>1200</v>
      </c>
      <c r="CA1321" s="2" t="s">
        <v>119</v>
      </c>
      <c r="CC1321" s="2" t="s">
        <v>548</v>
      </c>
      <c r="CD1321" s="2">
        <v>1500</v>
      </c>
      <c r="CE1321" s="2" t="s">
        <v>120</v>
      </c>
      <c r="CF1321" s="3">
        <v>43082</v>
      </c>
      <c r="CI1321" s="2">
        <v>1</v>
      </c>
      <c r="CJ1321" s="2">
        <v>1</v>
      </c>
      <c r="CK1321" s="2">
        <v>22</v>
      </c>
      <c r="CL1321" s="2" t="s">
        <v>89</v>
      </c>
    </row>
    <row r="1322" spans="1:90">
      <c r="A1322" s="2" t="s">
        <v>71</v>
      </c>
      <c r="B1322" s="2" t="s">
        <v>72</v>
      </c>
      <c r="C1322" s="2" t="s">
        <v>73</v>
      </c>
      <c r="E1322" s="2" t="str">
        <f>"FES1162594720"</f>
        <v>FES1162594720</v>
      </c>
      <c r="F1322" s="3">
        <v>43080</v>
      </c>
      <c r="G1322" s="2">
        <v>201806</v>
      </c>
      <c r="H1322" s="2" t="s">
        <v>74</v>
      </c>
      <c r="I1322" s="2" t="s">
        <v>75</v>
      </c>
      <c r="J1322" s="2" t="s">
        <v>97</v>
      </c>
      <c r="K1322" s="2" t="s">
        <v>77</v>
      </c>
      <c r="L1322" s="2" t="s">
        <v>991</v>
      </c>
      <c r="M1322" s="2" t="s">
        <v>992</v>
      </c>
      <c r="N1322" s="2" t="s">
        <v>993</v>
      </c>
      <c r="O1322" s="2" t="s">
        <v>101</v>
      </c>
      <c r="P1322" s="2" t="str">
        <f>"2170606604                    "</f>
        <v xml:space="preserve">2170606604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9.65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2.6</v>
      </c>
      <c r="BJ1322" s="2">
        <v>1.7</v>
      </c>
      <c r="BK1322" s="2">
        <v>3</v>
      </c>
      <c r="BL1322" s="2">
        <v>68.89</v>
      </c>
      <c r="BM1322" s="2">
        <v>9.64</v>
      </c>
      <c r="BN1322" s="2">
        <v>78.53</v>
      </c>
      <c r="BO1322" s="2">
        <v>78.53</v>
      </c>
      <c r="BR1322" s="2" t="s">
        <v>103</v>
      </c>
      <c r="BS1322" s="3">
        <v>43082</v>
      </c>
      <c r="BT1322" s="4">
        <v>0.54305555555555551</v>
      </c>
      <c r="BU1322" s="2" t="s">
        <v>161</v>
      </c>
      <c r="BV1322" s="2" t="s">
        <v>89</v>
      </c>
      <c r="BW1322" s="2" t="s">
        <v>471</v>
      </c>
      <c r="BX1322" s="2" t="s">
        <v>1800</v>
      </c>
      <c r="BY1322" s="2">
        <v>8703.7000000000007</v>
      </c>
      <c r="CC1322" s="2" t="s">
        <v>992</v>
      </c>
      <c r="CD1322" s="2">
        <v>8390</v>
      </c>
      <c r="CE1322" s="2" t="s">
        <v>120</v>
      </c>
      <c r="CF1322" s="3">
        <v>43087</v>
      </c>
      <c r="CI1322" s="2">
        <v>1</v>
      </c>
      <c r="CJ1322" s="2">
        <v>2</v>
      </c>
      <c r="CK1322" s="2">
        <v>21</v>
      </c>
      <c r="CL1322" s="2" t="s">
        <v>89</v>
      </c>
    </row>
    <row r="1323" spans="1:90">
      <c r="A1323" s="2" t="s">
        <v>71</v>
      </c>
      <c r="B1323" s="2" t="s">
        <v>72</v>
      </c>
      <c r="C1323" s="2" t="s">
        <v>73</v>
      </c>
      <c r="E1323" s="2" t="str">
        <f>"FES1162594949"</f>
        <v>FES1162594949</v>
      </c>
      <c r="F1323" s="3">
        <v>43080</v>
      </c>
      <c r="G1323" s="2">
        <v>201806</v>
      </c>
      <c r="H1323" s="2" t="s">
        <v>74</v>
      </c>
      <c r="I1323" s="2" t="s">
        <v>75</v>
      </c>
      <c r="J1323" s="2" t="s">
        <v>97</v>
      </c>
      <c r="K1323" s="2" t="s">
        <v>77</v>
      </c>
      <c r="L1323" s="2" t="s">
        <v>115</v>
      </c>
      <c r="M1323" s="2" t="s">
        <v>116</v>
      </c>
      <c r="N1323" s="2" t="s">
        <v>283</v>
      </c>
      <c r="O1323" s="2" t="s">
        <v>101</v>
      </c>
      <c r="P1323" s="2" t="str">
        <f>"2170599830                    "</f>
        <v xml:space="preserve">2170599830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5.03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35.89</v>
      </c>
      <c r="BM1323" s="2">
        <v>5.0199999999999996</v>
      </c>
      <c r="BN1323" s="2">
        <v>40.909999999999997</v>
      </c>
      <c r="BO1323" s="2">
        <v>40.909999999999997</v>
      </c>
      <c r="BQ1323" s="2" t="s">
        <v>102</v>
      </c>
      <c r="BR1323" s="2" t="s">
        <v>103</v>
      </c>
      <c r="BS1323" s="3">
        <v>43083</v>
      </c>
      <c r="BT1323" s="4">
        <v>0.41666666666666669</v>
      </c>
      <c r="BU1323" s="2" t="s">
        <v>432</v>
      </c>
      <c r="BV1323" s="2" t="s">
        <v>89</v>
      </c>
      <c r="BW1323" s="2" t="s">
        <v>149</v>
      </c>
      <c r="BX1323" s="2" t="s">
        <v>157</v>
      </c>
      <c r="BY1323" s="2">
        <v>1200</v>
      </c>
      <c r="CA1323" s="2" t="s">
        <v>293</v>
      </c>
      <c r="CC1323" s="2" t="s">
        <v>116</v>
      </c>
      <c r="CD1323" s="2">
        <v>1459</v>
      </c>
      <c r="CE1323" s="2" t="s">
        <v>120</v>
      </c>
      <c r="CF1323" s="3">
        <v>43084</v>
      </c>
      <c r="CI1323" s="2">
        <v>1</v>
      </c>
      <c r="CJ1323" s="2">
        <v>3</v>
      </c>
      <c r="CK1323" s="2">
        <v>22</v>
      </c>
      <c r="CL1323" s="2" t="s">
        <v>89</v>
      </c>
    </row>
    <row r="1324" spans="1:90">
      <c r="A1324" s="2" t="s">
        <v>71</v>
      </c>
      <c r="B1324" s="2" t="s">
        <v>72</v>
      </c>
      <c r="C1324" s="2" t="s">
        <v>73</v>
      </c>
      <c r="E1324" s="2" t="str">
        <f>"FES1162594794"</f>
        <v>FES1162594794</v>
      </c>
      <c r="F1324" s="3">
        <v>43080</v>
      </c>
      <c r="G1324" s="2">
        <v>201806</v>
      </c>
      <c r="H1324" s="2" t="s">
        <v>74</v>
      </c>
      <c r="I1324" s="2" t="s">
        <v>75</v>
      </c>
      <c r="J1324" s="2" t="s">
        <v>97</v>
      </c>
      <c r="K1324" s="2" t="s">
        <v>77</v>
      </c>
      <c r="L1324" s="2" t="s">
        <v>115</v>
      </c>
      <c r="M1324" s="2" t="s">
        <v>116</v>
      </c>
      <c r="N1324" s="2" t="s">
        <v>283</v>
      </c>
      <c r="O1324" s="2" t="s">
        <v>101</v>
      </c>
      <c r="P1324" s="2" t="str">
        <f>"2170605289                    "</f>
        <v xml:space="preserve">2170605289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5.03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</v>
      </c>
      <c r="BJ1324" s="2">
        <v>0.2</v>
      </c>
      <c r="BK1324" s="2">
        <v>1</v>
      </c>
      <c r="BL1324" s="2">
        <v>35.89</v>
      </c>
      <c r="BM1324" s="2">
        <v>5.0199999999999996</v>
      </c>
      <c r="BN1324" s="2">
        <v>40.909999999999997</v>
      </c>
      <c r="BO1324" s="2">
        <v>40.909999999999997</v>
      </c>
      <c r="BQ1324" s="2" t="s">
        <v>102</v>
      </c>
      <c r="BR1324" s="2" t="s">
        <v>103</v>
      </c>
      <c r="BS1324" s="3">
        <v>43083</v>
      </c>
      <c r="BT1324" s="4">
        <v>0.41666666666666669</v>
      </c>
      <c r="BU1324" s="2" t="s">
        <v>1801</v>
      </c>
      <c r="BV1324" s="2" t="s">
        <v>89</v>
      </c>
      <c r="BW1324" s="2" t="s">
        <v>149</v>
      </c>
      <c r="BX1324" s="2" t="s">
        <v>157</v>
      </c>
      <c r="BY1324" s="2">
        <v>1200</v>
      </c>
      <c r="CA1324" s="2" t="s">
        <v>293</v>
      </c>
      <c r="CC1324" s="2" t="s">
        <v>116</v>
      </c>
      <c r="CD1324" s="2">
        <v>1459</v>
      </c>
      <c r="CE1324" s="2" t="s">
        <v>120</v>
      </c>
      <c r="CF1324" s="3">
        <v>43084</v>
      </c>
      <c r="CI1324" s="2">
        <v>1</v>
      </c>
      <c r="CJ1324" s="2">
        <v>3</v>
      </c>
      <c r="CK1324" s="2">
        <v>22</v>
      </c>
      <c r="CL1324" s="2" t="s">
        <v>89</v>
      </c>
    </row>
    <row r="1325" spans="1:90">
      <c r="A1325" s="2" t="s">
        <v>71</v>
      </c>
      <c r="B1325" s="2" t="s">
        <v>72</v>
      </c>
      <c r="C1325" s="2" t="s">
        <v>73</v>
      </c>
      <c r="E1325" s="2" t="str">
        <f>"FES1162594597"</f>
        <v>FES1162594597</v>
      </c>
      <c r="F1325" s="3">
        <v>43080</v>
      </c>
      <c r="G1325" s="2">
        <v>201806</v>
      </c>
      <c r="H1325" s="2" t="s">
        <v>74</v>
      </c>
      <c r="I1325" s="2" t="s">
        <v>75</v>
      </c>
      <c r="J1325" s="2" t="s">
        <v>97</v>
      </c>
      <c r="K1325" s="2" t="s">
        <v>77</v>
      </c>
      <c r="L1325" s="2" t="s">
        <v>74</v>
      </c>
      <c r="M1325" s="2" t="s">
        <v>75</v>
      </c>
      <c r="N1325" s="2" t="s">
        <v>1094</v>
      </c>
      <c r="O1325" s="2" t="s">
        <v>101</v>
      </c>
      <c r="P1325" s="2" t="str">
        <f>"2170605325                    "</f>
        <v xml:space="preserve">2170605325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5.03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</v>
      </c>
      <c r="BJ1325" s="2">
        <v>0.2</v>
      </c>
      <c r="BK1325" s="2">
        <v>1</v>
      </c>
      <c r="BL1325" s="2">
        <v>35.89</v>
      </c>
      <c r="BM1325" s="2">
        <v>5.0199999999999996</v>
      </c>
      <c r="BN1325" s="2">
        <v>40.909999999999997</v>
      </c>
      <c r="BO1325" s="2">
        <v>40.909999999999997</v>
      </c>
      <c r="BQ1325" s="2" t="s">
        <v>1247</v>
      </c>
      <c r="BR1325" s="2" t="s">
        <v>103</v>
      </c>
      <c r="BS1325" s="3">
        <v>43081</v>
      </c>
      <c r="BT1325" s="4">
        <v>0.4375</v>
      </c>
      <c r="BU1325" s="2" t="s">
        <v>1569</v>
      </c>
      <c r="BV1325" s="2" t="s">
        <v>85</v>
      </c>
      <c r="BY1325" s="2">
        <v>1200</v>
      </c>
      <c r="CA1325" s="2" t="s">
        <v>203</v>
      </c>
      <c r="CC1325" s="2" t="s">
        <v>75</v>
      </c>
      <c r="CD1325" s="2">
        <v>1666</v>
      </c>
      <c r="CE1325" s="2" t="s">
        <v>120</v>
      </c>
      <c r="CF1325" s="3">
        <v>43083</v>
      </c>
      <c r="CI1325" s="2">
        <v>1</v>
      </c>
      <c r="CJ1325" s="2">
        <v>1</v>
      </c>
      <c r="CK1325" s="2">
        <v>22</v>
      </c>
      <c r="CL1325" s="2" t="s">
        <v>89</v>
      </c>
    </row>
    <row r="1326" spans="1:90">
      <c r="A1326" s="2" t="s">
        <v>71</v>
      </c>
      <c r="B1326" s="2" t="s">
        <v>72</v>
      </c>
      <c r="C1326" s="2" t="s">
        <v>73</v>
      </c>
      <c r="E1326" s="2" t="str">
        <f>"FES1162594933"</f>
        <v>FES1162594933</v>
      </c>
      <c r="F1326" s="3">
        <v>43080</v>
      </c>
      <c r="G1326" s="2">
        <v>201806</v>
      </c>
      <c r="H1326" s="2" t="s">
        <v>74</v>
      </c>
      <c r="I1326" s="2" t="s">
        <v>75</v>
      </c>
      <c r="J1326" s="2" t="s">
        <v>97</v>
      </c>
      <c r="K1326" s="2" t="s">
        <v>77</v>
      </c>
      <c r="L1326" s="2" t="s">
        <v>152</v>
      </c>
      <c r="M1326" s="2" t="s">
        <v>153</v>
      </c>
      <c r="N1326" s="2" t="s">
        <v>1802</v>
      </c>
      <c r="O1326" s="2" t="s">
        <v>101</v>
      </c>
      <c r="P1326" s="2" t="str">
        <f>"2170606843                    "</f>
        <v xml:space="preserve">2170606843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5.03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35.89</v>
      </c>
      <c r="BM1326" s="2">
        <v>5.0199999999999996</v>
      </c>
      <c r="BN1326" s="2">
        <v>40.909999999999997</v>
      </c>
      <c r="BO1326" s="2">
        <v>40.909999999999997</v>
      </c>
      <c r="BQ1326" s="2" t="s">
        <v>1803</v>
      </c>
      <c r="BR1326" s="2" t="s">
        <v>103</v>
      </c>
      <c r="BS1326" s="3">
        <v>43081</v>
      </c>
      <c r="BT1326" s="4">
        <v>0.33888888888888885</v>
      </c>
      <c r="BU1326" s="2" t="s">
        <v>205</v>
      </c>
      <c r="BV1326" s="2" t="s">
        <v>85</v>
      </c>
      <c r="BY1326" s="2">
        <v>1200</v>
      </c>
      <c r="CA1326" s="2" t="s">
        <v>337</v>
      </c>
      <c r="CC1326" s="2" t="s">
        <v>153</v>
      </c>
      <c r="CD1326" s="2">
        <v>1401</v>
      </c>
      <c r="CE1326" s="2" t="s">
        <v>120</v>
      </c>
      <c r="CF1326" s="3">
        <v>43082</v>
      </c>
      <c r="CI1326" s="2">
        <v>1</v>
      </c>
      <c r="CJ1326" s="2">
        <v>1</v>
      </c>
      <c r="CK1326" s="2">
        <v>22</v>
      </c>
      <c r="CL1326" s="2" t="s">
        <v>89</v>
      </c>
    </row>
    <row r="1327" spans="1:90">
      <c r="A1327" s="2" t="s">
        <v>71</v>
      </c>
      <c r="B1327" s="2" t="s">
        <v>72</v>
      </c>
      <c r="C1327" s="2" t="s">
        <v>73</v>
      </c>
      <c r="E1327" s="2" t="str">
        <f>"FES1162594811"</f>
        <v>FES1162594811</v>
      </c>
      <c r="F1327" s="3">
        <v>43080</v>
      </c>
      <c r="G1327" s="2">
        <v>201806</v>
      </c>
      <c r="H1327" s="2" t="s">
        <v>74</v>
      </c>
      <c r="I1327" s="2" t="s">
        <v>75</v>
      </c>
      <c r="J1327" s="2" t="s">
        <v>97</v>
      </c>
      <c r="K1327" s="2" t="s">
        <v>77</v>
      </c>
      <c r="L1327" s="2" t="s">
        <v>547</v>
      </c>
      <c r="M1327" s="2" t="s">
        <v>548</v>
      </c>
      <c r="N1327" s="2" t="s">
        <v>1546</v>
      </c>
      <c r="O1327" s="2" t="s">
        <v>101</v>
      </c>
      <c r="P1327" s="2" t="str">
        <f>"217606703                     "</f>
        <v xml:space="preserve">217606703 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5.03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35.89</v>
      </c>
      <c r="BM1327" s="2">
        <v>5.0199999999999996</v>
      </c>
      <c r="BN1327" s="2">
        <v>40.909999999999997</v>
      </c>
      <c r="BO1327" s="2">
        <v>40.909999999999997</v>
      </c>
      <c r="BQ1327" s="2" t="s">
        <v>1804</v>
      </c>
      <c r="BR1327" s="2" t="s">
        <v>103</v>
      </c>
      <c r="BS1327" s="3">
        <v>43081</v>
      </c>
      <c r="BT1327" s="4">
        <v>0.2986111111111111</v>
      </c>
      <c r="BU1327" s="2" t="s">
        <v>1547</v>
      </c>
      <c r="BV1327" s="2" t="s">
        <v>85</v>
      </c>
      <c r="BY1327" s="2">
        <v>1200</v>
      </c>
      <c r="CA1327" s="2" t="s">
        <v>119</v>
      </c>
      <c r="CC1327" s="2" t="s">
        <v>548</v>
      </c>
      <c r="CD1327" s="2">
        <v>1501</v>
      </c>
      <c r="CE1327" s="2" t="s">
        <v>120</v>
      </c>
      <c r="CF1327" s="3">
        <v>43082</v>
      </c>
      <c r="CI1327" s="2">
        <v>1</v>
      </c>
      <c r="CJ1327" s="2">
        <v>1</v>
      </c>
      <c r="CK1327" s="2">
        <v>22</v>
      </c>
      <c r="CL1327" s="2" t="s">
        <v>89</v>
      </c>
    </row>
    <row r="1328" spans="1:90">
      <c r="A1328" s="2" t="s">
        <v>71</v>
      </c>
      <c r="B1328" s="2" t="s">
        <v>72</v>
      </c>
      <c r="C1328" s="2" t="s">
        <v>73</v>
      </c>
      <c r="E1328" s="2" t="str">
        <f>"FES1162594945"</f>
        <v>FES1162594945</v>
      </c>
      <c r="F1328" s="3">
        <v>43080</v>
      </c>
      <c r="G1328" s="2">
        <v>201806</v>
      </c>
      <c r="H1328" s="2" t="s">
        <v>74</v>
      </c>
      <c r="I1328" s="2" t="s">
        <v>75</v>
      </c>
      <c r="J1328" s="2" t="s">
        <v>97</v>
      </c>
      <c r="K1328" s="2" t="s">
        <v>77</v>
      </c>
      <c r="L1328" s="2" t="s">
        <v>173</v>
      </c>
      <c r="M1328" s="2" t="s">
        <v>174</v>
      </c>
      <c r="N1328" s="2" t="s">
        <v>1622</v>
      </c>
      <c r="O1328" s="2" t="s">
        <v>101</v>
      </c>
      <c r="P1328" s="2" t="str">
        <f>"2170606860                    "</f>
        <v xml:space="preserve">2170606860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30.55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5.2</v>
      </c>
      <c r="BJ1328" s="2">
        <v>9.1</v>
      </c>
      <c r="BK1328" s="2">
        <v>9.5</v>
      </c>
      <c r="BL1328" s="2">
        <v>218.1</v>
      </c>
      <c r="BM1328" s="2">
        <v>30.53</v>
      </c>
      <c r="BN1328" s="2">
        <v>248.63</v>
      </c>
      <c r="BO1328" s="2">
        <v>248.63</v>
      </c>
      <c r="BQ1328" s="2" t="s">
        <v>102</v>
      </c>
      <c r="BR1328" s="2" t="s">
        <v>103</v>
      </c>
      <c r="BS1328" s="3">
        <v>43081</v>
      </c>
      <c r="BT1328" s="4">
        <v>0.3840277777777778</v>
      </c>
      <c r="BU1328" s="2" t="s">
        <v>1805</v>
      </c>
      <c r="BV1328" s="2" t="s">
        <v>85</v>
      </c>
      <c r="BY1328" s="2">
        <v>45539</v>
      </c>
      <c r="CA1328" s="2" t="s">
        <v>234</v>
      </c>
      <c r="CC1328" s="2" t="s">
        <v>174</v>
      </c>
      <c r="CD1328" s="2">
        <v>7530</v>
      </c>
      <c r="CE1328" s="2" t="s">
        <v>95</v>
      </c>
      <c r="CF1328" s="3">
        <v>43082</v>
      </c>
      <c r="CI1328" s="2">
        <v>1</v>
      </c>
      <c r="CJ1328" s="2">
        <v>1</v>
      </c>
      <c r="CK1328" s="2">
        <v>21</v>
      </c>
      <c r="CL1328" s="2" t="s">
        <v>89</v>
      </c>
    </row>
    <row r="1329" spans="1:90">
      <c r="A1329" s="2" t="s">
        <v>71</v>
      </c>
      <c r="B1329" s="2" t="s">
        <v>72</v>
      </c>
      <c r="C1329" s="2" t="s">
        <v>73</v>
      </c>
      <c r="E1329" s="2" t="str">
        <f>"FES1162594752"</f>
        <v>FES1162594752</v>
      </c>
      <c r="F1329" s="3">
        <v>43080</v>
      </c>
      <c r="G1329" s="2">
        <v>201806</v>
      </c>
      <c r="H1329" s="2" t="s">
        <v>74</v>
      </c>
      <c r="I1329" s="2" t="s">
        <v>75</v>
      </c>
      <c r="J1329" s="2" t="s">
        <v>97</v>
      </c>
      <c r="K1329" s="2" t="s">
        <v>77</v>
      </c>
      <c r="L1329" s="2" t="s">
        <v>449</v>
      </c>
      <c r="M1329" s="2" t="s">
        <v>450</v>
      </c>
      <c r="N1329" s="2" t="s">
        <v>1013</v>
      </c>
      <c r="O1329" s="2" t="s">
        <v>101</v>
      </c>
      <c r="P1329" s="2" t="str">
        <f>"2170606638                    "</f>
        <v xml:space="preserve">2170606638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5.03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35.89</v>
      </c>
      <c r="BM1329" s="2">
        <v>5.0199999999999996</v>
      </c>
      <c r="BN1329" s="2">
        <v>40.909999999999997</v>
      </c>
      <c r="BO1329" s="2">
        <v>40.909999999999997</v>
      </c>
      <c r="BQ1329" s="2" t="s">
        <v>1014</v>
      </c>
      <c r="BR1329" s="2" t="s">
        <v>103</v>
      </c>
      <c r="BS1329" s="3">
        <v>43081</v>
      </c>
      <c r="BT1329" s="4">
        <v>0.36458333333333331</v>
      </c>
      <c r="BU1329" s="2" t="s">
        <v>1806</v>
      </c>
      <c r="BV1329" s="2" t="s">
        <v>85</v>
      </c>
      <c r="BY1329" s="2">
        <v>1200</v>
      </c>
      <c r="CA1329" s="2" t="s">
        <v>453</v>
      </c>
      <c r="CC1329" s="2" t="s">
        <v>450</v>
      </c>
      <c r="CD1329" s="2">
        <v>1709</v>
      </c>
      <c r="CE1329" s="2" t="s">
        <v>120</v>
      </c>
      <c r="CF1329" s="3">
        <v>43083</v>
      </c>
      <c r="CI1329" s="2">
        <v>1</v>
      </c>
      <c r="CJ1329" s="2">
        <v>1</v>
      </c>
      <c r="CK1329" s="2">
        <v>22</v>
      </c>
      <c r="CL1329" s="2" t="s">
        <v>89</v>
      </c>
    </row>
    <row r="1330" spans="1:90">
      <c r="A1330" s="2" t="s">
        <v>71</v>
      </c>
      <c r="B1330" s="2" t="s">
        <v>72</v>
      </c>
      <c r="C1330" s="2" t="s">
        <v>73</v>
      </c>
      <c r="E1330" s="2" t="str">
        <f>"FES1162594782"</f>
        <v>FES1162594782</v>
      </c>
      <c r="F1330" s="3">
        <v>43080</v>
      </c>
      <c r="G1330" s="2">
        <v>201806</v>
      </c>
      <c r="H1330" s="2" t="s">
        <v>74</v>
      </c>
      <c r="I1330" s="2" t="s">
        <v>75</v>
      </c>
      <c r="J1330" s="2" t="s">
        <v>97</v>
      </c>
      <c r="K1330" s="2" t="s">
        <v>77</v>
      </c>
      <c r="L1330" s="2" t="s">
        <v>173</v>
      </c>
      <c r="M1330" s="2" t="s">
        <v>174</v>
      </c>
      <c r="N1330" s="2" t="s">
        <v>323</v>
      </c>
      <c r="O1330" s="2" t="s">
        <v>101</v>
      </c>
      <c r="P1330" s="2" t="str">
        <f>"2170602288                    "</f>
        <v xml:space="preserve">2170602288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43.41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13.4</v>
      </c>
      <c r="BJ1330" s="2">
        <v>9.1</v>
      </c>
      <c r="BK1330" s="2">
        <v>13.5</v>
      </c>
      <c r="BL1330" s="2">
        <v>309.92</v>
      </c>
      <c r="BM1330" s="2">
        <v>43.39</v>
      </c>
      <c r="BN1330" s="2">
        <v>353.31</v>
      </c>
      <c r="BO1330" s="2">
        <v>353.31</v>
      </c>
      <c r="BQ1330" s="2" t="s">
        <v>82</v>
      </c>
      <c r="BR1330" s="2" t="s">
        <v>103</v>
      </c>
      <c r="BS1330" s="3">
        <v>43081</v>
      </c>
      <c r="BT1330" s="4">
        <v>0.41666666666666669</v>
      </c>
      <c r="BU1330" s="2" t="s">
        <v>324</v>
      </c>
      <c r="BV1330" s="2" t="s">
        <v>85</v>
      </c>
      <c r="BY1330" s="2">
        <v>45584.83</v>
      </c>
      <c r="CA1330" s="2" t="s">
        <v>177</v>
      </c>
      <c r="CC1330" s="2" t="s">
        <v>174</v>
      </c>
      <c r="CD1330" s="2">
        <v>7405</v>
      </c>
      <c r="CE1330" s="2" t="s">
        <v>95</v>
      </c>
      <c r="CF1330" s="3">
        <v>43082</v>
      </c>
      <c r="CI1330" s="2">
        <v>1</v>
      </c>
      <c r="CJ1330" s="2">
        <v>1</v>
      </c>
      <c r="CK1330" s="2">
        <v>21</v>
      </c>
      <c r="CL1330" s="2" t="s">
        <v>89</v>
      </c>
    </row>
    <row r="1331" spans="1:90">
      <c r="A1331" s="2" t="s">
        <v>71</v>
      </c>
      <c r="B1331" s="2" t="s">
        <v>72</v>
      </c>
      <c r="C1331" s="2" t="s">
        <v>73</v>
      </c>
      <c r="E1331" s="2" t="str">
        <f>"FES1162594650"</f>
        <v>FES1162594650</v>
      </c>
      <c r="F1331" s="3">
        <v>43080</v>
      </c>
      <c r="G1331" s="2">
        <v>201806</v>
      </c>
      <c r="H1331" s="2" t="s">
        <v>74</v>
      </c>
      <c r="I1331" s="2" t="s">
        <v>75</v>
      </c>
      <c r="J1331" s="2" t="s">
        <v>97</v>
      </c>
      <c r="K1331" s="2" t="s">
        <v>77</v>
      </c>
      <c r="L1331" s="2" t="s">
        <v>173</v>
      </c>
      <c r="M1331" s="2" t="s">
        <v>174</v>
      </c>
      <c r="N1331" s="2" t="s">
        <v>1807</v>
      </c>
      <c r="O1331" s="2" t="s">
        <v>101</v>
      </c>
      <c r="P1331" s="2" t="str">
        <f>"2170606499                    "</f>
        <v xml:space="preserve">2170606499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14.47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2</v>
      </c>
      <c r="BJ1331" s="2">
        <v>4.4000000000000004</v>
      </c>
      <c r="BK1331" s="2">
        <v>4.5</v>
      </c>
      <c r="BL1331" s="2">
        <v>103.32</v>
      </c>
      <c r="BM1331" s="2">
        <v>14.46</v>
      </c>
      <c r="BN1331" s="2">
        <v>117.78</v>
      </c>
      <c r="BO1331" s="2">
        <v>117.78</v>
      </c>
      <c r="BQ1331" s="2" t="s">
        <v>128</v>
      </c>
      <c r="BR1331" s="2" t="s">
        <v>103</v>
      </c>
      <c r="BS1331" s="3">
        <v>43081</v>
      </c>
      <c r="BT1331" s="4">
        <v>0.5180555555555556</v>
      </c>
      <c r="BU1331" s="2" t="s">
        <v>1808</v>
      </c>
      <c r="BV1331" s="2" t="s">
        <v>89</v>
      </c>
      <c r="BW1331" s="2" t="s">
        <v>313</v>
      </c>
      <c r="BX1331" s="2" t="s">
        <v>368</v>
      </c>
      <c r="BY1331" s="2">
        <v>21780</v>
      </c>
      <c r="CA1331" s="2" t="s">
        <v>234</v>
      </c>
      <c r="CC1331" s="2" t="s">
        <v>174</v>
      </c>
      <c r="CD1331" s="2">
        <v>7560</v>
      </c>
      <c r="CE1331" s="2" t="s">
        <v>356</v>
      </c>
      <c r="CF1331" s="3">
        <v>43082</v>
      </c>
      <c r="CI1331" s="2">
        <v>1</v>
      </c>
      <c r="CJ1331" s="2">
        <v>1</v>
      </c>
      <c r="CK1331" s="2">
        <v>21</v>
      </c>
      <c r="CL1331" s="2" t="s">
        <v>89</v>
      </c>
    </row>
    <row r="1332" spans="1:90">
      <c r="A1332" s="2" t="s">
        <v>71</v>
      </c>
      <c r="B1332" s="2" t="s">
        <v>72</v>
      </c>
      <c r="C1332" s="2" t="s">
        <v>73</v>
      </c>
      <c r="E1332" s="2" t="str">
        <f>"FES1162594902"</f>
        <v>FES1162594902</v>
      </c>
      <c r="F1332" s="3">
        <v>43080</v>
      </c>
      <c r="G1332" s="2">
        <v>201806</v>
      </c>
      <c r="H1332" s="2" t="s">
        <v>74</v>
      </c>
      <c r="I1332" s="2" t="s">
        <v>75</v>
      </c>
      <c r="J1332" s="2" t="s">
        <v>97</v>
      </c>
      <c r="K1332" s="2" t="s">
        <v>77</v>
      </c>
      <c r="L1332" s="2" t="s">
        <v>1239</v>
      </c>
      <c r="M1332" s="2" t="s">
        <v>1809</v>
      </c>
      <c r="N1332" s="2" t="s">
        <v>1810</v>
      </c>
      <c r="O1332" s="2" t="s">
        <v>101</v>
      </c>
      <c r="P1332" s="2" t="str">
        <f>"2170606799                    "</f>
        <v xml:space="preserve">2170606799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12.47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89</v>
      </c>
      <c r="BM1332" s="2">
        <v>12.46</v>
      </c>
      <c r="BN1332" s="2">
        <v>101.46</v>
      </c>
      <c r="BO1332" s="2">
        <v>101.46</v>
      </c>
      <c r="BR1332" s="2" t="s">
        <v>103</v>
      </c>
      <c r="BS1332" s="3">
        <v>43081</v>
      </c>
      <c r="BT1332" s="4">
        <v>0.58333333333333337</v>
      </c>
      <c r="BU1332" s="2" t="s">
        <v>1811</v>
      </c>
      <c r="BV1332" s="2" t="s">
        <v>85</v>
      </c>
      <c r="BY1332" s="2">
        <v>1200</v>
      </c>
      <c r="CA1332" s="2" t="s">
        <v>1812</v>
      </c>
      <c r="CC1332" s="2" t="s">
        <v>1809</v>
      </c>
      <c r="CD1332" s="2">
        <v>2380</v>
      </c>
      <c r="CE1332" s="2" t="s">
        <v>120</v>
      </c>
      <c r="CF1332" s="3">
        <v>43084</v>
      </c>
      <c r="CI1332" s="2">
        <v>1</v>
      </c>
      <c r="CJ1332" s="2">
        <v>1</v>
      </c>
      <c r="CK1332" s="2">
        <v>23</v>
      </c>
      <c r="CL1332" s="2" t="s">
        <v>89</v>
      </c>
    </row>
    <row r="1333" spans="1:90">
      <c r="A1333" s="2" t="s">
        <v>71</v>
      </c>
      <c r="B1333" s="2" t="s">
        <v>72</v>
      </c>
      <c r="C1333" s="2" t="s">
        <v>73</v>
      </c>
      <c r="E1333" s="2" t="str">
        <f>"FES1162594914"</f>
        <v>FES1162594914</v>
      </c>
      <c r="F1333" s="3">
        <v>43080</v>
      </c>
      <c r="G1333" s="2">
        <v>201806</v>
      </c>
      <c r="H1333" s="2" t="s">
        <v>74</v>
      </c>
      <c r="I1333" s="2" t="s">
        <v>75</v>
      </c>
      <c r="J1333" s="2" t="s">
        <v>97</v>
      </c>
      <c r="K1333" s="2" t="s">
        <v>77</v>
      </c>
      <c r="L1333" s="2" t="s">
        <v>158</v>
      </c>
      <c r="M1333" s="2" t="s">
        <v>159</v>
      </c>
      <c r="N1333" s="2" t="s">
        <v>738</v>
      </c>
      <c r="O1333" s="2" t="s">
        <v>101</v>
      </c>
      <c r="P1333" s="2" t="str">
        <f>"2170606816                    "</f>
        <v xml:space="preserve">2170606816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6.43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1</v>
      </c>
      <c r="BJ1333" s="2">
        <v>0.2</v>
      </c>
      <c r="BK1333" s="2">
        <v>1</v>
      </c>
      <c r="BL1333" s="2">
        <v>45.93</v>
      </c>
      <c r="BM1333" s="2">
        <v>6.43</v>
      </c>
      <c r="BN1333" s="2">
        <v>52.36</v>
      </c>
      <c r="BO1333" s="2">
        <v>52.36</v>
      </c>
      <c r="BQ1333" s="2" t="s">
        <v>739</v>
      </c>
      <c r="BR1333" s="2" t="s">
        <v>103</v>
      </c>
      <c r="BS1333" s="3">
        <v>43081</v>
      </c>
      <c r="BT1333" s="4">
        <v>0.43541666666666662</v>
      </c>
      <c r="BU1333" s="2" t="s">
        <v>1813</v>
      </c>
      <c r="BV1333" s="2" t="s">
        <v>85</v>
      </c>
      <c r="BY1333" s="2">
        <v>1200</v>
      </c>
      <c r="CC1333" s="2" t="s">
        <v>159</v>
      </c>
      <c r="CD1333" s="2">
        <v>117</v>
      </c>
      <c r="CE1333" s="2" t="s">
        <v>120</v>
      </c>
      <c r="CF1333" s="3">
        <v>43082</v>
      </c>
      <c r="CI1333" s="2">
        <v>1</v>
      </c>
      <c r="CJ1333" s="2">
        <v>1</v>
      </c>
      <c r="CK1333" s="2">
        <v>21</v>
      </c>
      <c r="CL1333" s="2" t="s">
        <v>89</v>
      </c>
    </row>
    <row r="1334" spans="1:90">
      <c r="A1334" s="2" t="s">
        <v>71</v>
      </c>
      <c r="B1334" s="2" t="s">
        <v>72</v>
      </c>
      <c r="C1334" s="2" t="s">
        <v>73</v>
      </c>
      <c r="E1334" s="2" t="str">
        <f>"FES1162594958"</f>
        <v>FES1162594958</v>
      </c>
      <c r="F1334" s="3">
        <v>43080</v>
      </c>
      <c r="G1334" s="2">
        <v>201806</v>
      </c>
      <c r="H1334" s="2" t="s">
        <v>74</v>
      </c>
      <c r="I1334" s="2" t="s">
        <v>75</v>
      </c>
      <c r="J1334" s="2" t="s">
        <v>97</v>
      </c>
      <c r="K1334" s="2" t="s">
        <v>77</v>
      </c>
      <c r="L1334" s="2" t="s">
        <v>162</v>
      </c>
      <c r="M1334" s="2" t="s">
        <v>163</v>
      </c>
      <c r="N1334" s="2" t="s">
        <v>398</v>
      </c>
      <c r="O1334" s="2" t="s">
        <v>101</v>
      </c>
      <c r="P1334" s="2" t="str">
        <f>"2170605379                    "</f>
        <v xml:space="preserve">2170605379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5.03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</v>
      </c>
      <c r="BJ1334" s="2">
        <v>0.2</v>
      </c>
      <c r="BK1334" s="2">
        <v>1</v>
      </c>
      <c r="BL1334" s="2">
        <v>35.89</v>
      </c>
      <c r="BM1334" s="2">
        <v>5.0199999999999996</v>
      </c>
      <c r="BN1334" s="2">
        <v>40.909999999999997</v>
      </c>
      <c r="BO1334" s="2">
        <v>40.909999999999997</v>
      </c>
      <c r="BQ1334" s="2" t="s">
        <v>142</v>
      </c>
      <c r="BR1334" s="2" t="s">
        <v>103</v>
      </c>
      <c r="BS1334" s="3">
        <v>43081</v>
      </c>
      <c r="BT1334" s="4">
        <v>0.77986111111111101</v>
      </c>
      <c r="BU1334" s="2" t="s">
        <v>1569</v>
      </c>
      <c r="BV1334" s="2" t="s">
        <v>89</v>
      </c>
      <c r="BW1334" s="2" t="s">
        <v>149</v>
      </c>
      <c r="BX1334" s="2" t="s">
        <v>513</v>
      </c>
      <c r="BY1334" s="2">
        <v>1200</v>
      </c>
      <c r="CA1334" s="2" t="s">
        <v>1814</v>
      </c>
      <c r="CC1334" s="2" t="s">
        <v>163</v>
      </c>
      <c r="CD1334" s="2">
        <v>1449</v>
      </c>
      <c r="CE1334" s="2" t="s">
        <v>120</v>
      </c>
      <c r="CF1334" s="3">
        <v>43082</v>
      </c>
      <c r="CI1334" s="2">
        <v>1</v>
      </c>
      <c r="CJ1334" s="2">
        <v>1</v>
      </c>
      <c r="CK1334" s="2">
        <v>22</v>
      </c>
      <c r="CL1334" s="2" t="s">
        <v>89</v>
      </c>
    </row>
    <row r="1335" spans="1:90">
      <c r="A1335" s="2" t="s">
        <v>71</v>
      </c>
      <c r="B1335" s="2" t="s">
        <v>72</v>
      </c>
      <c r="C1335" s="2" t="s">
        <v>73</v>
      </c>
      <c r="E1335" s="2" t="str">
        <f>"FES1162594828"</f>
        <v>FES1162594828</v>
      </c>
      <c r="F1335" s="3">
        <v>43080</v>
      </c>
      <c r="G1335" s="2">
        <v>201806</v>
      </c>
      <c r="H1335" s="2" t="s">
        <v>74</v>
      </c>
      <c r="I1335" s="2" t="s">
        <v>75</v>
      </c>
      <c r="J1335" s="2" t="s">
        <v>97</v>
      </c>
      <c r="K1335" s="2" t="s">
        <v>77</v>
      </c>
      <c r="L1335" s="2" t="s">
        <v>115</v>
      </c>
      <c r="M1335" s="2" t="s">
        <v>116</v>
      </c>
      <c r="N1335" s="2" t="s">
        <v>1416</v>
      </c>
      <c r="O1335" s="2" t="s">
        <v>101</v>
      </c>
      <c r="P1335" s="2" t="str">
        <f>"2170606404                    "</f>
        <v xml:space="preserve">2170606404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5.03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1</v>
      </c>
      <c r="BJ1335" s="2">
        <v>0.2</v>
      </c>
      <c r="BK1335" s="2">
        <v>1</v>
      </c>
      <c r="BL1335" s="2">
        <v>35.89</v>
      </c>
      <c r="BM1335" s="2">
        <v>5.0199999999999996</v>
      </c>
      <c r="BN1335" s="2">
        <v>40.909999999999997</v>
      </c>
      <c r="BO1335" s="2">
        <v>40.909999999999997</v>
      </c>
      <c r="BR1335" s="2" t="s">
        <v>103</v>
      </c>
      <c r="BS1335" s="3">
        <v>43081</v>
      </c>
      <c r="BT1335" s="4">
        <v>0.3576388888888889</v>
      </c>
      <c r="BU1335" s="2" t="s">
        <v>516</v>
      </c>
      <c r="BV1335" s="2" t="s">
        <v>85</v>
      </c>
      <c r="BY1335" s="2">
        <v>1200</v>
      </c>
      <c r="CA1335" s="2" t="s">
        <v>119</v>
      </c>
      <c r="CC1335" s="2" t="s">
        <v>116</v>
      </c>
      <c r="CD1335" s="2">
        <v>1459</v>
      </c>
      <c r="CE1335" s="2" t="s">
        <v>120</v>
      </c>
      <c r="CF1335" s="3">
        <v>43082</v>
      </c>
      <c r="CI1335" s="2">
        <v>1</v>
      </c>
      <c r="CJ1335" s="2">
        <v>1</v>
      </c>
      <c r="CK1335" s="2">
        <v>22</v>
      </c>
      <c r="CL1335" s="2" t="s">
        <v>89</v>
      </c>
    </row>
    <row r="1336" spans="1:90">
      <c r="A1336" s="2" t="s">
        <v>71</v>
      </c>
      <c r="B1336" s="2" t="s">
        <v>72</v>
      </c>
      <c r="C1336" s="2" t="s">
        <v>73</v>
      </c>
      <c r="E1336" s="2" t="str">
        <f>"FES1162594937"</f>
        <v>FES1162594937</v>
      </c>
      <c r="F1336" s="3">
        <v>43080</v>
      </c>
      <c r="G1336" s="2">
        <v>201806</v>
      </c>
      <c r="H1336" s="2" t="s">
        <v>74</v>
      </c>
      <c r="I1336" s="2" t="s">
        <v>75</v>
      </c>
      <c r="J1336" s="2" t="s">
        <v>97</v>
      </c>
      <c r="K1336" s="2" t="s">
        <v>77</v>
      </c>
      <c r="L1336" s="2" t="s">
        <v>162</v>
      </c>
      <c r="M1336" s="2" t="s">
        <v>163</v>
      </c>
      <c r="N1336" s="2" t="s">
        <v>1815</v>
      </c>
      <c r="O1336" s="2" t="s">
        <v>101</v>
      </c>
      <c r="P1336" s="2" t="str">
        <f>"2170606848                    "</f>
        <v xml:space="preserve">2170606848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5.03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1</v>
      </c>
      <c r="BJ1336" s="2">
        <v>0.2</v>
      </c>
      <c r="BK1336" s="2">
        <v>1</v>
      </c>
      <c r="BL1336" s="2">
        <v>35.89</v>
      </c>
      <c r="BM1336" s="2">
        <v>5.0199999999999996</v>
      </c>
      <c r="BN1336" s="2">
        <v>40.909999999999997</v>
      </c>
      <c r="BO1336" s="2">
        <v>40.909999999999997</v>
      </c>
      <c r="BQ1336" s="2" t="s">
        <v>1816</v>
      </c>
      <c r="BR1336" s="2" t="s">
        <v>103</v>
      </c>
      <c r="BS1336" s="3">
        <v>43081</v>
      </c>
      <c r="BT1336" s="4">
        <v>0.35069444444444442</v>
      </c>
      <c r="BU1336" s="2" t="s">
        <v>1817</v>
      </c>
      <c r="BV1336" s="2" t="s">
        <v>85</v>
      </c>
      <c r="BY1336" s="2">
        <v>1200</v>
      </c>
      <c r="CA1336" s="2" t="s">
        <v>1226</v>
      </c>
      <c r="CC1336" s="2" t="s">
        <v>163</v>
      </c>
      <c r="CD1336" s="2">
        <v>1451</v>
      </c>
      <c r="CE1336" s="2" t="s">
        <v>120</v>
      </c>
      <c r="CF1336" s="3">
        <v>43083</v>
      </c>
      <c r="CI1336" s="2">
        <v>1</v>
      </c>
      <c r="CJ1336" s="2">
        <v>1</v>
      </c>
      <c r="CK1336" s="2">
        <v>22</v>
      </c>
      <c r="CL1336" s="2" t="s">
        <v>89</v>
      </c>
    </row>
    <row r="1337" spans="1:90">
      <c r="A1337" s="2" t="s">
        <v>71</v>
      </c>
      <c r="B1337" s="2" t="s">
        <v>72</v>
      </c>
      <c r="C1337" s="2" t="s">
        <v>73</v>
      </c>
      <c r="E1337" s="2" t="str">
        <f>"FES1162594880"</f>
        <v>FES1162594880</v>
      </c>
      <c r="F1337" s="3">
        <v>43080</v>
      </c>
      <c r="G1337" s="2">
        <v>201806</v>
      </c>
      <c r="H1337" s="2" t="s">
        <v>74</v>
      </c>
      <c r="I1337" s="2" t="s">
        <v>75</v>
      </c>
      <c r="J1337" s="2" t="s">
        <v>97</v>
      </c>
      <c r="K1337" s="2" t="s">
        <v>77</v>
      </c>
      <c r="L1337" s="2" t="s">
        <v>136</v>
      </c>
      <c r="M1337" s="2" t="s">
        <v>137</v>
      </c>
      <c r="N1337" s="2" t="s">
        <v>138</v>
      </c>
      <c r="O1337" s="2" t="s">
        <v>101</v>
      </c>
      <c r="P1337" s="2" t="str">
        <f>"2170605832                    "</f>
        <v xml:space="preserve">2170605832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6.43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0.2</v>
      </c>
      <c r="BK1337" s="2">
        <v>1</v>
      </c>
      <c r="BL1337" s="2">
        <v>45.93</v>
      </c>
      <c r="BM1337" s="2">
        <v>6.43</v>
      </c>
      <c r="BN1337" s="2">
        <v>52.36</v>
      </c>
      <c r="BO1337" s="2">
        <v>52.36</v>
      </c>
      <c r="BQ1337" s="2" t="s">
        <v>82</v>
      </c>
      <c r="BR1337" s="2" t="s">
        <v>103</v>
      </c>
      <c r="BS1337" s="3">
        <v>43081</v>
      </c>
      <c r="BT1337" s="4">
        <v>0.35416666666666669</v>
      </c>
      <c r="BU1337" s="2" t="s">
        <v>139</v>
      </c>
      <c r="BV1337" s="2" t="s">
        <v>85</v>
      </c>
      <c r="BY1337" s="2">
        <v>1200</v>
      </c>
      <c r="CA1337" s="2" t="s">
        <v>140</v>
      </c>
      <c r="CC1337" s="2" t="s">
        <v>137</v>
      </c>
      <c r="CD1337" s="2">
        <v>6001</v>
      </c>
      <c r="CE1337" s="2" t="s">
        <v>120</v>
      </c>
      <c r="CF1337" s="3">
        <v>43083</v>
      </c>
      <c r="CI1337" s="2">
        <v>1</v>
      </c>
      <c r="CJ1337" s="2">
        <v>1</v>
      </c>
      <c r="CK1337" s="2">
        <v>21</v>
      </c>
      <c r="CL1337" s="2" t="s">
        <v>89</v>
      </c>
    </row>
    <row r="1338" spans="1:90">
      <c r="A1338" s="2" t="s">
        <v>71</v>
      </c>
      <c r="B1338" s="2" t="s">
        <v>72</v>
      </c>
      <c r="C1338" s="2" t="s">
        <v>73</v>
      </c>
      <c r="E1338" s="2" t="str">
        <f>"FES1162594855"</f>
        <v>FES1162594855</v>
      </c>
      <c r="F1338" s="3">
        <v>43080</v>
      </c>
      <c r="G1338" s="2">
        <v>201806</v>
      </c>
      <c r="H1338" s="2" t="s">
        <v>74</v>
      </c>
      <c r="I1338" s="2" t="s">
        <v>75</v>
      </c>
      <c r="J1338" s="2" t="s">
        <v>97</v>
      </c>
      <c r="K1338" s="2" t="s">
        <v>77</v>
      </c>
      <c r="L1338" s="2" t="s">
        <v>136</v>
      </c>
      <c r="M1338" s="2" t="s">
        <v>137</v>
      </c>
      <c r="N1338" s="2" t="s">
        <v>1762</v>
      </c>
      <c r="O1338" s="2" t="s">
        <v>101</v>
      </c>
      <c r="P1338" s="2" t="str">
        <f>"2170605312                    "</f>
        <v xml:space="preserve">2170605312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6.43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</v>
      </c>
      <c r="BJ1338" s="2">
        <v>0.2</v>
      </c>
      <c r="BK1338" s="2">
        <v>1</v>
      </c>
      <c r="BL1338" s="2">
        <v>45.93</v>
      </c>
      <c r="BM1338" s="2">
        <v>6.43</v>
      </c>
      <c r="BN1338" s="2">
        <v>52.36</v>
      </c>
      <c r="BO1338" s="2">
        <v>52.36</v>
      </c>
      <c r="BQ1338" s="2" t="s">
        <v>1818</v>
      </c>
      <c r="BR1338" s="2" t="s">
        <v>103</v>
      </c>
      <c r="BS1338" s="3">
        <v>43081</v>
      </c>
      <c r="BT1338" s="4">
        <v>0.4201388888888889</v>
      </c>
      <c r="BU1338" s="2" t="s">
        <v>1763</v>
      </c>
      <c r="BV1338" s="2" t="s">
        <v>85</v>
      </c>
      <c r="BY1338" s="2">
        <v>1200</v>
      </c>
      <c r="CA1338" s="2" t="s">
        <v>140</v>
      </c>
      <c r="CC1338" s="2" t="s">
        <v>137</v>
      </c>
      <c r="CD1338" s="2">
        <v>6012</v>
      </c>
      <c r="CE1338" s="2" t="s">
        <v>120</v>
      </c>
      <c r="CF1338" s="3">
        <v>43083</v>
      </c>
      <c r="CI1338" s="2">
        <v>1</v>
      </c>
      <c r="CJ1338" s="2">
        <v>1</v>
      </c>
      <c r="CK1338" s="2">
        <v>21</v>
      </c>
      <c r="CL1338" s="2" t="s">
        <v>89</v>
      </c>
    </row>
    <row r="1339" spans="1:90">
      <c r="A1339" s="2" t="s">
        <v>71</v>
      </c>
      <c r="B1339" s="2" t="s">
        <v>72</v>
      </c>
      <c r="C1339" s="2" t="s">
        <v>73</v>
      </c>
      <c r="E1339" s="2" t="str">
        <f>"FES1162594665"</f>
        <v>FES1162594665</v>
      </c>
      <c r="F1339" s="3">
        <v>43080</v>
      </c>
      <c r="G1339" s="2">
        <v>201806</v>
      </c>
      <c r="H1339" s="2" t="s">
        <v>74</v>
      </c>
      <c r="I1339" s="2" t="s">
        <v>75</v>
      </c>
      <c r="J1339" s="2" t="s">
        <v>97</v>
      </c>
      <c r="K1339" s="2" t="s">
        <v>77</v>
      </c>
      <c r="L1339" s="2" t="s">
        <v>173</v>
      </c>
      <c r="M1339" s="2" t="s">
        <v>174</v>
      </c>
      <c r="N1339" s="2" t="s">
        <v>467</v>
      </c>
      <c r="O1339" s="2" t="s">
        <v>101</v>
      </c>
      <c r="P1339" s="2" t="str">
        <f>"2170606514                    "</f>
        <v xml:space="preserve">2170606514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14.47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2</v>
      </c>
      <c r="BJ1339" s="2">
        <v>4.2</v>
      </c>
      <c r="BK1339" s="2">
        <v>4.5</v>
      </c>
      <c r="BL1339" s="2">
        <v>103.32</v>
      </c>
      <c r="BM1339" s="2">
        <v>14.46</v>
      </c>
      <c r="BN1339" s="2">
        <v>117.78</v>
      </c>
      <c r="BO1339" s="2">
        <v>117.78</v>
      </c>
      <c r="BQ1339" s="2" t="s">
        <v>102</v>
      </c>
      <c r="BR1339" s="2" t="s">
        <v>103</v>
      </c>
      <c r="BS1339" s="3">
        <v>43081</v>
      </c>
      <c r="BT1339" s="4">
        <v>0.41666666666666669</v>
      </c>
      <c r="BU1339" s="2" t="s">
        <v>1819</v>
      </c>
      <c r="BV1339" s="2" t="s">
        <v>85</v>
      </c>
      <c r="BY1339" s="2">
        <v>20790</v>
      </c>
      <c r="CA1339" s="2" t="s">
        <v>469</v>
      </c>
      <c r="CC1339" s="2" t="s">
        <v>174</v>
      </c>
      <c r="CD1339" s="2">
        <v>7802</v>
      </c>
      <c r="CE1339" s="2" t="s">
        <v>356</v>
      </c>
      <c r="CF1339" s="3">
        <v>43082</v>
      </c>
      <c r="CI1339" s="2">
        <v>1</v>
      </c>
      <c r="CJ1339" s="2">
        <v>1</v>
      </c>
      <c r="CK1339" s="2">
        <v>21</v>
      </c>
      <c r="CL1339" s="2" t="s">
        <v>89</v>
      </c>
    </row>
    <row r="1340" spans="1:90">
      <c r="A1340" s="2" t="s">
        <v>71</v>
      </c>
      <c r="B1340" s="2" t="s">
        <v>72</v>
      </c>
      <c r="C1340" s="2" t="s">
        <v>73</v>
      </c>
      <c r="E1340" s="2" t="str">
        <f>"FES1162594882"</f>
        <v>FES1162594882</v>
      </c>
      <c r="F1340" s="3">
        <v>43080</v>
      </c>
      <c r="G1340" s="2">
        <v>201806</v>
      </c>
      <c r="H1340" s="2" t="s">
        <v>74</v>
      </c>
      <c r="I1340" s="2" t="s">
        <v>75</v>
      </c>
      <c r="J1340" s="2" t="s">
        <v>97</v>
      </c>
      <c r="K1340" s="2" t="s">
        <v>77</v>
      </c>
      <c r="L1340" s="2" t="s">
        <v>136</v>
      </c>
      <c r="M1340" s="2" t="s">
        <v>137</v>
      </c>
      <c r="N1340" s="2" t="s">
        <v>823</v>
      </c>
      <c r="O1340" s="2" t="s">
        <v>101</v>
      </c>
      <c r="P1340" s="2" t="str">
        <f>"2170606777                    "</f>
        <v xml:space="preserve">2170606777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6.43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45.93</v>
      </c>
      <c r="BM1340" s="2">
        <v>6.43</v>
      </c>
      <c r="BN1340" s="2">
        <v>52.36</v>
      </c>
      <c r="BO1340" s="2">
        <v>52.36</v>
      </c>
      <c r="BQ1340" s="2" t="s">
        <v>924</v>
      </c>
      <c r="BR1340" s="2" t="s">
        <v>103</v>
      </c>
      <c r="BS1340" s="3">
        <v>43081</v>
      </c>
      <c r="BT1340" s="4">
        <v>0.33680555555555558</v>
      </c>
      <c r="BU1340" s="2" t="s">
        <v>1820</v>
      </c>
      <c r="BV1340" s="2" t="s">
        <v>85</v>
      </c>
      <c r="BY1340" s="2">
        <v>1200</v>
      </c>
      <c r="CA1340" s="2" t="s">
        <v>180</v>
      </c>
      <c r="CC1340" s="2" t="s">
        <v>137</v>
      </c>
      <c r="CD1340" s="2">
        <v>6001</v>
      </c>
      <c r="CE1340" s="2" t="s">
        <v>120</v>
      </c>
      <c r="CF1340" s="3">
        <v>43083</v>
      </c>
      <c r="CI1340" s="2">
        <v>1</v>
      </c>
      <c r="CJ1340" s="2">
        <v>1</v>
      </c>
      <c r="CK1340" s="2">
        <v>21</v>
      </c>
      <c r="CL1340" s="2" t="s">
        <v>89</v>
      </c>
    </row>
    <row r="1341" spans="1:90">
      <c r="A1341" s="2" t="s">
        <v>71</v>
      </c>
      <c r="B1341" s="2" t="s">
        <v>72</v>
      </c>
      <c r="C1341" s="2" t="s">
        <v>73</v>
      </c>
      <c r="E1341" s="2" t="str">
        <f>"FES1162594770"</f>
        <v>FES1162594770</v>
      </c>
      <c r="F1341" s="3">
        <v>43080</v>
      </c>
      <c r="G1341" s="2">
        <v>201806</v>
      </c>
      <c r="H1341" s="2" t="s">
        <v>74</v>
      </c>
      <c r="I1341" s="2" t="s">
        <v>75</v>
      </c>
      <c r="J1341" s="2" t="s">
        <v>97</v>
      </c>
      <c r="K1341" s="2" t="s">
        <v>77</v>
      </c>
      <c r="L1341" s="2" t="s">
        <v>136</v>
      </c>
      <c r="M1341" s="2" t="s">
        <v>137</v>
      </c>
      <c r="N1341" s="2" t="s">
        <v>1821</v>
      </c>
      <c r="O1341" s="2" t="s">
        <v>101</v>
      </c>
      <c r="P1341" s="2" t="str">
        <f>"2170606674                    "</f>
        <v xml:space="preserve">2170606674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6.43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45.93</v>
      </c>
      <c r="BM1341" s="2">
        <v>6.43</v>
      </c>
      <c r="BN1341" s="2">
        <v>52.36</v>
      </c>
      <c r="BO1341" s="2">
        <v>52.36</v>
      </c>
      <c r="BQ1341" s="2" t="s">
        <v>102</v>
      </c>
      <c r="BR1341" s="2" t="s">
        <v>103</v>
      </c>
      <c r="BS1341" s="3">
        <v>43081</v>
      </c>
      <c r="BT1341" s="4">
        <v>0.36527777777777781</v>
      </c>
      <c r="BU1341" s="2" t="s">
        <v>1822</v>
      </c>
      <c r="BV1341" s="2" t="s">
        <v>85</v>
      </c>
      <c r="BY1341" s="2">
        <v>1200</v>
      </c>
      <c r="CA1341" s="2" t="s">
        <v>180</v>
      </c>
      <c r="CC1341" s="2" t="s">
        <v>137</v>
      </c>
      <c r="CD1341" s="2">
        <v>6000</v>
      </c>
      <c r="CE1341" s="2" t="s">
        <v>120</v>
      </c>
      <c r="CF1341" s="3">
        <v>43083</v>
      </c>
      <c r="CI1341" s="2">
        <v>1</v>
      </c>
      <c r="CJ1341" s="2">
        <v>1</v>
      </c>
      <c r="CK1341" s="2">
        <v>21</v>
      </c>
      <c r="CL1341" s="2" t="s">
        <v>89</v>
      </c>
    </row>
    <row r="1342" spans="1:90">
      <c r="A1342" s="2" t="s">
        <v>71</v>
      </c>
      <c r="B1342" s="2" t="s">
        <v>72</v>
      </c>
      <c r="C1342" s="2" t="s">
        <v>73</v>
      </c>
      <c r="E1342" s="2" t="str">
        <f>"FES1162594965"</f>
        <v>FES1162594965</v>
      </c>
      <c r="F1342" s="3">
        <v>43080</v>
      </c>
      <c r="G1342" s="2">
        <v>201806</v>
      </c>
      <c r="H1342" s="2" t="s">
        <v>74</v>
      </c>
      <c r="I1342" s="2" t="s">
        <v>75</v>
      </c>
      <c r="J1342" s="2" t="s">
        <v>97</v>
      </c>
      <c r="K1342" s="2" t="s">
        <v>77</v>
      </c>
      <c r="L1342" s="2" t="s">
        <v>173</v>
      </c>
      <c r="M1342" s="2" t="s">
        <v>174</v>
      </c>
      <c r="N1342" s="2" t="s">
        <v>1823</v>
      </c>
      <c r="O1342" s="2" t="s">
        <v>101</v>
      </c>
      <c r="P1342" s="2" t="str">
        <f>"2170606771                    "</f>
        <v xml:space="preserve">2170606771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28.94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8.3000000000000007</v>
      </c>
      <c r="BJ1342" s="2">
        <v>8.6999999999999993</v>
      </c>
      <c r="BK1342" s="2">
        <v>9</v>
      </c>
      <c r="BL1342" s="2">
        <v>206.62</v>
      </c>
      <c r="BM1342" s="2">
        <v>28.93</v>
      </c>
      <c r="BN1342" s="2">
        <v>235.55</v>
      </c>
      <c r="BO1342" s="2">
        <v>235.55</v>
      </c>
      <c r="BQ1342" s="2" t="s">
        <v>102</v>
      </c>
      <c r="BR1342" s="2" t="s">
        <v>103</v>
      </c>
      <c r="BS1342" s="3">
        <v>43081</v>
      </c>
      <c r="BT1342" s="4">
        <v>0.47152777777777777</v>
      </c>
      <c r="BU1342" s="2" t="s">
        <v>1824</v>
      </c>
      <c r="BV1342" s="2" t="s">
        <v>89</v>
      </c>
      <c r="BW1342" s="2" t="s">
        <v>149</v>
      </c>
      <c r="BX1342" s="2" t="s">
        <v>246</v>
      </c>
      <c r="BY1342" s="2">
        <v>43737.41</v>
      </c>
      <c r="CA1342" s="2" t="s">
        <v>360</v>
      </c>
      <c r="CC1342" s="2" t="s">
        <v>174</v>
      </c>
      <c r="CD1342" s="2">
        <v>7405</v>
      </c>
      <c r="CE1342" s="2" t="s">
        <v>356</v>
      </c>
      <c r="CF1342" s="3">
        <v>43082</v>
      </c>
      <c r="CI1342" s="2">
        <v>1</v>
      </c>
      <c r="CJ1342" s="2">
        <v>1</v>
      </c>
      <c r="CK1342" s="2">
        <v>21</v>
      </c>
      <c r="CL1342" s="2" t="s">
        <v>89</v>
      </c>
    </row>
    <row r="1343" spans="1:90">
      <c r="A1343" s="2" t="s">
        <v>71</v>
      </c>
      <c r="B1343" s="2" t="s">
        <v>72</v>
      </c>
      <c r="C1343" s="2" t="s">
        <v>73</v>
      </c>
      <c r="E1343" s="2" t="str">
        <f>"FES1162594807"</f>
        <v>FES1162594807</v>
      </c>
      <c r="F1343" s="3">
        <v>43080</v>
      </c>
      <c r="G1343" s="2">
        <v>201806</v>
      </c>
      <c r="H1343" s="2" t="s">
        <v>74</v>
      </c>
      <c r="I1343" s="2" t="s">
        <v>75</v>
      </c>
      <c r="J1343" s="2" t="s">
        <v>97</v>
      </c>
      <c r="K1343" s="2" t="s">
        <v>77</v>
      </c>
      <c r="L1343" s="2" t="s">
        <v>844</v>
      </c>
      <c r="M1343" s="2" t="s">
        <v>844</v>
      </c>
      <c r="N1343" s="2" t="s">
        <v>1451</v>
      </c>
      <c r="O1343" s="2" t="s">
        <v>101</v>
      </c>
      <c r="P1343" s="2" t="str">
        <f>"2170606695                    "</f>
        <v xml:space="preserve">2170606695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48.24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2</v>
      </c>
      <c r="BI1343" s="2">
        <v>10.7</v>
      </c>
      <c r="BJ1343" s="2">
        <v>15</v>
      </c>
      <c r="BK1343" s="2">
        <v>15</v>
      </c>
      <c r="BL1343" s="2">
        <v>344.36</v>
      </c>
      <c r="BM1343" s="2">
        <v>48.21</v>
      </c>
      <c r="BN1343" s="2">
        <v>392.57</v>
      </c>
      <c r="BO1343" s="2">
        <v>392.57</v>
      </c>
      <c r="BQ1343" s="2" t="s">
        <v>102</v>
      </c>
      <c r="BR1343" s="2" t="s">
        <v>103</v>
      </c>
      <c r="BS1343" s="3">
        <v>43082</v>
      </c>
      <c r="BT1343" s="4">
        <v>0.45347222222222222</v>
      </c>
      <c r="BU1343" s="2" t="s">
        <v>1825</v>
      </c>
      <c r="BV1343" s="2" t="s">
        <v>85</v>
      </c>
      <c r="BY1343" s="2">
        <v>75170.38</v>
      </c>
      <c r="CA1343" s="2" t="s">
        <v>847</v>
      </c>
      <c r="CC1343" s="2" t="s">
        <v>844</v>
      </c>
      <c r="CD1343" s="2">
        <v>6835</v>
      </c>
      <c r="CE1343" s="2" t="s">
        <v>120</v>
      </c>
      <c r="CF1343" s="3">
        <v>43084</v>
      </c>
      <c r="CI1343" s="2">
        <v>3</v>
      </c>
      <c r="CJ1343" s="2">
        <v>2</v>
      </c>
      <c r="CK1343" s="2">
        <v>21</v>
      </c>
      <c r="CL1343" s="2" t="s">
        <v>89</v>
      </c>
    </row>
    <row r="1344" spans="1:90">
      <c r="A1344" s="2" t="s">
        <v>71</v>
      </c>
      <c r="B1344" s="2" t="s">
        <v>72</v>
      </c>
      <c r="C1344" s="2" t="s">
        <v>73</v>
      </c>
      <c r="E1344" s="2" t="str">
        <f>"FES1162595008"</f>
        <v>FES1162595008</v>
      </c>
      <c r="F1344" s="3">
        <v>43080</v>
      </c>
      <c r="G1344" s="2">
        <v>201806</v>
      </c>
      <c r="H1344" s="2" t="s">
        <v>74</v>
      </c>
      <c r="I1344" s="2" t="s">
        <v>75</v>
      </c>
      <c r="J1344" s="2" t="s">
        <v>97</v>
      </c>
      <c r="K1344" s="2" t="s">
        <v>77</v>
      </c>
      <c r="L1344" s="2" t="s">
        <v>106</v>
      </c>
      <c r="M1344" s="2" t="s">
        <v>107</v>
      </c>
      <c r="N1344" s="2" t="s">
        <v>1296</v>
      </c>
      <c r="O1344" s="2" t="s">
        <v>101</v>
      </c>
      <c r="P1344" s="2" t="str">
        <f>"2170602057                    "</f>
        <v xml:space="preserve">2170602057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5.03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</v>
      </c>
      <c r="BJ1344" s="2">
        <v>0.2</v>
      </c>
      <c r="BK1344" s="2">
        <v>1</v>
      </c>
      <c r="BL1344" s="2">
        <v>35.89</v>
      </c>
      <c r="BM1344" s="2">
        <v>5.0199999999999996</v>
      </c>
      <c r="BN1344" s="2">
        <v>40.909999999999997</v>
      </c>
      <c r="BO1344" s="2">
        <v>40.909999999999997</v>
      </c>
      <c r="BQ1344" s="2" t="s">
        <v>128</v>
      </c>
      <c r="BR1344" s="2" t="s">
        <v>103</v>
      </c>
      <c r="BS1344" s="3">
        <v>43081</v>
      </c>
      <c r="BT1344" s="4">
        <v>0.31736111111111115</v>
      </c>
      <c r="BU1344" s="2" t="s">
        <v>1826</v>
      </c>
      <c r="BV1344" s="2" t="s">
        <v>85</v>
      </c>
      <c r="BY1344" s="2">
        <v>1200</v>
      </c>
      <c r="CA1344" s="2" t="s">
        <v>1298</v>
      </c>
      <c r="CC1344" s="2" t="s">
        <v>107</v>
      </c>
      <c r="CD1344" s="2">
        <v>2169</v>
      </c>
      <c r="CE1344" s="2" t="s">
        <v>120</v>
      </c>
      <c r="CF1344" s="3">
        <v>43083</v>
      </c>
      <c r="CI1344" s="2">
        <v>1</v>
      </c>
      <c r="CJ1344" s="2">
        <v>1</v>
      </c>
      <c r="CK1344" s="2">
        <v>22</v>
      </c>
      <c r="CL1344" s="2" t="s">
        <v>89</v>
      </c>
    </row>
    <row r="1345" spans="1:90">
      <c r="A1345" s="2" t="s">
        <v>71</v>
      </c>
      <c r="B1345" s="2" t="s">
        <v>72</v>
      </c>
      <c r="C1345" s="2" t="s">
        <v>73</v>
      </c>
      <c r="E1345" s="2" t="str">
        <f>"FES1162594870"</f>
        <v>FES1162594870</v>
      </c>
      <c r="F1345" s="3">
        <v>43080</v>
      </c>
      <c r="G1345" s="2">
        <v>201806</v>
      </c>
      <c r="H1345" s="2" t="s">
        <v>74</v>
      </c>
      <c r="I1345" s="2" t="s">
        <v>75</v>
      </c>
      <c r="J1345" s="2" t="s">
        <v>97</v>
      </c>
      <c r="K1345" s="2" t="s">
        <v>77</v>
      </c>
      <c r="L1345" s="2" t="s">
        <v>272</v>
      </c>
      <c r="M1345" s="2" t="s">
        <v>272</v>
      </c>
      <c r="N1345" s="2" t="s">
        <v>1185</v>
      </c>
      <c r="O1345" s="2" t="s">
        <v>101</v>
      </c>
      <c r="P1345" s="2" t="str">
        <f>"21760+6766                    "</f>
        <v xml:space="preserve">21760+6766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9.0500000000000007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1</v>
      </c>
      <c r="BJ1345" s="2">
        <v>0.2</v>
      </c>
      <c r="BK1345" s="2">
        <v>1</v>
      </c>
      <c r="BL1345" s="2">
        <v>64.599999999999994</v>
      </c>
      <c r="BM1345" s="2">
        <v>9.0399999999999991</v>
      </c>
      <c r="BN1345" s="2">
        <v>73.64</v>
      </c>
      <c r="BO1345" s="2">
        <v>73.64</v>
      </c>
      <c r="BQ1345" s="2" t="s">
        <v>1186</v>
      </c>
      <c r="BR1345" s="2" t="s">
        <v>103</v>
      </c>
      <c r="BS1345" s="3">
        <v>43081</v>
      </c>
      <c r="BT1345" s="4">
        <v>0.41666666666666669</v>
      </c>
      <c r="BU1345" s="2" t="s">
        <v>205</v>
      </c>
      <c r="BV1345" s="2" t="s">
        <v>85</v>
      </c>
      <c r="BY1345" s="2">
        <v>1200</v>
      </c>
      <c r="CA1345" s="2" t="s">
        <v>389</v>
      </c>
      <c r="CC1345" s="2" t="s">
        <v>272</v>
      </c>
      <c r="CD1345" s="2">
        <v>1491</v>
      </c>
      <c r="CE1345" s="2" t="s">
        <v>120</v>
      </c>
      <c r="CF1345" s="3">
        <v>43082</v>
      </c>
      <c r="CI1345" s="2">
        <v>1</v>
      </c>
      <c r="CJ1345" s="2">
        <v>1</v>
      </c>
      <c r="CK1345" s="2">
        <v>24</v>
      </c>
      <c r="CL1345" s="2" t="s">
        <v>89</v>
      </c>
    </row>
    <row r="1346" spans="1:90">
      <c r="A1346" s="2" t="s">
        <v>71</v>
      </c>
      <c r="B1346" s="2" t="s">
        <v>72</v>
      </c>
      <c r="C1346" s="2" t="s">
        <v>73</v>
      </c>
      <c r="E1346" s="2" t="str">
        <f>"FES1162594843"</f>
        <v>FES1162594843</v>
      </c>
      <c r="F1346" s="3">
        <v>43080</v>
      </c>
      <c r="G1346" s="2">
        <v>201806</v>
      </c>
      <c r="H1346" s="2" t="s">
        <v>74</v>
      </c>
      <c r="I1346" s="2" t="s">
        <v>75</v>
      </c>
      <c r="J1346" s="2" t="s">
        <v>97</v>
      </c>
      <c r="K1346" s="2" t="s">
        <v>77</v>
      </c>
      <c r="L1346" s="2" t="s">
        <v>158</v>
      </c>
      <c r="M1346" s="2" t="s">
        <v>159</v>
      </c>
      <c r="N1346" s="2" t="s">
        <v>186</v>
      </c>
      <c r="O1346" s="2" t="s">
        <v>101</v>
      </c>
      <c r="P1346" s="2" t="str">
        <f>"2170606735                    "</f>
        <v xml:space="preserve">2170606735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6.43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45.93</v>
      </c>
      <c r="BM1346" s="2">
        <v>6.43</v>
      </c>
      <c r="BN1346" s="2">
        <v>52.36</v>
      </c>
      <c r="BO1346" s="2">
        <v>52.36</v>
      </c>
      <c r="BQ1346" s="2" t="s">
        <v>187</v>
      </c>
      <c r="BR1346" s="2" t="s">
        <v>103</v>
      </c>
      <c r="BS1346" s="3">
        <v>43081</v>
      </c>
      <c r="BT1346" s="4">
        <v>0.46458333333333335</v>
      </c>
      <c r="BU1346" s="2" t="s">
        <v>1827</v>
      </c>
      <c r="BV1346" s="2" t="s">
        <v>89</v>
      </c>
      <c r="BW1346" s="2" t="s">
        <v>156</v>
      </c>
      <c r="BX1346" s="2" t="s">
        <v>565</v>
      </c>
      <c r="BY1346" s="2">
        <v>1200</v>
      </c>
      <c r="CA1346" s="2" t="s">
        <v>322</v>
      </c>
      <c r="CC1346" s="2" t="s">
        <v>159</v>
      </c>
      <c r="CD1346" s="2">
        <v>159</v>
      </c>
      <c r="CE1346" s="2" t="s">
        <v>120</v>
      </c>
      <c r="CF1346" s="3">
        <v>43082</v>
      </c>
      <c r="CI1346" s="2">
        <v>1</v>
      </c>
      <c r="CJ1346" s="2">
        <v>1</v>
      </c>
      <c r="CK1346" s="2">
        <v>21</v>
      </c>
      <c r="CL1346" s="2" t="s">
        <v>89</v>
      </c>
    </row>
    <row r="1347" spans="1:90">
      <c r="A1347" s="2" t="s">
        <v>71</v>
      </c>
      <c r="B1347" s="2" t="s">
        <v>72</v>
      </c>
      <c r="C1347" s="2" t="s">
        <v>73</v>
      </c>
      <c r="E1347" s="2" t="str">
        <f>"FES1162594847"</f>
        <v>FES1162594847</v>
      </c>
      <c r="F1347" s="3">
        <v>43080</v>
      </c>
      <c r="G1347" s="2">
        <v>201806</v>
      </c>
      <c r="H1347" s="2" t="s">
        <v>74</v>
      </c>
      <c r="I1347" s="2" t="s">
        <v>75</v>
      </c>
      <c r="J1347" s="2" t="s">
        <v>97</v>
      </c>
      <c r="K1347" s="2" t="s">
        <v>77</v>
      </c>
      <c r="L1347" s="2" t="s">
        <v>325</v>
      </c>
      <c r="M1347" s="2" t="s">
        <v>326</v>
      </c>
      <c r="N1347" s="2" t="s">
        <v>1656</v>
      </c>
      <c r="O1347" s="2" t="s">
        <v>101</v>
      </c>
      <c r="P1347" s="2" t="str">
        <f>"2170606663                    "</f>
        <v xml:space="preserve">2170606663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6.43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1</v>
      </c>
      <c r="BJ1347" s="2">
        <v>0.2</v>
      </c>
      <c r="BK1347" s="2">
        <v>1</v>
      </c>
      <c r="BL1347" s="2">
        <v>45.93</v>
      </c>
      <c r="BM1347" s="2">
        <v>6.43</v>
      </c>
      <c r="BN1347" s="2">
        <v>52.36</v>
      </c>
      <c r="BO1347" s="2">
        <v>52.36</v>
      </c>
      <c r="BQ1347" s="2" t="s">
        <v>82</v>
      </c>
      <c r="BR1347" s="2" t="s">
        <v>103</v>
      </c>
      <c r="BS1347" s="3">
        <v>43081</v>
      </c>
      <c r="BT1347" s="4">
        <v>0.43402777777777773</v>
      </c>
      <c r="BU1347" s="2" t="s">
        <v>1657</v>
      </c>
      <c r="BV1347" s="2" t="s">
        <v>85</v>
      </c>
      <c r="BY1347" s="2">
        <v>1200</v>
      </c>
      <c r="CA1347" s="2" t="s">
        <v>1326</v>
      </c>
      <c r="CC1347" s="2" t="s">
        <v>326</v>
      </c>
      <c r="CD1347" s="2">
        <v>1939</v>
      </c>
      <c r="CE1347" s="2" t="s">
        <v>120</v>
      </c>
      <c r="CF1347" s="3">
        <v>43082</v>
      </c>
      <c r="CI1347" s="2">
        <v>1</v>
      </c>
      <c r="CJ1347" s="2">
        <v>1</v>
      </c>
      <c r="CK1347" s="2">
        <v>21</v>
      </c>
      <c r="CL1347" s="2" t="s">
        <v>89</v>
      </c>
    </row>
    <row r="1348" spans="1:90">
      <c r="A1348" s="2" t="s">
        <v>71</v>
      </c>
      <c r="B1348" s="2" t="s">
        <v>72</v>
      </c>
      <c r="C1348" s="2" t="s">
        <v>73</v>
      </c>
      <c r="E1348" s="2" t="str">
        <f>"FES1162594964"</f>
        <v>FES1162594964</v>
      </c>
      <c r="F1348" s="3">
        <v>43080</v>
      </c>
      <c r="G1348" s="2">
        <v>201806</v>
      </c>
      <c r="H1348" s="2" t="s">
        <v>74</v>
      </c>
      <c r="I1348" s="2" t="s">
        <v>75</v>
      </c>
      <c r="J1348" s="2" t="s">
        <v>97</v>
      </c>
      <c r="K1348" s="2" t="s">
        <v>77</v>
      </c>
      <c r="L1348" s="2" t="s">
        <v>106</v>
      </c>
      <c r="M1348" s="2" t="s">
        <v>107</v>
      </c>
      <c r="N1348" s="2" t="s">
        <v>1392</v>
      </c>
      <c r="O1348" s="2" t="s">
        <v>101</v>
      </c>
      <c r="P1348" s="2" t="str">
        <f>"2170606741                    "</f>
        <v xml:space="preserve">2170606741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5.03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35.89</v>
      </c>
      <c r="BM1348" s="2">
        <v>5.0199999999999996</v>
      </c>
      <c r="BN1348" s="2">
        <v>40.909999999999997</v>
      </c>
      <c r="BO1348" s="2">
        <v>40.909999999999997</v>
      </c>
      <c r="BR1348" s="2" t="s">
        <v>103</v>
      </c>
      <c r="BS1348" s="3">
        <v>43081</v>
      </c>
      <c r="BT1348" s="4">
        <v>0.41666666666666669</v>
      </c>
      <c r="BU1348" s="2" t="s">
        <v>1393</v>
      </c>
      <c r="BV1348" s="2" t="s">
        <v>85</v>
      </c>
      <c r="BY1348" s="2">
        <v>1200</v>
      </c>
      <c r="CA1348" s="2" t="s">
        <v>429</v>
      </c>
      <c r="CC1348" s="2" t="s">
        <v>107</v>
      </c>
      <c r="CD1348" s="2">
        <v>2013</v>
      </c>
      <c r="CE1348" s="2" t="s">
        <v>120</v>
      </c>
      <c r="CF1348" s="3">
        <v>43082</v>
      </c>
      <c r="CI1348" s="2">
        <v>1</v>
      </c>
      <c r="CJ1348" s="2">
        <v>1</v>
      </c>
      <c r="CK1348" s="2">
        <v>22</v>
      </c>
      <c r="CL1348" s="2" t="s">
        <v>89</v>
      </c>
    </row>
    <row r="1349" spans="1:90">
      <c r="A1349" s="2" t="s">
        <v>71</v>
      </c>
      <c r="B1349" s="2" t="s">
        <v>72</v>
      </c>
      <c r="C1349" s="2" t="s">
        <v>73</v>
      </c>
      <c r="E1349" s="2" t="str">
        <f>"FES1162594701"</f>
        <v>FES1162594701</v>
      </c>
      <c r="F1349" s="3">
        <v>43080</v>
      </c>
      <c r="G1349" s="2">
        <v>201806</v>
      </c>
      <c r="H1349" s="2" t="s">
        <v>74</v>
      </c>
      <c r="I1349" s="2" t="s">
        <v>75</v>
      </c>
      <c r="J1349" s="2" t="s">
        <v>97</v>
      </c>
      <c r="K1349" s="2" t="s">
        <v>77</v>
      </c>
      <c r="L1349" s="2" t="s">
        <v>325</v>
      </c>
      <c r="M1349" s="2" t="s">
        <v>326</v>
      </c>
      <c r="N1349" s="2" t="s">
        <v>1782</v>
      </c>
      <c r="O1349" s="2" t="s">
        <v>101</v>
      </c>
      <c r="P1349" s="2" t="str">
        <f>"21706065483                   "</f>
        <v xml:space="preserve">21706065483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6.43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45.93</v>
      </c>
      <c r="BM1349" s="2">
        <v>6.43</v>
      </c>
      <c r="BN1349" s="2">
        <v>52.36</v>
      </c>
      <c r="BO1349" s="2">
        <v>52.36</v>
      </c>
      <c r="BQ1349" s="2" t="s">
        <v>1783</v>
      </c>
      <c r="BR1349" s="2" t="s">
        <v>103</v>
      </c>
      <c r="BS1349" s="3">
        <v>43081</v>
      </c>
      <c r="BT1349" s="4">
        <v>0.38125000000000003</v>
      </c>
      <c r="BU1349" s="2" t="s">
        <v>1784</v>
      </c>
      <c r="BV1349" s="2" t="s">
        <v>85</v>
      </c>
      <c r="BY1349" s="2">
        <v>1200</v>
      </c>
      <c r="CA1349" s="2" t="s">
        <v>1010</v>
      </c>
      <c r="CC1349" s="2" t="s">
        <v>326</v>
      </c>
      <c r="CD1349" s="2">
        <v>1934</v>
      </c>
      <c r="CE1349" s="2" t="s">
        <v>120</v>
      </c>
      <c r="CF1349" s="3">
        <v>43082</v>
      </c>
      <c r="CI1349" s="2">
        <v>1</v>
      </c>
      <c r="CJ1349" s="2">
        <v>1</v>
      </c>
      <c r="CK1349" s="2">
        <v>21</v>
      </c>
      <c r="CL1349" s="2" t="s">
        <v>89</v>
      </c>
    </row>
    <row r="1350" spans="1:90">
      <c r="A1350" s="2" t="s">
        <v>71</v>
      </c>
      <c r="B1350" s="2" t="s">
        <v>72</v>
      </c>
      <c r="C1350" s="2" t="s">
        <v>73</v>
      </c>
      <c r="E1350" s="2" t="str">
        <f>"FES1162595053"</f>
        <v>FES1162595053</v>
      </c>
      <c r="F1350" s="3">
        <v>43080</v>
      </c>
      <c r="G1350" s="2">
        <v>201806</v>
      </c>
      <c r="H1350" s="2" t="s">
        <v>74</v>
      </c>
      <c r="I1350" s="2" t="s">
        <v>75</v>
      </c>
      <c r="J1350" s="2" t="s">
        <v>97</v>
      </c>
      <c r="K1350" s="2" t="s">
        <v>77</v>
      </c>
      <c r="L1350" s="2" t="s">
        <v>136</v>
      </c>
      <c r="M1350" s="2" t="s">
        <v>137</v>
      </c>
      <c r="N1350" s="2" t="s">
        <v>1163</v>
      </c>
      <c r="O1350" s="2" t="s">
        <v>101</v>
      </c>
      <c r="P1350" s="2" t="str">
        <f>"2170606979                    "</f>
        <v xml:space="preserve">2170606979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6.43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</v>
      </c>
      <c r="BJ1350" s="2">
        <v>0.2</v>
      </c>
      <c r="BK1350" s="2">
        <v>1</v>
      </c>
      <c r="BL1350" s="2">
        <v>45.93</v>
      </c>
      <c r="BM1350" s="2">
        <v>6.43</v>
      </c>
      <c r="BN1350" s="2">
        <v>52.36</v>
      </c>
      <c r="BO1350" s="2">
        <v>52.36</v>
      </c>
      <c r="BQ1350" s="2" t="s">
        <v>1164</v>
      </c>
      <c r="BR1350" s="2" t="s">
        <v>103</v>
      </c>
      <c r="BS1350" s="3">
        <v>43081</v>
      </c>
      <c r="BT1350" s="4">
        <v>0.3888888888888889</v>
      </c>
      <c r="BU1350" s="2" t="s">
        <v>1828</v>
      </c>
      <c r="BV1350" s="2" t="s">
        <v>85</v>
      </c>
      <c r="BY1350" s="2">
        <v>1200</v>
      </c>
      <c r="CA1350" s="2" t="s">
        <v>180</v>
      </c>
      <c r="CC1350" s="2" t="s">
        <v>137</v>
      </c>
      <c r="CD1350" s="2">
        <v>6014</v>
      </c>
      <c r="CE1350" s="2" t="s">
        <v>120</v>
      </c>
      <c r="CF1350" s="3">
        <v>43083</v>
      </c>
      <c r="CI1350" s="2">
        <v>1</v>
      </c>
      <c r="CJ1350" s="2">
        <v>1</v>
      </c>
      <c r="CK1350" s="2">
        <v>21</v>
      </c>
      <c r="CL1350" s="2" t="s">
        <v>89</v>
      </c>
    </row>
    <row r="1351" spans="1:90">
      <c r="A1351" s="2" t="s">
        <v>71</v>
      </c>
      <c r="B1351" s="2" t="s">
        <v>72</v>
      </c>
      <c r="C1351" s="2" t="s">
        <v>73</v>
      </c>
      <c r="E1351" s="2" t="str">
        <f>"FES1162595108"</f>
        <v>FES1162595108</v>
      </c>
      <c r="F1351" s="3">
        <v>43080</v>
      </c>
      <c r="G1351" s="2">
        <v>201806</v>
      </c>
      <c r="H1351" s="2" t="s">
        <v>74</v>
      </c>
      <c r="I1351" s="2" t="s">
        <v>75</v>
      </c>
      <c r="J1351" s="2" t="s">
        <v>97</v>
      </c>
      <c r="K1351" s="2" t="s">
        <v>77</v>
      </c>
      <c r="L1351" s="2" t="s">
        <v>136</v>
      </c>
      <c r="M1351" s="2" t="s">
        <v>137</v>
      </c>
      <c r="N1351" s="2" t="s">
        <v>333</v>
      </c>
      <c r="O1351" s="2" t="s">
        <v>101</v>
      </c>
      <c r="P1351" s="2" t="str">
        <f>"2170607009                    "</f>
        <v xml:space="preserve">2170607009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6.43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45.93</v>
      </c>
      <c r="BM1351" s="2">
        <v>6.43</v>
      </c>
      <c r="BN1351" s="2">
        <v>52.36</v>
      </c>
      <c r="BO1351" s="2">
        <v>52.36</v>
      </c>
      <c r="BQ1351" s="2" t="s">
        <v>334</v>
      </c>
      <c r="BR1351" s="2" t="s">
        <v>103</v>
      </c>
      <c r="BS1351" s="3">
        <v>43081</v>
      </c>
      <c r="BT1351" s="4">
        <v>0.3125</v>
      </c>
      <c r="BU1351" s="2" t="s">
        <v>1829</v>
      </c>
      <c r="BV1351" s="2" t="s">
        <v>85</v>
      </c>
      <c r="BY1351" s="2">
        <v>1200</v>
      </c>
      <c r="CA1351" s="2" t="s">
        <v>140</v>
      </c>
      <c r="CC1351" s="2" t="s">
        <v>137</v>
      </c>
      <c r="CD1351" s="2">
        <v>6012</v>
      </c>
      <c r="CE1351" s="2" t="s">
        <v>120</v>
      </c>
      <c r="CF1351" s="3">
        <v>43083</v>
      </c>
      <c r="CI1351" s="2">
        <v>1</v>
      </c>
      <c r="CJ1351" s="2">
        <v>1</v>
      </c>
      <c r="CK1351" s="2">
        <v>21</v>
      </c>
      <c r="CL1351" s="2" t="s">
        <v>89</v>
      </c>
    </row>
    <row r="1352" spans="1:90">
      <c r="A1352" s="2" t="s">
        <v>71</v>
      </c>
      <c r="B1352" s="2" t="s">
        <v>72</v>
      </c>
      <c r="C1352" s="2" t="s">
        <v>73</v>
      </c>
      <c r="E1352" s="2" t="str">
        <f>"FES1162594586"</f>
        <v>FES1162594586</v>
      </c>
      <c r="F1352" s="3">
        <v>43080</v>
      </c>
      <c r="G1352" s="2">
        <v>201806</v>
      </c>
      <c r="H1352" s="2" t="s">
        <v>74</v>
      </c>
      <c r="I1352" s="2" t="s">
        <v>75</v>
      </c>
      <c r="J1352" s="2" t="s">
        <v>97</v>
      </c>
      <c r="K1352" s="2" t="s">
        <v>77</v>
      </c>
      <c r="L1352" s="2" t="s">
        <v>547</v>
      </c>
      <c r="M1352" s="2" t="s">
        <v>548</v>
      </c>
      <c r="N1352" s="2" t="s">
        <v>573</v>
      </c>
      <c r="O1352" s="2" t="s">
        <v>101</v>
      </c>
      <c r="P1352" s="2" t="str">
        <f>"2170603679                    "</f>
        <v xml:space="preserve">2170603679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5.03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</v>
      </c>
      <c r="BJ1352" s="2">
        <v>0.2</v>
      </c>
      <c r="BK1352" s="2">
        <v>1</v>
      </c>
      <c r="BL1352" s="2">
        <v>35.89</v>
      </c>
      <c r="BM1352" s="2">
        <v>5.0199999999999996</v>
      </c>
      <c r="BN1352" s="2">
        <v>40.909999999999997</v>
      </c>
      <c r="BO1352" s="2">
        <v>40.909999999999997</v>
      </c>
      <c r="BQ1352" s="2" t="s">
        <v>1793</v>
      </c>
      <c r="BR1352" s="2" t="s">
        <v>103</v>
      </c>
      <c r="BS1352" s="3">
        <v>43082</v>
      </c>
      <c r="BT1352" s="4">
        <v>0.31527777777777777</v>
      </c>
      <c r="BU1352" s="2" t="s">
        <v>1693</v>
      </c>
      <c r="BV1352" s="2" t="s">
        <v>89</v>
      </c>
      <c r="BW1352" s="2" t="s">
        <v>149</v>
      </c>
      <c r="BX1352" s="2" t="s">
        <v>157</v>
      </c>
      <c r="BY1352" s="2">
        <v>1200</v>
      </c>
      <c r="CA1352" s="2" t="s">
        <v>119</v>
      </c>
      <c r="CC1352" s="2" t="s">
        <v>548</v>
      </c>
      <c r="CD1352" s="2">
        <v>1501</v>
      </c>
      <c r="CE1352" s="2" t="s">
        <v>120</v>
      </c>
      <c r="CF1352" s="3">
        <v>43083</v>
      </c>
      <c r="CI1352" s="2">
        <v>1</v>
      </c>
      <c r="CJ1352" s="2">
        <v>2</v>
      </c>
      <c r="CK1352" s="2">
        <v>22</v>
      </c>
      <c r="CL1352" s="2" t="s">
        <v>89</v>
      </c>
    </row>
    <row r="1353" spans="1:90">
      <c r="A1353" s="2" t="s">
        <v>71</v>
      </c>
      <c r="B1353" s="2" t="s">
        <v>72</v>
      </c>
      <c r="C1353" s="2" t="s">
        <v>73</v>
      </c>
      <c r="E1353" s="2" t="str">
        <f>"FES1162594619"</f>
        <v>FES1162594619</v>
      </c>
      <c r="F1353" s="3">
        <v>43080</v>
      </c>
      <c r="G1353" s="2">
        <v>201806</v>
      </c>
      <c r="H1353" s="2" t="s">
        <v>74</v>
      </c>
      <c r="I1353" s="2" t="s">
        <v>75</v>
      </c>
      <c r="J1353" s="2" t="s">
        <v>97</v>
      </c>
      <c r="K1353" s="2" t="s">
        <v>77</v>
      </c>
      <c r="L1353" s="2" t="s">
        <v>106</v>
      </c>
      <c r="M1353" s="2" t="s">
        <v>107</v>
      </c>
      <c r="N1353" s="2" t="s">
        <v>108</v>
      </c>
      <c r="O1353" s="2" t="s">
        <v>101</v>
      </c>
      <c r="P1353" s="2" t="str">
        <f>"2170606455                    "</f>
        <v xml:space="preserve">2170606455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5.03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1.8</v>
      </c>
      <c r="BJ1353" s="2">
        <v>1.2</v>
      </c>
      <c r="BK1353" s="2">
        <v>2</v>
      </c>
      <c r="BL1353" s="2">
        <v>35.89</v>
      </c>
      <c r="BM1353" s="2">
        <v>5.0199999999999996</v>
      </c>
      <c r="BN1353" s="2">
        <v>40.909999999999997</v>
      </c>
      <c r="BO1353" s="2">
        <v>40.909999999999997</v>
      </c>
      <c r="BQ1353" s="2" t="s">
        <v>82</v>
      </c>
      <c r="BR1353" s="2" t="s">
        <v>103</v>
      </c>
      <c r="BS1353" s="3">
        <v>43081</v>
      </c>
      <c r="BT1353" s="4">
        <v>0.40277777777777773</v>
      </c>
      <c r="BU1353" s="2" t="s">
        <v>369</v>
      </c>
      <c r="BV1353" s="2" t="s">
        <v>85</v>
      </c>
      <c r="BY1353" s="2">
        <v>6159.89</v>
      </c>
      <c r="CA1353" s="2" t="s">
        <v>110</v>
      </c>
      <c r="CC1353" s="2" t="s">
        <v>107</v>
      </c>
      <c r="CD1353" s="2">
        <v>2094</v>
      </c>
      <c r="CE1353" s="2" t="s">
        <v>120</v>
      </c>
      <c r="CF1353" s="3">
        <v>43082</v>
      </c>
      <c r="CI1353" s="2">
        <v>1</v>
      </c>
      <c r="CJ1353" s="2">
        <v>1</v>
      </c>
      <c r="CK1353" s="2">
        <v>22</v>
      </c>
      <c r="CL1353" s="2" t="s">
        <v>89</v>
      </c>
    </row>
    <row r="1354" spans="1:90">
      <c r="A1354" s="2" t="s">
        <v>71</v>
      </c>
      <c r="B1354" s="2" t="s">
        <v>72</v>
      </c>
      <c r="C1354" s="2" t="s">
        <v>73</v>
      </c>
      <c r="E1354" s="2" t="str">
        <f>"FES1162594823"</f>
        <v>FES1162594823</v>
      </c>
      <c r="F1354" s="3">
        <v>43080</v>
      </c>
      <c r="G1354" s="2">
        <v>201806</v>
      </c>
      <c r="H1354" s="2" t="s">
        <v>74</v>
      </c>
      <c r="I1354" s="2" t="s">
        <v>75</v>
      </c>
      <c r="J1354" s="2" t="s">
        <v>97</v>
      </c>
      <c r="K1354" s="2" t="s">
        <v>77</v>
      </c>
      <c r="L1354" s="2" t="s">
        <v>106</v>
      </c>
      <c r="M1354" s="2" t="s">
        <v>107</v>
      </c>
      <c r="N1354" s="2" t="s">
        <v>108</v>
      </c>
      <c r="O1354" s="2" t="s">
        <v>101</v>
      </c>
      <c r="P1354" s="2" t="str">
        <f>"2170606716                    "</f>
        <v xml:space="preserve">2170606716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5.03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35.89</v>
      </c>
      <c r="BM1354" s="2">
        <v>5.0199999999999996</v>
      </c>
      <c r="BN1354" s="2">
        <v>40.909999999999997</v>
      </c>
      <c r="BO1354" s="2">
        <v>40.909999999999997</v>
      </c>
      <c r="BQ1354" s="2" t="s">
        <v>82</v>
      </c>
      <c r="BR1354" s="2" t="s">
        <v>103</v>
      </c>
      <c r="BS1354" s="3">
        <v>43081</v>
      </c>
      <c r="BT1354" s="4">
        <v>0.4055555555555555</v>
      </c>
      <c r="BU1354" s="2" t="s">
        <v>369</v>
      </c>
      <c r="BV1354" s="2" t="s">
        <v>85</v>
      </c>
      <c r="BY1354" s="2">
        <v>1200</v>
      </c>
      <c r="CA1354" s="2" t="s">
        <v>110</v>
      </c>
      <c r="CC1354" s="2" t="s">
        <v>107</v>
      </c>
      <c r="CD1354" s="2">
        <v>2094</v>
      </c>
      <c r="CE1354" s="2" t="s">
        <v>120</v>
      </c>
      <c r="CF1354" s="3">
        <v>43082</v>
      </c>
      <c r="CI1354" s="2">
        <v>1</v>
      </c>
      <c r="CJ1354" s="2">
        <v>1</v>
      </c>
      <c r="CK1354" s="2">
        <v>22</v>
      </c>
      <c r="CL1354" s="2" t="s">
        <v>89</v>
      </c>
    </row>
    <row r="1355" spans="1:90">
      <c r="A1355" s="2" t="s">
        <v>71</v>
      </c>
      <c r="B1355" s="2" t="s">
        <v>72</v>
      </c>
      <c r="C1355" s="2" t="s">
        <v>73</v>
      </c>
      <c r="E1355" s="2" t="str">
        <f>"FES1162594719"</f>
        <v>FES1162594719</v>
      </c>
      <c r="F1355" s="3">
        <v>43080</v>
      </c>
      <c r="G1355" s="2">
        <v>201806</v>
      </c>
      <c r="H1355" s="2" t="s">
        <v>74</v>
      </c>
      <c r="I1355" s="2" t="s">
        <v>75</v>
      </c>
      <c r="J1355" s="2" t="s">
        <v>97</v>
      </c>
      <c r="K1355" s="2" t="s">
        <v>77</v>
      </c>
      <c r="L1355" s="2" t="s">
        <v>106</v>
      </c>
      <c r="M1355" s="2" t="s">
        <v>107</v>
      </c>
      <c r="N1355" s="2" t="s">
        <v>108</v>
      </c>
      <c r="O1355" s="2" t="s">
        <v>101</v>
      </c>
      <c r="P1355" s="2" t="str">
        <f>"2170606603                    "</f>
        <v xml:space="preserve">2170606603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5.03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35.89</v>
      </c>
      <c r="BM1355" s="2">
        <v>5.0199999999999996</v>
      </c>
      <c r="BN1355" s="2">
        <v>40.909999999999997</v>
      </c>
      <c r="BO1355" s="2">
        <v>40.909999999999997</v>
      </c>
      <c r="BQ1355" s="2" t="s">
        <v>82</v>
      </c>
      <c r="BR1355" s="2" t="s">
        <v>103</v>
      </c>
      <c r="BS1355" s="3">
        <v>43081</v>
      </c>
      <c r="BT1355" s="4">
        <v>0.40416666666666662</v>
      </c>
      <c r="BU1355" s="2" t="s">
        <v>369</v>
      </c>
      <c r="BV1355" s="2" t="s">
        <v>85</v>
      </c>
      <c r="BY1355" s="2">
        <v>1200</v>
      </c>
      <c r="CA1355" s="2" t="s">
        <v>110</v>
      </c>
      <c r="CC1355" s="2" t="s">
        <v>107</v>
      </c>
      <c r="CD1355" s="2">
        <v>2094</v>
      </c>
      <c r="CE1355" s="2" t="s">
        <v>120</v>
      </c>
      <c r="CF1355" s="3">
        <v>43082</v>
      </c>
      <c r="CI1355" s="2">
        <v>1</v>
      </c>
      <c r="CJ1355" s="2">
        <v>1</v>
      </c>
      <c r="CK1355" s="2">
        <v>22</v>
      </c>
      <c r="CL1355" s="2" t="s">
        <v>89</v>
      </c>
    </row>
    <row r="1356" spans="1:90">
      <c r="A1356" s="2" t="s">
        <v>71</v>
      </c>
      <c r="B1356" s="2" t="s">
        <v>72</v>
      </c>
      <c r="C1356" s="2" t="s">
        <v>73</v>
      </c>
      <c r="E1356" s="2" t="str">
        <f>"FES1162594831"</f>
        <v>FES1162594831</v>
      </c>
      <c r="F1356" s="3">
        <v>43080</v>
      </c>
      <c r="G1356" s="2">
        <v>201806</v>
      </c>
      <c r="H1356" s="2" t="s">
        <v>74</v>
      </c>
      <c r="I1356" s="2" t="s">
        <v>75</v>
      </c>
      <c r="J1356" s="2" t="s">
        <v>97</v>
      </c>
      <c r="K1356" s="2" t="s">
        <v>77</v>
      </c>
      <c r="L1356" s="2" t="s">
        <v>74</v>
      </c>
      <c r="M1356" s="2" t="s">
        <v>75</v>
      </c>
      <c r="N1356" s="2" t="s">
        <v>204</v>
      </c>
      <c r="O1356" s="2" t="s">
        <v>101</v>
      </c>
      <c r="P1356" s="2" t="str">
        <f>"2170606720                    "</f>
        <v xml:space="preserve">2170606720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5.03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1</v>
      </c>
      <c r="BJ1356" s="2">
        <v>0.2</v>
      </c>
      <c r="BK1356" s="2">
        <v>1</v>
      </c>
      <c r="BL1356" s="2">
        <v>35.89</v>
      </c>
      <c r="BM1356" s="2">
        <v>5.0199999999999996</v>
      </c>
      <c r="BN1356" s="2">
        <v>40.909999999999997</v>
      </c>
      <c r="BO1356" s="2">
        <v>40.909999999999997</v>
      </c>
      <c r="BQ1356" s="2" t="s">
        <v>102</v>
      </c>
      <c r="BR1356" s="2" t="s">
        <v>103</v>
      </c>
      <c r="BS1356" s="3">
        <v>43081</v>
      </c>
      <c r="BT1356" s="4">
        <v>0.32083333333333336</v>
      </c>
      <c r="BU1356" s="2" t="s">
        <v>205</v>
      </c>
      <c r="BV1356" s="2" t="s">
        <v>85</v>
      </c>
      <c r="BY1356" s="2">
        <v>1200</v>
      </c>
      <c r="CA1356" s="2" t="s">
        <v>206</v>
      </c>
      <c r="CC1356" s="2" t="s">
        <v>75</v>
      </c>
      <c r="CD1356" s="2">
        <v>1645</v>
      </c>
      <c r="CE1356" s="2" t="s">
        <v>120</v>
      </c>
      <c r="CF1356" s="3">
        <v>43082</v>
      </c>
      <c r="CI1356" s="2">
        <v>1</v>
      </c>
      <c r="CJ1356" s="2">
        <v>1</v>
      </c>
      <c r="CK1356" s="2">
        <v>22</v>
      </c>
      <c r="CL1356" s="2" t="s">
        <v>89</v>
      </c>
    </row>
    <row r="1357" spans="1:90">
      <c r="A1357" s="2" t="s">
        <v>71</v>
      </c>
      <c r="B1357" s="2" t="s">
        <v>72</v>
      </c>
      <c r="C1357" s="2" t="s">
        <v>73</v>
      </c>
      <c r="E1357" s="2" t="str">
        <f>"FES1162594673"</f>
        <v>FES1162594673</v>
      </c>
      <c r="F1357" s="3">
        <v>43080</v>
      </c>
      <c r="G1357" s="2">
        <v>201806</v>
      </c>
      <c r="H1357" s="2" t="s">
        <v>74</v>
      </c>
      <c r="I1357" s="2" t="s">
        <v>75</v>
      </c>
      <c r="J1357" s="2" t="s">
        <v>97</v>
      </c>
      <c r="K1357" s="2" t="s">
        <v>77</v>
      </c>
      <c r="L1357" s="2" t="s">
        <v>277</v>
      </c>
      <c r="M1357" s="2" t="s">
        <v>278</v>
      </c>
      <c r="N1357" s="2" t="s">
        <v>1092</v>
      </c>
      <c r="O1357" s="2" t="s">
        <v>101</v>
      </c>
      <c r="P1357" s="2" t="str">
        <f>"2170606354                    "</f>
        <v xml:space="preserve">2170606354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5.03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1</v>
      </c>
      <c r="BJ1357" s="2">
        <v>0.2</v>
      </c>
      <c r="BK1357" s="2">
        <v>1</v>
      </c>
      <c r="BL1357" s="2">
        <v>35.89</v>
      </c>
      <c r="BM1357" s="2">
        <v>5.0199999999999996</v>
      </c>
      <c r="BN1357" s="2">
        <v>40.909999999999997</v>
      </c>
      <c r="BO1357" s="2">
        <v>40.909999999999997</v>
      </c>
      <c r="BR1357" s="2" t="s">
        <v>103</v>
      </c>
      <c r="BS1357" s="3">
        <v>43081</v>
      </c>
      <c r="BT1357" s="4">
        <v>0.4375</v>
      </c>
      <c r="BU1357" s="2" t="s">
        <v>106</v>
      </c>
      <c r="BV1357" s="2" t="s">
        <v>85</v>
      </c>
      <c r="BY1357" s="2">
        <v>1200</v>
      </c>
      <c r="CA1357" s="2" t="s">
        <v>320</v>
      </c>
      <c r="CC1357" s="2" t="s">
        <v>278</v>
      </c>
      <c r="CD1357" s="2">
        <v>2158</v>
      </c>
      <c r="CE1357" s="2" t="s">
        <v>120</v>
      </c>
      <c r="CF1357" s="3">
        <v>43083</v>
      </c>
      <c r="CI1357" s="2">
        <v>1</v>
      </c>
      <c r="CJ1357" s="2">
        <v>1</v>
      </c>
      <c r="CK1357" s="2">
        <v>22</v>
      </c>
      <c r="CL1357" s="2" t="s">
        <v>89</v>
      </c>
    </row>
    <row r="1358" spans="1:90">
      <c r="A1358" s="2" t="s">
        <v>71</v>
      </c>
      <c r="B1358" s="2" t="s">
        <v>72</v>
      </c>
      <c r="C1358" s="2" t="s">
        <v>73</v>
      </c>
      <c r="E1358" s="2" t="str">
        <f>"FES1162594971"</f>
        <v>FES1162594971</v>
      </c>
      <c r="F1358" s="3">
        <v>43080</v>
      </c>
      <c r="G1358" s="2">
        <v>201806</v>
      </c>
      <c r="H1358" s="2" t="s">
        <v>74</v>
      </c>
      <c r="I1358" s="2" t="s">
        <v>75</v>
      </c>
      <c r="J1358" s="2" t="s">
        <v>97</v>
      </c>
      <c r="K1358" s="2" t="s">
        <v>77</v>
      </c>
      <c r="L1358" s="2" t="s">
        <v>253</v>
      </c>
      <c r="M1358" s="2" t="s">
        <v>254</v>
      </c>
      <c r="N1358" s="2" t="s">
        <v>773</v>
      </c>
      <c r="O1358" s="2" t="s">
        <v>101</v>
      </c>
      <c r="P1358" s="2" t="str">
        <f>"2170606857                    "</f>
        <v xml:space="preserve">2170606857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6.43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1</v>
      </c>
      <c r="BJ1358" s="2">
        <v>0.2</v>
      </c>
      <c r="BK1358" s="2">
        <v>1</v>
      </c>
      <c r="BL1358" s="2">
        <v>45.93</v>
      </c>
      <c r="BM1358" s="2">
        <v>6.43</v>
      </c>
      <c r="BN1358" s="2">
        <v>52.36</v>
      </c>
      <c r="BO1358" s="2">
        <v>52.36</v>
      </c>
      <c r="BQ1358" s="2" t="s">
        <v>82</v>
      </c>
      <c r="BR1358" s="2" t="s">
        <v>103</v>
      </c>
      <c r="BS1358" s="3">
        <v>43081</v>
      </c>
      <c r="BT1358" s="4">
        <v>0.41250000000000003</v>
      </c>
      <c r="BU1358" s="2" t="s">
        <v>1830</v>
      </c>
      <c r="BV1358" s="2" t="s">
        <v>85</v>
      </c>
      <c r="BY1358" s="2">
        <v>1200</v>
      </c>
      <c r="CA1358" s="2" t="s">
        <v>257</v>
      </c>
      <c r="CC1358" s="2" t="s">
        <v>254</v>
      </c>
      <c r="CD1358" s="2">
        <v>1911</v>
      </c>
      <c r="CE1358" s="2" t="s">
        <v>120</v>
      </c>
      <c r="CF1358" s="3">
        <v>43082</v>
      </c>
      <c r="CI1358" s="2">
        <v>1</v>
      </c>
      <c r="CJ1358" s="2">
        <v>1</v>
      </c>
      <c r="CK1358" s="2">
        <v>21</v>
      </c>
      <c r="CL1358" s="2" t="s">
        <v>89</v>
      </c>
    </row>
    <row r="1359" spans="1:90">
      <c r="A1359" s="2" t="s">
        <v>71</v>
      </c>
      <c r="B1359" s="2" t="s">
        <v>72</v>
      </c>
      <c r="C1359" s="2" t="s">
        <v>73</v>
      </c>
      <c r="E1359" s="2" t="str">
        <f>"FES1162594712"</f>
        <v>FES1162594712</v>
      </c>
      <c r="F1359" s="3">
        <v>43080</v>
      </c>
      <c r="G1359" s="2">
        <v>201806</v>
      </c>
      <c r="H1359" s="2" t="s">
        <v>74</v>
      </c>
      <c r="I1359" s="2" t="s">
        <v>75</v>
      </c>
      <c r="J1359" s="2" t="s">
        <v>97</v>
      </c>
      <c r="K1359" s="2" t="s">
        <v>77</v>
      </c>
      <c r="L1359" s="2" t="s">
        <v>325</v>
      </c>
      <c r="M1359" s="2" t="s">
        <v>326</v>
      </c>
      <c r="N1359" s="2" t="s">
        <v>1831</v>
      </c>
      <c r="O1359" s="2" t="s">
        <v>101</v>
      </c>
      <c r="P1359" s="2" t="str">
        <f>"2170606595                    "</f>
        <v xml:space="preserve">2170606595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6.43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45.93</v>
      </c>
      <c r="BM1359" s="2">
        <v>6.43</v>
      </c>
      <c r="BN1359" s="2">
        <v>52.36</v>
      </c>
      <c r="BO1359" s="2">
        <v>52.36</v>
      </c>
      <c r="BQ1359" s="2" t="s">
        <v>364</v>
      </c>
      <c r="BR1359" s="2" t="s">
        <v>103</v>
      </c>
      <c r="BS1359" s="3">
        <v>43081</v>
      </c>
      <c r="BT1359" s="4">
        <v>0.625</v>
      </c>
      <c r="BU1359" s="2" t="s">
        <v>1832</v>
      </c>
      <c r="BV1359" s="2" t="s">
        <v>89</v>
      </c>
      <c r="BY1359" s="2">
        <v>1200</v>
      </c>
      <c r="CC1359" s="2" t="s">
        <v>326</v>
      </c>
      <c r="CD1359" s="2">
        <v>1961</v>
      </c>
      <c r="CE1359" s="2" t="s">
        <v>120</v>
      </c>
      <c r="CF1359" s="3">
        <v>43082</v>
      </c>
      <c r="CI1359" s="2">
        <v>1</v>
      </c>
      <c r="CJ1359" s="2">
        <v>1</v>
      </c>
      <c r="CK1359" s="2">
        <v>21</v>
      </c>
      <c r="CL1359" s="2" t="s">
        <v>89</v>
      </c>
    </row>
    <row r="1360" spans="1:90">
      <c r="A1360" s="2" t="s">
        <v>71</v>
      </c>
      <c r="B1360" s="2" t="s">
        <v>72</v>
      </c>
      <c r="C1360" s="2" t="s">
        <v>73</v>
      </c>
      <c r="E1360" s="2" t="str">
        <f>"FES1162594912"</f>
        <v>FES1162594912</v>
      </c>
      <c r="F1360" s="3">
        <v>43080</v>
      </c>
      <c r="G1360" s="2">
        <v>201806</v>
      </c>
      <c r="H1360" s="2" t="s">
        <v>74</v>
      </c>
      <c r="I1360" s="2" t="s">
        <v>75</v>
      </c>
      <c r="J1360" s="2" t="s">
        <v>97</v>
      </c>
      <c r="K1360" s="2" t="s">
        <v>77</v>
      </c>
      <c r="L1360" s="2" t="s">
        <v>158</v>
      </c>
      <c r="M1360" s="2" t="s">
        <v>159</v>
      </c>
      <c r="N1360" s="2" t="s">
        <v>543</v>
      </c>
      <c r="O1360" s="2" t="s">
        <v>101</v>
      </c>
      <c r="P1360" s="2" t="str">
        <f>"2170606813                    "</f>
        <v xml:space="preserve">2170606813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6.43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45.93</v>
      </c>
      <c r="BM1360" s="2">
        <v>6.43</v>
      </c>
      <c r="BN1360" s="2">
        <v>52.36</v>
      </c>
      <c r="BO1360" s="2">
        <v>52.36</v>
      </c>
      <c r="BQ1360" s="2" t="s">
        <v>82</v>
      </c>
      <c r="BR1360" s="2" t="s">
        <v>103</v>
      </c>
      <c r="BS1360" s="3">
        <v>43081</v>
      </c>
      <c r="BT1360" s="4">
        <v>0.43611111111111112</v>
      </c>
      <c r="BU1360" s="2" t="s">
        <v>1833</v>
      </c>
      <c r="BV1360" s="2" t="s">
        <v>85</v>
      </c>
      <c r="BY1360" s="2">
        <v>1200</v>
      </c>
      <c r="CA1360" s="2" t="s">
        <v>1177</v>
      </c>
      <c r="CC1360" s="2" t="s">
        <v>159</v>
      </c>
      <c r="CD1360" s="2">
        <v>1</v>
      </c>
      <c r="CE1360" s="2" t="s">
        <v>120</v>
      </c>
      <c r="CF1360" s="3">
        <v>43082</v>
      </c>
      <c r="CI1360" s="2">
        <v>1</v>
      </c>
      <c r="CJ1360" s="2">
        <v>1</v>
      </c>
      <c r="CK1360" s="2">
        <v>21</v>
      </c>
      <c r="CL1360" s="2" t="s">
        <v>89</v>
      </c>
    </row>
    <row r="1361" spans="1:90">
      <c r="A1361" s="2" t="s">
        <v>71</v>
      </c>
      <c r="B1361" s="2" t="s">
        <v>72</v>
      </c>
      <c r="C1361" s="2" t="s">
        <v>73</v>
      </c>
      <c r="E1361" s="2" t="str">
        <f>"FES1162594583"</f>
        <v>FES1162594583</v>
      </c>
      <c r="F1361" s="3">
        <v>43080</v>
      </c>
      <c r="G1361" s="2">
        <v>201806</v>
      </c>
      <c r="H1361" s="2" t="s">
        <v>74</v>
      </c>
      <c r="I1361" s="2" t="s">
        <v>75</v>
      </c>
      <c r="J1361" s="2" t="s">
        <v>97</v>
      </c>
      <c r="K1361" s="2" t="s">
        <v>77</v>
      </c>
      <c r="L1361" s="2" t="s">
        <v>547</v>
      </c>
      <c r="M1361" s="2" t="s">
        <v>548</v>
      </c>
      <c r="N1361" s="2" t="s">
        <v>573</v>
      </c>
      <c r="O1361" s="2" t="s">
        <v>101</v>
      </c>
      <c r="P1361" s="2" t="str">
        <f>"2170603673                    "</f>
        <v xml:space="preserve">2170603673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5.03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35.89</v>
      </c>
      <c r="BM1361" s="2">
        <v>5.0199999999999996</v>
      </c>
      <c r="BN1361" s="2">
        <v>40.909999999999997</v>
      </c>
      <c r="BO1361" s="2">
        <v>40.909999999999997</v>
      </c>
      <c r="BQ1361" s="2" t="s">
        <v>1793</v>
      </c>
      <c r="BR1361" s="2" t="s">
        <v>103</v>
      </c>
      <c r="BS1361" s="3">
        <v>43082</v>
      </c>
      <c r="BT1361" s="4">
        <v>0.31597222222222221</v>
      </c>
      <c r="BU1361" s="2" t="s">
        <v>1693</v>
      </c>
      <c r="BV1361" s="2" t="s">
        <v>89</v>
      </c>
      <c r="BW1361" s="2" t="s">
        <v>149</v>
      </c>
      <c r="BX1361" s="2" t="s">
        <v>157</v>
      </c>
      <c r="BY1361" s="2">
        <v>1200</v>
      </c>
      <c r="CA1361" s="2" t="s">
        <v>119</v>
      </c>
      <c r="CC1361" s="2" t="s">
        <v>548</v>
      </c>
      <c r="CD1361" s="2">
        <v>1501</v>
      </c>
      <c r="CE1361" s="2" t="s">
        <v>120</v>
      </c>
      <c r="CF1361" s="3">
        <v>43083</v>
      </c>
      <c r="CI1361" s="2">
        <v>1</v>
      </c>
      <c r="CJ1361" s="2">
        <v>2</v>
      </c>
      <c r="CK1361" s="2">
        <v>22</v>
      </c>
      <c r="CL1361" s="2" t="s">
        <v>89</v>
      </c>
    </row>
    <row r="1362" spans="1:90">
      <c r="A1362" s="2" t="s">
        <v>71</v>
      </c>
      <c r="B1362" s="2" t="s">
        <v>72</v>
      </c>
      <c r="C1362" s="2" t="s">
        <v>73</v>
      </c>
      <c r="E1362" s="2" t="str">
        <f>"FES1162594765"</f>
        <v>FES1162594765</v>
      </c>
      <c r="F1362" s="3">
        <v>43080</v>
      </c>
      <c r="G1362" s="2">
        <v>201806</v>
      </c>
      <c r="H1362" s="2" t="s">
        <v>74</v>
      </c>
      <c r="I1362" s="2" t="s">
        <v>75</v>
      </c>
      <c r="J1362" s="2" t="s">
        <v>97</v>
      </c>
      <c r="K1362" s="2" t="s">
        <v>77</v>
      </c>
      <c r="L1362" s="2" t="s">
        <v>189</v>
      </c>
      <c r="M1362" s="2" t="s">
        <v>190</v>
      </c>
      <c r="N1362" s="2" t="s">
        <v>1834</v>
      </c>
      <c r="O1362" s="2" t="s">
        <v>101</v>
      </c>
      <c r="P1362" s="2" t="str">
        <f>"2170606665                    "</f>
        <v xml:space="preserve">2170606665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6.43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1</v>
      </c>
      <c r="BJ1362" s="2">
        <v>0.2</v>
      </c>
      <c r="BK1362" s="2">
        <v>1</v>
      </c>
      <c r="BL1362" s="2">
        <v>45.93</v>
      </c>
      <c r="BM1362" s="2">
        <v>6.43</v>
      </c>
      <c r="BN1362" s="2">
        <v>52.36</v>
      </c>
      <c r="BO1362" s="2">
        <v>52.36</v>
      </c>
      <c r="BQ1362" s="2" t="s">
        <v>102</v>
      </c>
      <c r="BR1362" s="2" t="s">
        <v>103</v>
      </c>
      <c r="BS1362" s="3">
        <v>43081</v>
      </c>
      <c r="BT1362" s="4">
        <v>0.49374999999999997</v>
      </c>
      <c r="BU1362" s="2" t="s">
        <v>1835</v>
      </c>
      <c r="BV1362" s="2" t="s">
        <v>89</v>
      </c>
      <c r="BW1362" s="2" t="s">
        <v>156</v>
      </c>
      <c r="BX1362" s="2" t="s">
        <v>668</v>
      </c>
      <c r="BY1362" s="2">
        <v>1200</v>
      </c>
      <c r="CC1362" s="2" t="s">
        <v>190</v>
      </c>
      <c r="CD1362" s="2">
        <v>157</v>
      </c>
      <c r="CE1362" s="2" t="s">
        <v>120</v>
      </c>
      <c r="CF1362" s="3">
        <v>43083</v>
      </c>
      <c r="CI1362" s="2">
        <v>1</v>
      </c>
      <c r="CJ1362" s="2">
        <v>1</v>
      </c>
      <c r="CK1362" s="2">
        <v>21</v>
      </c>
      <c r="CL1362" s="2" t="s">
        <v>89</v>
      </c>
    </row>
    <row r="1363" spans="1:90">
      <c r="A1363" s="2" t="s">
        <v>71</v>
      </c>
      <c r="B1363" s="2" t="s">
        <v>72</v>
      </c>
      <c r="C1363" s="2" t="s">
        <v>73</v>
      </c>
      <c r="E1363" s="2" t="str">
        <f>"FES1162594666"</f>
        <v>FES1162594666</v>
      </c>
      <c r="F1363" s="3">
        <v>43080</v>
      </c>
      <c r="G1363" s="2">
        <v>201806</v>
      </c>
      <c r="H1363" s="2" t="s">
        <v>74</v>
      </c>
      <c r="I1363" s="2" t="s">
        <v>75</v>
      </c>
      <c r="J1363" s="2" t="s">
        <v>97</v>
      </c>
      <c r="K1363" s="2" t="s">
        <v>77</v>
      </c>
      <c r="L1363" s="2" t="s">
        <v>189</v>
      </c>
      <c r="M1363" s="2" t="s">
        <v>190</v>
      </c>
      <c r="N1363" s="2" t="s">
        <v>1836</v>
      </c>
      <c r="O1363" s="2" t="s">
        <v>101</v>
      </c>
      <c r="P1363" s="2" t="str">
        <f>"2170606516                    "</f>
        <v xml:space="preserve">2170606516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6.43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</v>
      </c>
      <c r="BJ1363" s="2">
        <v>0.2</v>
      </c>
      <c r="BK1363" s="2">
        <v>1</v>
      </c>
      <c r="BL1363" s="2">
        <v>45.93</v>
      </c>
      <c r="BM1363" s="2">
        <v>6.43</v>
      </c>
      <c r="BN1363" s="2">
        <v>52.36</v>
      </c>
      <c r="BO1363" s="2">
        <v>52.36</v>
      </c>
      <c r="BR1363" s="2" t="s">
        <v>103</v>
      </c>
      <c r="BS1363" s="3">
        <v>43081</v>
      </c>
      <c r="BT1363" s="4">
        <v>0.46180555555555558</v>
      </c>
      <c r="BU1363" s="2" t="s">
        <v>1837</v>
      </c>
      <c r="BV1363" s="2" t="s">
        <v>89</v>
      </c>
      <c r="BW1363" s="2" t="s">
        <v>156</v>
      </c>
      <c r="BX1363" s="2" t="s">
        <v>668</v>
      </c>
      <c r="BY1363" s="2">
        <v>1200</v>
      </c>
      <c r="CC1363" s="2" t="s">
        <v>190</v>
      </c>
      <c r="CD1363" s="2">
        <v>157</v>
      </c>
      <c r="CE1363" s="2" t="s">
        <v>120</v>
      </c>
      <c r="CF1363" s="3">
        <v>43083</v>
      </c>
      <c r="CI1363" s="2">
        <v>1</v>
      </c>
      <c r="CJ1363" s="2">
        <v>1</v>
      </c>
      <c r="CK1363" s="2">
        <v>21</v>
      </c>
      <c r="CL1363" s="2" t="s">
        <v>89</v>
      </c>
    </row>
    <row r="1364" spans="1:90">
      <c r="A1364" s="2" t="s">
        <v>71</v>
      </c>
      <c r="B1364" s="2" t="s">
        <v>72</v>
      </c>
      <c r="C1364" s="2" t="s">
        <v>73</v>
      </c>
      <c r="E1364" s="2" t="str">
        <f>"FES1162595089"</f>
        <v>FES1162595089</v>
      </c>
      <c r="F1364" s="3">
        <v>43080</v>
      </c>
      <c r="G1364" s="2">
        <v>201806</v>
      </c>
      <c r="H1364" s="2" t="s">
        <v>74</v>
      </c>
      <c r="I1364" s="2" t="s">
        <v>75</v>
      </c>
      <c r="J1364" s="2" t="s">
        <v>97</v>
      </c>
      <c r="K1364" s="2" t="s">
        <v>77</v>
      </c>
      <c r="L1364" s="2" t="s">
        <v>158</v>
      </c>
      <c r="M1364" s="2" t="s">
        <v>159</v>
      </c>
      <c r="N1364" s="2" t="s">
        <v>588</v>
      </c>
      <c r="O1364" s="2" t="s">
        <v>101</v>
      </c>
      <c r="P1364" s="2" t="str">
        <f>"2170606364                    "</f>
        <v xml:space="preserve">2170606364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6.43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</v>
      </c>
      <c r="BJ1364" s="2">
        <v>0.2</v>
      </c>
      <c r="BK1364" s="2">
        <v>1</v>
      </c>
      <c r="BL1364" s="2">
        <v>45.93</v>
      </c>
      <c r="BM1364" s="2">
        <v>6.43</v>
      </c>
      <c r="BN1364" s="2">
        <v>52.36</v>
      </c>
      <c r="BO1364" s="2">
        <v>52.36</v>
      </c>
      <c r="BQ1364" s="2" t="s">
        <v>102</v>
      </c>
      <c r="BR1364" s="2" t="s">
        <v>103</v>
      </c>
      <c r="BS1364" s="3">
        <v>43081</v>
      </c>
      <c r="BT1364" s="4">
        <v>0.4284722222222222</v>
      </c>
      <c r="BU1364" s="2" t="s">
        <v>1838</v>
      </c>
      <c r="BV1364" s="2" t="s">
        <v>85</v>
      </c>
      <c r="BY1364" s="2">
        <v>1200</v>
      </c>
      <c r="CA1364" s="2" t="s">
        <v>590</v>
      </c>
      <c r="CC1364" s="2" t="s">
        <v>159</v>
      </c>
      <c r="CD1364" s="2">
        <v>40</v>
      </c>
      <c r="CE1364" s="2" t="s">
        <v>120</v>
      </c>
      <c r="CF1364" s="3">
        <v>43082</v>
      </c>
      <c r="CI1364" s="2">
        <v>1</v>
      </c>
      <c r="CJ1364" s="2">
        <v>1</v>
      </c>
      <c r="CK1364" s="2">
        <v>21</v>
      </c>
      <c r="CL1364" s="2" t="s">
        <v>89</v>
      </c>
    </row>
    <row r="1365" spans="1:90">
      <c r="A1365" s="2" t="s">
        <v>71</v>
      </c>
      <c r="B1365" s="2" t="s">
        <v>72</v>
      </c>
      <c r="C1365" s="2" t="s">
        <v>73</v>
      </c>
      <c r="E1365" s="2" t="str">
        <f>"FES1162594640"</f>
        <v>FES1162594640</v>
      </c>
      <c r="F1365" s="3">
        <v>43080</v>
      </c>
      <c r="G1365" s="2">
        <v>201806</v>
      </c>
      <c r="H1365" s="2" t="s">
        <v>74</v>
      </c>
      <c r="I1365" s="2" t="s">
        <v>75</v>
      </c>
      <c r="J1365" s="2" t="s">
        <v>97</v>
      </c>
      <c r="K1365" s="2" t="s">
        <v>77</v>
      </c>
      <c r="L1365" s="2" t="s">
        <v>173</v>
      </c>
      <c r="M1365" s="2" t="s">
        <v>174</v>
      </c>
      <c r="N1365" s="2" t="s">
        <v>323</v>
      </c>
      <c r="O1365" s="2" t="s">
        <v>101</v>
      </c>
      <c r="P1365" s="2" t="str">
        <f>"2170606483                    "</f>
        <v xml:space="preserve">2170606483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6.43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0.2</v>
      </c>
      <c r="BK1365" s="2">
        <v>1</v>
      </c>
      <c r="BL1365" s="2">
        <v>45.93</v>
      </c>
      <c r="BM1365" s="2">
        <v>6.43</v>
      </c>
      <c r="BN1365" s="2">
        <v>52.36</v>
      </c>
      <c r="BO1365" s="2">
        <v>52.36</v>
      </c>
      <c r="BQ1365" s="2" t="s">
        <v>82</v>
      </c>
      <c r="BR1365" s="2" t="s">
        <v>103</v>
      </c>
      <c r="BS1365" s="3">
        <v>43081</v>
      </c>
      <c r="BT1365" s="4">
        <v>0.41666666666666669</v>
      </c>
      <c r="BU1365" s="2" t="s">
        <v>324</v>
      </c>
      <c r="BV1365" s="2" t="s">
        <v>85</v>
      </c>
      <c r="BY1365" s="2">
        <v>1200</v>
      </c>
      <c r="CA1365" s="2" t="s">
        <v>177</v>
      </c>
      <c r="CC1365" s="2" t="s">
        <v>174</v>
      </c>
      <c r="CD1365" s="2">
        <v>7405</v>
      </c>
      <c r="CE1365" s="2" t="s">
        <v>120</v>
      </c>
      <c r="CF1365" s="3">
        <v>43082</v>
      </c>
      <c r="CI1365" s="2">
        <v>1</v>
      </c>
      <c r="CJ1365" s="2">
        <v>1</v>
      </c>
      <c r="CK1365" s="2">
        <v>21</v>
      </c>
      <c r="CL1365" s="2" t="s">
        <v>89</v>
      </c>
    </row>
    <row r="1366" spans="1:90">
      <c r="A1366" s="2" t="s">
        <v>71</v>
      </c>
      <c r="B1366" s="2" t="s">
        <v>72</v>
      </c>
      <c r="C1366" s="2" t="s">
        <v>73</v>
      </c>
      <c r="E1366" s="2" t="str">
        <f>"FES1162594628"</f>
        <v>FES1162594628</v>
      </c>
      <c r="F1366" s="3">
        <v>43080</v>
      </c>
      <c r="G1366" s="2">
        <v>201806</v>
      </c>
      <c r="H1366" s="2" t="s">
        <v>74</v>
      </c>
      <c r="I1366" s="2" t="s">
        <v>75</v>
      </c>
      <c r="J1366" s="2" t="s">
        <v>97</v>
      </c>
      <c r="K1366" s="2" t="s">
        <v>77</v>
      </c>
      <c r="L1366" s="2" t="s">
        <v>158</v>
      </c>
      <c r="M1366" s="2" t="s">
        <v>159</v>
      </c>
      <c r="N1366" s="2" t="s">
        <v>1148</v>
      </c>
      <c r="O1366" s="2" t="s">
        <v>101</v>
      </c>
      <c r="P1366" s="2" t="str">
        <f>"2170606468                    "</f>
        <v xml:space="preserve">2170606468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6.43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</v>
      </c>
      <c r="BJ1366" s="2">
        <v>0.2</v>
      </c>
      <c r="BK1366" s="2">
        <v>1</v>
      </c>
      <c r="BL1366" s="2">
        <v>45.93</v>
      </c>
      <c r="BM1366" s="2">
        <v>6.43</v>
      </c>
      <c r="BN1366" s="2">
        <v>52.36</v>
      </c>
      <c r="BO1366" s="2">
        <v>52.36</v>
      </c>
      <c r="BQ1366" s="2" t="s">
        <v>102</v>
      </c>
      <c r="BR1366" s="2" t="s">
        <v>103</v>
      </c>
      <c r="BS1366" s="3">
        <v>43081</v>
      </c>
      <c r="BT1366" s="4">
        <v>0.41666666666666669</v>
      </c>
      <c r="BU1366" s="2" t="s">
        <v>1750</v>
      </c>
      <c r="BV1366" s="2" t="s">
        <v>85</v>
      </c>
      <c r="BY1366" s="2">
        <v>1200</v>
      </c>
      <c r="CA1366" s="2" t="s">
        <v>362</v>
      </c>
      <c r="CC1366" s="2" t="s">
        <v>159</v>
      </c>
      <c r="CD1366" s="2">
        <v>200</v>
      </c>
      <c r="CE1366" s="2" t="s">
        <v>120</v>
      </c>
      <c r="CF1366" s="3">
        <v>43083</v>
      </c>
      <c r="CI1366" s="2">
        <v>1</v>
      </c>
      <c r="CJ1366" s="2">
        <v>1</v>
      </c>
      <c r="CK1366" s="2">
        <v>21</v>
      </c>
      <c r="CL1366" s="2" t="s">
        <v>89</v>
      </c>
    </row>
    <row r="1367" spans="1:90">
      <c r="A1367" s="2" t="s">
        <v>71</v>
      </c>
      <c r="B1367" s="2" t="s">
        <v>72</v>
      </c>
      <c r="C1367" s="2" t="s">
        <v>73</v>
      </c>
      <c r="E1367" s="2" t="str">
        <f>"FES1162594663"</f>
        <v>FES1162594663</v>
      </c>
      <c r="F1367" s="3">
        <v>43080</v>
      </c>
      <c r="G1367" s="2">
        <v>201806</v>
      </c>
      <c r="H1367" s="2" t="s">
        <v>74</v>
      </c>
      <c r="I1367" s="2" t="s">
        <v>75</v>
      </c>
      <c r="J1367" s="2" t="s">
        <v>97</v>
      </c>
      <c r="K1367" s="2" t="s">
        <v>77</v>
      </c>
      <c r="L1367" s="2" t="s">
        <v>74</v>
      </c>
      <c r="M1367" s="2" t="s">
        <v>75</v>
      </c>
      <c r="N1367" s="2" t="s">
        <v>645</v>
      </c>
      <c r="O1367" s="2" t="s">
        <v>101</v>
      </c>
      <c r="P1367" s="2" t="str">
        <f>"2170606521                    "</f>
        <v xml:space="preserve">2170606521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5.03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1</v>
      </c>
      <c r="BJ1367" s="2">
        <v>0.2</v>
      </c>
      <c r="BK1367" s="2">
        <v>1</v>
      </c>
      <c r="BL1367" s="2">
        <v>35.89</v>
      </c>
      <c r="BM1367" s="2">
        <v>5.0199999999999996</v>
      </c>
      <c r="BN1367" s="2">
        <v>40.909999999999997</v>
      </c>
      <c r="BO1367" s="2">
        <v>40.909999999999997</v>
      </c>
      <c r="BQ1367" s="2" t="s">
        <v>102</v>
      </c>
      <c r="BR1367" s="2" t="s">
        <v>103</v>
      </c>
      <c r="BS1367" s="3">
        <v>43081</v>
      </c>
      <c r="BT1367" s="4">
        <v>0.4375</v>
      </c>
      <c r="BU1367" s="2" t="s">
        <v>1731</v>
      </c>
      <c r="BV1367" s="2" t="s">
        <v>85</v>
      </c>
      <c r="BY1367" s="2">
        <v>1200</v>
      </c>
      <c r="CA1367" s="2" t="s">
        <v>203</v>
      </c>
      <c r="CC1367" s="2" t="s">
        <v>75</v>
      </c>
      <c r="CD1367" s="2">
        <v>1665</v>
      </c>
      <c r="CE1367" s="2" t="s">
        <v>120</v>
      </c>
      <c r="CF1367" s="3">
        <v>43083</v>
      </c>
      <c r="CI1367" s="2">
        <v>1</v>
      </c>
      <c r="CJ1367" s="2">
        <v>1</v>
      </c>
      <c r="CK1367" s="2">
        <v>22</v>
      </c>
      <c r="CL1367" s="2" t="s">
        <v>89</v>
      </c>
    </row>
    <row r="1368" spans="1:90">
      <c r="A1368" s="2" t="s">
        <v>71</v>
      </c>
      <c r="B1368" s="2" t="s">
        <v>72</v>
      </c>
      <c r="C1368" s="2" t="s">
        <v>73</v>
      </c>
      <c r="E1368" s="2" t="str">
        <f>"FES1162594730"</f>
        <v>FES1162594730</v>
      </c>
      <c r="F1368" s="3">
        <v>43080</v>
      </c>
      <c r="G1368" s="2">
        <v>201806</v>
      </c>
      <c r="H1368" s="2" t="s">
        <v>74</v>
      </c>
      <c r="I1368" s="2" t="s">
        <v>75</v>
      </c>
      <c r="J1368" s="2" t="s">
        <v>97</v>
      </c>
      <c r="K1368" s="2" t="s">
        <v>77</v>
      </c>
      <c r="L1368" s="2" t="s">
        <v>173</v>
      </c>
      <c r="M1368" s="2" t="s">
        <v>174</v>
      </c>
      <c r="N1368" s="2" t="s">
        <v>1839</v>
      </c>
      <c r="O1368" s="2" t="s">
        <v>101</v>
      </c>
      <c r="P1368" s="2" t="str">
        <f>"2170606616                    "</f>
        <v xml:space="preserve">2170606616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6.43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0.2</v>
      </c>
      <c r="BK1368" s="2">
        <v>1</v>
      </c>
      <c r="BL1368" s="2">
        <v>45.93</v>
      </c>
      <c r="BM1368" s="2">
        <v>6.43</v>
      </c>
      <c r="BN1368" s="2">
        <v>52.36</v>
      </c>
      <c r="BO1368" s="2">
        <v>52.36</v>
      </c>
      <c r="BQ1368" s="2" t="s">
        <v>128</v>
      </c>
      <c r="BR1368" s="2" t="s">
        <v>103</v>
      </c>
      <c r="BS1368" s="3">
        <v>43081</v>
      </c>
      <c r="BT1368" s="4">
        <v>0.4236111111111111</v>
      </c>
      <c r="BU1368" s="2" t="s">
        <v>1840</v>
      </c>
      <c r="BV1368" s="2" t="s">
        <v>85</v>
      </c>
      <c r="BY1368" s="2">
        <v>1200</v>
      </c>
      <c r="CA1368" s="2" t="s">
        <v>216</v>
      </c>
      <c r="CC1368" s="2" t="s">
        <v>174</v>
      </c>
      <c r="CD1368" s="2">
        <v>7945</v>
      </c>
      <c r="CE1368" s="2" t="s">
        <v>120</v>
      </c>
      <c r="CF1368" s="3">
        <v>43082</v>
      </c>
      <c r="CI1368" s="2">
        <v>1</v>
      </c>
      <c r="CJ1368" s="2">
        <v>1</v>
      </c>
      <c r="CK1368" s="2">
        <v>21</v>
      </c>
      <c r="CL1368" s="2" t="s">
        <v>89</v>
      </c>
    </row>
    <row r="1369" spans="1:90">
      <c r="A1369" s="2" t="s">
        <v>71</v>
      </c>
      <c r="B1369" s="2" t="s">
        <v>72</v>
      </c>
      <c r="C1369" s="2" t="s">
        <v>73</v>
      </c>
      <c r="E1369" s="2" t="str">
        <f>"FES1162594715"</f>
        <v>FES1162594715</v>
      </c>
      <c r="F1369" s="3">
        <v>43080</v>
      </c>
      <c r="G1369" s="2">
        <v>201806</v>
      </c>
      <c r="H1369" s="2" t="s">
        <v>74</v>
      </c>
      <c r="I1369" s="2" t="s">
        <v>75</v>
      </c>
      <c r="J1369" s="2" t="s">
        <v>97</v>
      </c>
      <c r="K1369" s="2" t="s">
        <v>77</v>
      </c>
      <c r="L1369" s="2" t="s">
        <v>173</v>
      </c>
      <c r="M1369" s="2" t="s">
        <v>174</v>
      </c>
      <c r="N1369" s="2" t="s">
        <v>1039</v>
      </c>
      <c r="O1369" s="2" t="s">
        <v>101</v>
      </c>
      <c r="P1369" s="2" t="str">
        <f>"2170606599                    "</f>
        <v xml:space="preserve">2170606599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6.43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45.93</v>
      </c>
      <c r="BM1369" s="2">
        <v>6.43</v>
      </c>
      <c r="BN1369" s="2">
        <v>52.36</v>
      </c>
      <c r="BO1369" s="2">
        <v>52.36</v>
      </c>
      <c r="BQ1369" s="2" t="s">
        <v>102</v>
      </c>
      <c r="BR1369" s="2" t="s">
        <v>103</v>
      </c>
      <c r="BS1369" s="3">
        <v>43081</v>
      </c>
      <c r="BT1369" s="4">
        <v>0.40486111111111112</v>
      </c>
      <c r="BU1369" s="2" t="s">
        <v>1041</v>
      </c>
      <c r="BV1369" s="2" t="s">
        <v>85</v>
      </c>
      <c r="BY1369" s="2">
        <v>1200</v>
      </c>
      <c r="CA1369" s="2" t="s">
        <v>234</v>
      </c>
      <c r="CC1369" s="2" t="s">
        <v>174</v>
      </c>
      <c r="CD1369" s="2">
        <v>7530</v>
      </c>
      <c r="CE1369" s="2" t="s">
        <v>120</v>
      </c>
      <c r="CF1369" s="3">
        <v>43082</v>
      </c>
      <c r="CI1369" s="2">
        <v>1</v>
      </c>
      <c r="CJ1369" s="2">
        <v>1</v>
      </c>
      <c r="CK1369" s="2">
        <v>21</v>
      </c>
      <c r="CL1369" s="2" t="s">
        <v>89</v>
      </c>
    </row>
    <row r="1370" spans="1:90">
      <c r="A1370" s="2" t="s">
        <v>71</v>
      </c>
      <c r="B1370" s="2" t="s">
        <v>72</v>
      </c>
      <c r="C1370" s="2" t="s">
        <v>73</v>
      </c>
      <c r="E1370" s="2" t="str">
        <f>"FES1162594788"</f>
        <v>FES1162594788</v>
      </c>
      <c r="F1370" s="3">
        <v>43080</v>
      </c>
      <c r="G1370" s="2">
        <v>201806</v>
      </c>
      <c r="H1370" s="2" t="s">
        <v>74</v>
      </c>
      <c r="I1370" s="2" t="s">
        <v>75</v>
      </c>
      <c r="J1370" s="2" t="s">
        <v>97</v>
      </c>
      <c r="K1370" s="2" t="s">
        <v>77</v>
      </c>
      <c r="L1370" s="2" t="s">
        <v>74</v>
      </c>
      <c r="M1370" s="2" t="s">
        <v>75</v>
      </c>
      <c r="N1370" s="2" t="s">
        <v>201</v>
      </c>
      <c r="O1370" s="2" t="s">
        <v>101</v>
      </c>
      <c r="P1370" s="2" t="str">
        <f>"2170604498                    "</f>
        <v xml:space="preserve">2170604498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5.03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35.89</v>
      </c>
      <c r="BM1370" s="2">
        <v>5.0199999999999996</v>
      </c>
      <c r="BN1370" s="2">
        <v>40.909999999999997</v>
      </c>
      <c r="BO1370" s="2">
        <v>40.909999999999997</v>
      </c>
      <c r="BQ1370" s="2" t="s">
        <v>102</v>
      </c>
      <c r="BR1370" s="2" t="s">
        <v>103</v>
      </c>
      <c r="BS1370" s="3">
        <v>43081</v>
      </c>
      <c r="BT1370" s="4">
        <v>0.4375</v>
      </c>
      <c r="BU1370" s="2" t="s">
        <v>202</v>
      </c>
      <c r="BV1370" s="2" t="s">
        <v>85</v>
      </c>
      <c r="BY1370" s="2">
        <v>1200</v>
      </c>
      <c r="CA1370" s="2" t="s">
        <v>203</v>
      </c>
      <c r="CC1370" s="2" t="s">
        <v>75</v>
      </c>
      <c r="CD1370" s="2">
        <v>1665</v>
      </c>
      <c r="CE1370" s="2" t="s">
        <v>120</v>
      </c>
      <c r="CF1370" s="3">
        <v>43083</v>
      </c>
      <c r="CI1370" s="2">
        <v>1</v>
      </c>
      <c r="CJ1370" s="2">
        <v>1</v>
      </c>
      <c r="CK1370" s="2">
        <v>22</v>
      </c>
      <c r="CL1370" s="2" t="s">
        <v>89</v>
      </c>
    </row>
    <row r="1371" spans="1:90">
      <c r="A1371" s="2" t="s">
        <v>71</v>
      </c>
      <c r="B1371" s="2" t="s">
        <v>72</v>
      </c>
      <c r="C1371" s="2" t="s">
        <v>73</v>
      </c>
      <c r="E1371" s="2" t="str">
        <f>"FES1162594923"</f>
        <v>FES1162594923</v>
      </c>
      <c r="F1371" s="3">
        <v>43080</v>
      </c>
      <c r="G1371" s="2">
        <v>201806</v>
      </c>
      <c r="H1371" s="2" t="s">
        <v>74</v>
      </c>
      <c r="I1371" s="2" t="s">
        <v>75</v>
      </c>
      <c r="J1371" s="2" t="s">
        <v>97</v>
      </c>
      <c r="K1371" s="2" t="s">
        <v>77</v>
      </c>
      <c r="L1371" s="2" t="s">
        <v>212</v>
      </c>
      <c r="M1371" s="2" t="s">
        <v>212</v>
      </c>
      <c r="N1371" s="2" t="s">
        <v>1639</v>
      </c>
      <c r="O1371" s="2" t="s">
        <v>101</v>
      </c>
      <c r="P1371" s="2" t="str">
        <f>"2170606826                    "</f>
        <v xml:space="preserve">2170606826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6.43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1</v>
      </c>
      <c r="BJ1371" s="2">
        <v>0.2</v>
      </c>
      <c r="BK1371" s="2">
        <v>1</v>
      </c>
      <c r="BL1371" s="2">
        <v>45.93</v>
      </c>
      <c r="BM1371" s="2">
        <v>6.43</v>
      </c>
      <c r="BN1371" s="2">
        <v>52.36</v>
      </c>
      <c r="BO1371" s="2">
        <v>52.36</v>
      </c>
      <c r="BQ1371" s="2" t="s">
        <v>82</v>
      </c>
      <c r="BR1371" s="2" t="s">
        <v>103</v>
      </c>
      <c r="BS1371" s="3">
        <v>43081</v>
      </c>
      <c r="BT1371" s="4">
        <v>0.60555555555555551</v>
      </c>
      <c r="BU1371" s="2" t="s">
        <v>1841</v>
      </c>
      <c r="BV1371" s="2" t="s">
        <v>89</v>
      </c>
      <c r="BW1371" s="2" t="s">
        <v>313</v>
      </c>
      <c r="BX1371" s="2" t="s">
        <v>368</v>
      </c>
      <c r="BY1371" s="2">
        <v>1200</v>
      </c>
      <c r="CC1371" s="2" t="s">
        <v>212</v>
      </c>
      <c r="CD1371" s="2">
        <v>7646</v>
      </c>
      <c r="CE1371" s="2" t="s">
        <v>120</v>
      </c>
      <c r="CF1371" s="3">
        <v>43082</v>
      </c>
      <c r="CI1371" s="2">
        <v>1</v>
      </c>
      <c r="CJ1371" s="2">
        <v>1</v>
      </c>
      <c r="CK1371" s="2">
        <v>21</v>
      </c>
      <c r="CL1371" s="2" t="s">
        <v>89</v>
      </c>
    </row>
    <row r="1372" spans="1:90">
      <c r="A1372" s="2" t="s">
        <v>71</v>
      </c>
      <c r="B1372" s="2" t="s">
        <v>72</v>
      </c>
      <c r="C1372" s="2" t="s">
        <v>73</v>
      </c>
      <c r="E1372" s="2" t="str">
        <f>"FES1162594723"</f>
        <v>FES1162594723</v>
      </c>
      <c r="F1372" s="3">
        <v>43080</v>
      </c>
      <c r="G1372" s="2">
        <v>201806</v>
      </c>
      <c r="H1372" s="2" t="s">
        <v>74</v>
      </c>
      <c r="I1372" s="2" t="s">
        <v>75</v>
      </c>
      <c r="J1372" s="2" t="s">
        <v>97</v>
      </c>
      <c r="K1372" s="2" t="s">
        <v>77</v>
      </c>
      <c r="L1372" s="2" t="s">
        <v>74</v>
      </c>
      <c r="M1372" s="2" t="s">
        <v>75</v>
      </c>
      <c r="N1372" s="2" t="s">
        <v>1842</v>
      </c>
      <c r="O1372" s="2" t="s">
        <v>101</v>
      </c>
      <c r="P1372" s="2" t="str">
        <f>"2170606608                    "</f>
        <v xml:space="preserve">2170606608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5.03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</v>
      </c>
      <c r="BJ1372" s="2">
        <v>0.2</v>
      </c>
      <c r="BK1372" s="2">
        <v>1</v>
      </c>
      <c r="BL1372" s="2">
        <v>35.89</v>
      </c>
      <c r="BM1372" s="2">
        <v>5.0199999999999996</v>
      </c>
      <c r="BN1372" s="2">
        <v>40.909999999999997</v>
      </c>
      <c r="BO1372" s="2">
        <v>40.909999999999997</v>
      </c>
      <c r="BR1372" s="2" t="s">
        <v>103</v>
      </c>
      <c r="BS1372" s="3">
        <v>43081</v>
      </c>
      <c r="BT1372" s="4">
        <v>0.4375</v>
      </c>
      <c r="BU1372" s="2" t="s">
        <v>1843</v>
      </c>
      <c r="BV1372" s="2" t="s">
        <v>85</v>
      </c>
      <c r="BY1372" s="2">
        <v>1200</v>
      </c>
      <c r="CA1372" s="2" t="s">
        <v>203</v>
      </c>
      <c r="CC1372" s="2" t="s">
        <v>75</v>
      </c>
      <c r="CD1372" s="2">
        <v>1682</v>
      </c>
      <c r="CE1372" s="2" t="s">
        <v>120</v>
      </c>
      <c r="CF1372" s="3">
        <v>43083</v>
      </c>
      <c r="CI1372" s="2">
        <v>1</v>
      </c>
      <c r="CJ1372" s="2">
        <v>1</v>
      </c>
      <c r="CK1372" s="2">
        <v>22</v>
      </c>
      <c r="CL1372" s="2" t="s">
        <v>89</v>
      </c>
    </row>
    <row r="1373" spans="1:90">
      <c r="A1373" s="2" t="s">
        <v>71</v>
      </c>
      <c r="B1373" s="2" t="s">
        <v>72</v>
      </c>
      <c r="C1373" s="2" t="s">
        <v>73</v>
      </c>
      <c r="E1373" s="2" t="str">
        <f>"FES1162594806"</f>
        <v>FES1162594806</v>
      </c>
      <c r="F1373" s="3">
        <v>43080</v>
      </c>
      <c r="G1373" s="2">
        <v>201806</v>
      </c>
      <c r="H1373" s="2" t="s">
        <v>74</v>
      </c>
      <c r="I1373" s="2" t="s">
        <v>75</v>
      </c>
      <c r="J1373" s="2" t="s">
        <v>97</v>
      </c>
      <c r="K1373" s="2" t="s">
        <v>77</v>
      </c>
      <c r="L1373" s="2" t="s">
        <v>295</v>
      </c>
      <c r="M1373" s="2" t="s">
        <v>296</v>
      </c>
      <c r="N1373" s="2" t="s">
        <v>657</v>
      </c>
      <c r="O1373" s="2" t="s">
        <v>101</v>
      </c>
      <c r="P1373" s="2" t="str">
        <f>"2170606694                    "</f>
        <v xml:space="preserve">2170606694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9.0500000000000007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1</v>
      </c>
      <c r="BJ1373" s="2">
        <v>0.2</v>
      </c>
      <c r="BK1373" s="2">
        <v>1</v>
      </c>
      <c r="BL1373" s="2">
        <v>64.599999999999994</v>
      </c>
      <c r="BM1373" s="2">
        <v>9.0399999999999991</v>
      </c>
      <c r="BN1373" s="2">
        <v>73.64</v>
      </c>
      <c r="BO1373" s="2">
        <v>73.64</v>
      </c>
      <c r="BQ1373" s="2" t="s">
        <v>658</v>
      </c>
      <c r="BR1373" s="2" t="s">
        <v>103</v>
      </c>
      <c r="BS1373" s="3">
        <v>43082</v>
      </c>
      <c r="BT1373" s="4">
        <v>0.56041666666666667</v>
      </c>
      <c r="BU1373" s="2" t="s">
        <v>1749</v>
      </c>
      <c r="BV1373" s="2" t="s">
        <v>89</v>
      </c>
      <c r="BW1373" s="2" t="s">
        <v>156</v>
      </c>
      <c r="BX1373" s="2" t="s">
        <v>668</v>
      </c>
      <c r="BY1373" s="2">
        <v>1200</v>
      </c>
      <c r="CC1373" s="2" t="s">
        <v>296</v>
      </c>
      <c r="CD1373" s="2">
        <v>208</v>
      </c>
      <c r="CE1373" s="2" t="s">
        <v>120</v>
      </c>
      <c r="CF1373" s="3">
        <v>43084</v>
      </c>
      <c r="CI1373" s="2">
        <v>1</v>
      </c>
      <c r="CJ1373" s="2">
        <v>2</v>
      </c>
      <c r="CK1373" s="2">
        <v>24</v>
      </c>
      <c r="CL1373" s="2" t="s">
        <v>89</v>
      </c>
    </row>
    <row r="1374" spans="1:90">
      <c r="A1374" s="2" t="s">
        <v>71</v>
      </c>
      <c r="B1374" s="2" t="s">
        <v>72</v>
      </c>
      <c r="C1374" s="2" t="s">
        <v>73</v>
      </c>
      <c r="E1374" s="2" t="str">
        <f>"FES1162594768"</f>
        <v>FES1162594768</v>
      </c>
      <c r="F1374" s="3">
        <v>43080</v>
      </c>
      <c r="G1374" s="2">
        <v>201806</v>
      </c>
      <c r="H1374" s="2" t="s">
        <v>74</v>
      </c>
      <c r="I1374" s="2" t="s">
        <v>75</v>
      </c>
      <c r="J1374" s="2" t="s">
        <v>97</v>
      </c>
      <c r="K1374" s="2" t="s">
        <v>77</v>
      </c>
      <c r="L1374" s="2" t="s">
        <v>440</v>
      </c>
      <c r="M1374" s="2" t="s">
        <v>441</v>
      </c>
      <c r="N1374" s="2" t="s">
        <v>1844</v>
      </c>
      <c r="O1374" s="2" t="s">
        <v>101</v>
      </c>
      <c r="P1374" s="2" t="str">
        <f>"2170606672                    "</f>
        <v xml:space="preserve">2170606672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9.0500000000000007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</v>
      </c>
      <c r="BJ1374" s="2">
        <v>0.2</v>
      </c>
      <c r="BK1374" s="2">
        <v>1</v>
      </c>
      <c r="BL1374" s="2">
        <v>64.599999999999994</v>
      </c>
      <c r="BM1374" s="2">
        <v>9.0399999999999991</v>
      </c>
      <c r="BN1374" s="2">
        <v>73.64</v>
      </c>
      <c r="BO1374" s="2">
        <v>73.64</v>
      </c>
      <c r="BQ1374" s="2" t="s">
        <v>82</v>
      </c>
      <c r="BR1374" s="2" t="s">
        <v>103</v>
      </c>
      <c r="BS1374" s="3">
        <v>43081</v>
      </c>
      <c r="BT1374" s="4">
        <v>0.4236111111111111</v>
      </c>
      <c r="BU1374" s="2" t="s">
        <v>1845</v>
      </c>
      <c r="BV1374" s="2" t="s">
        <v>85</v>
      </c>
      <c r="BY1374" s="2">
        <v>1200</v>
      </c>
      <c r="CC1374" s="2" t="s">
        <v>441</v>
      </c>
      <c r="CD1374" s="2">
        <v>1759</v>
      </c>
      <c r="CE1374" s="2" t="s">
        <v>120</v>
      </c>
      <c r="CF1374" s="3">
        <v>43082</v>
      </c>
      <c r="CI1374" s="2">
        <v>1</v>
      </c>
      <c r="CJ1374" s="2">
        <v>1</v>
      </c>
      <c r="CK1374" s="2">
        <v>24</v>
      </c>
      <c r="CL1374" s="2" t="s">
        <v>89</v>
      </c>
    </row>
    <row r="1375" spans="1:90">
      <c r="A1375" s="2" t="s">
        <v>71</v>
      </c>
      <c r="B1375" s="2" t="s">
        <v>72</v>
      </c>
      <c r="C1375" s="2" t="s">
        <v>73</v>
      </c>
      <c r="E1375" s="2" t="str">
        <f>"FES1162594967"</f>
        <v>FES1162594967</v>
      </c>
      <c r="F1375" s="3">
        <v>43080</v>
      </c>
      <c r="G1375" s="2">
        <v>201806</v>
      </c>
      <c r="H1375" s="2" t="s">
        <v>74</v>
      </c>
      <c r="I1375" s="2" t="s">
        <v>75</v>
      </c>
      <c r="J1375" s="2" t="s">
        <v>97</v>
      </c>
      <c r="K1375" s="2" t="s">
        <v>77</v>
      </c>
      <c r="L1375" s="2" t="s">
        <v>173</v>
      </c>
      <c r="M1375" s="2" t="s">
        <v>174</v>
      </c>
      <c r="N1375" s="2" t="s">
        <v>1753</v>
      </c>
      <c r="O1375" s="2" t="s">
        <v>101</v>
      </c>
      <c r="P1375" s="2" t="str">
        <f>"2170606782                    "</f>
        <v xml:space="preserve">2170606782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6.43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45.93</v>
      </c>
      <c r="BM1375" s="2">
        <v>6.43</v>
      </c>
      <c r="BN1375" s="2">
        <v>52.36</v>
      </c>
      <c r="BO1375" s="2">
        <v>52.36</v>
      </c>
      <c r="BQ1375" s="2" t="s">
        <v>82</v>
      </c>
      <c r="BR1375" s="2" t="s">
        <v>103</v>
      </c>
      <c r="BS1375" s="3">
        <v>43081</v>
      </c>
      <c r="BT1375" s="4">
        <v>0.43611111111111112</v>
      </c>
      <c r="BU1375" s="2" t="s">
        <v>1754</v>
      </c>
      <c r="BV1375" s="2" t="s">
        <v>85</v>
      </c>
      <c r="BY1375" s="2">
        <v>1200</v>
      </c>
      <c r="CA1375" s="2" t="s">
        <v>247</v>
      </c>
      <c r="CC1375" s="2" t="s">
        <v>174</v>
      </c>
      <c r="CD1375" s="2">
        <v>7530</v>
      </c>
      <c r="CE1375" s="2" t="s">
        <v>120</v>
      </c>
      <c r="CF1375" s="3">
        <v>43082</v>
      </c>
      <c r="CI1375" s="2">
        <v>1</v>
      </c>
      <c r="CJ1375" s="2">
        <v>1</v>
      </c>
      <c r="CK1375" s="2">
        <v>21</v>
      </c>
      <c r="CL1375" s="2" t="s">
        <v>89</v>
      </c>
    </row>
    <row r="1376" spans="1:90">
      <c r="A1376" s="2" t="s">
        <v>71</v>
      </c>
      <c r="B1376" s="2" t="s">
        <v>72</v>
      </c>
      <c r="C1376" s="2" t="s">
        <v>73</v>
      </c>
      <c r="E1376" s="2" t="str">
        <f>"FES1162595018"</f>
        <v>FES1162595018</v>
      </c>
      <c r="F1376" s="3">
        <v>43080</v>
      </c>
      <c r="G1376" s="2">
        <v>201806</v>
      </c>
      <c r="H1376" s="2" t="s">
        <v>74</v>
      </c>
      <c r="I1376" s="2" t="s">
        <v>75</v>
      </c>
      <c r="J1376" s="2" t="s">
        <v>97</v>
      </c>
      <c r="K1376" s="2" t="s">
        <v>77</v>
      </c>
      <c r="L1376" s="2" t="s">
        <v>152</v>
      </c>
      <c r="M1376" s="2" t="s">
        <v>153</v>
      </c>
      <c r="N1376" s="2" t="s">
        <v>1846</v>
      </c>
      <c r="O1376" s="2" t="s">
        <v>101</v>
      </c>
      <c r="P1376" s="2" t="str">
        <f>"2170605828                    "</f>
        <v xml:space="preserve">2170605828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5.03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5.5</v>
      </c>
      <c r="BJ1376" s="2">
        <v>1.7</v>
      </c>
      <c r="BK1376" s="2">
        <v>6</v>
      </c>
      <c r="BL1376" s="2">
        <v>35.89</v>
      </c>
      <c r="BM1376" s="2">
        <v>5.0199999999999996</v>
      </c>
      <c r="BN1376" s="2">
        <v>40.909999999999997</v>
      </c>
      <c r="BO1376" s="2">
        <v>40.909999999999997</v>
      </c>
      <c r="BR1376" s="2" t="s">
        <v>103</v>
      </c>
      <c r="BS1376" s="3">
        <v>43081</v>
      </c>
      <c r="BT1376" s="4">
        <v>0.41666666666666669</v>
      </c>
      <c r="BU1376" s="2" t="s">
        <v>1847</v>
      </c>
      <c r="BV1376" s="2" t="s">
        <v>85</v>
      </c>
      <c r="BY1376" s="2">
        <v>8393.25</v>
      </c>
      <c r="CC1376" s="2" t="s">
        <v>153</v>
      </c>
      <c r="CD1376" s="2">
        <v>1422</v>
      </c>
      <c r="CE1376" s="2" t="s">
        <v>95</v>
      </c>
      <c r="CF1376" s="3">
        <v>43082</v>
      </c>
      <c r="CI1376" s="2">
        <v>1</v>
      </c>
      <c r="CJ1376" s="2">
        <v>1</v>
      </c>
      <c r="CK1376" s="2">
        <v>22</v>
      </c>
      <c r="CL1376" s="2" t="s">
        <v>89</v>
      </c>
    </row>
    <row r="1377" spans="1:90">
      <c r="A1377" s="2" t="s">
        <v>71</v>
      </c>
      <c r="B1377" s="2" t="s">
        <v>72</v>
      </c>
      <c r="C1377" s="2" t="s">
        <v>73</v>
      </c>
      <c r="E1377" s="2" t="str">
        <f>"FES1162594827"</f>
        <v>FES1162594827</v>
      </c>
      <c r="F1377" s="3">
        <v>43080</v>
      </c>
      <c r="G1377" s="2">
        <v>201806</v>
      </c>
      <c r="H1377" s="2" t="s">
        <v>74</v>
      </c>
      <c r="I1377" s="2" t="s">
        <v>75</v>
      </c>
      <c r="J1377" s="2" t="s">
        <v>97</v>
      </c>
      <c r="K1377" s="2" t="s">
        <v>77</v>
      </c>
      <c r="L1377" s="2" t="s">
        <v>115</v>
      </c>
      <c r="M1377" s="2" t="s">
        <v>116</v>
      </c>
      <c r="N1377" s="2" t="s">
        <v>1416</v>
      </c>
      <c r="O1377" s="2" t="s">
        <v>101</v>
      </c>
      <c r="P1377" s="2" t="str">
        <f>"217060193                     "</f>
        <v xml:space="preserve">217060193 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5.03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3.4</v>
      </c>
      <c r="BJ1377" s="2">
        <v>1.5</v>
      </c>
      <c r="BK1377" s="2">
        <v>4</v>
      </c>
      <c r="BL1377" s="2">
        <v>35.89</v>
      </c>
      <c r="BM1377" s="2">
        <v>5.0199999999999996</v>
      </c>
      <c r="BN1377" s="2">
        <v>40.909999999999997</v>
      </c>
      <c r="BO1377" s="2">
        <v>40.909999999999997</v>
      </c>
      <c r="BR1377" s="2" t="s">
        <v>103</v>
      </c>
      <c r="BS1377" s="3">
        <v>43081</v>
      </c>
      <c r="BT1377" s="4">
        <v>0.35972222222222222</v>
      </c>
      <c r="BU1377" s="2" t="s">
        <v>516</v>
      </c>
      <c r="BV1377" s="2" t="s">
        <v>85</v>
      </c>
      <c r="BY1377" s="2">
        <v>7392.38</v>
      </c>
      <c r="CA1377" s="2" t="s">
        <v>119</v>
      </c>
      <c r="CC1377" s="2" t="s">
        <v>116</v>
      </c>
      <c r="CD1377" s="2">
        <v>1459</v>
      </c>
      <c r="CE1377" s="2" t="s">
        <v>95</v>
      </c>
      <c r="CF1377" s="3">
        <v>43082</v>
      </c>
      <c r="CI1377" s="2">
        <v>1</v>
      </c>
      <c r="CJ1377" s="2">
        <v>1</v>
      </c>
      <c r="CK1377" s="2">
        <v>22</v>
      </c>
      <c r="CL1377" s="2" t="s">
        <v>89</v>
      </c>
    </row>
    <row r="1378" spans="1:90">
      <c r="A1378" s="2" t="s">
        <v>71</v>
      </c>
      <c r="B1378" s="2" t="s">
        <v>72</v>
      </c>
      <c r="C1378" s="2" t="s">
        <v>73</v>
      </c>
      <c r="E1378" s="2" t="str">
        <f>"FES1162594913"</f>
        <v>FES1162594913</v>
      </c>
      <c r="F1378" s="3">
        <v>43080</v>
      </c>
      <c r="G1378" s="2">
        <v>201806</v>
      </c>
      <c r="H1378" s="2" t="s">
        <v>74</v>
      </c>
      <c r="I1378" s="2" t="s">
        <v>75</v>
      </c>
      <c r="J1378" s="2" t="s">
        <v>97</v>
      </c>
      <c r="K1378" s="2" t="s">
        <v>77</v>
      </c>
      <c r="L1378" s="2" t="s">
        <v>844</v>
      </c>
      <c r="M1378" s="2" t="s">
        <v>844</v>
      </c>
      <c r="N1378" s="2" t="s">
        <v>1451</v>
      </c>
      <c r="O1378" s="2" t="s">
        <v>101</v>
      </c>
      <c r="P1378" s="2" t="str">
        <f>"2170606814                    "</f>
        <v xml:space="preserve">2170606814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6.43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</v>
      </c>
      <c r="BJ1378" s="2">
        <v>0.2</v>
      </c>
      <c r="BK1378" s="2">
        <v>1</v>
      </c>
      <c r="BL1378" s="2">
        <v>45.93</v>
      </c>
      <c r="BM1378" s="2">
        <v>6.43</v>
      </c>
      <c r="BN1378" s="2">
        <v>52.36</v>
      </c>
      <c r="BO1378" s="2">
        <v>52.36</v>
      </c>
      <c r="BQ1378" s="2" t="s">
        <v>102</v>
      </c>
      <c r="BR1378" s="2" t="s">
        <v>103</v>
      </c>
      <c r="BS1378" s="3">
        <v>43082</v>
      </c>
      <c r="BT1378" s="4">
        <v>0.45277777777777778</v>
      </c>
      <c r="BU1378" s="2" t="s">
        <v>1825</v>
      </c>
      <c r="BV1378" s="2" t="s">
        <v>85</v>
      </c>
      <c r="BY1378" s="2">
        <v>1200</v>
      </c>
      <c r="CA1378" s="2" t="s">
        <v>847</v>
      </c>
      <c r="CC1378" s="2" t="s">
        <v>844</v>
      </c>
      <c r="CD1378" s="2">
        <v>6835</v>
      </c>
      <c r="CE1378" s="2" t="s">
        <v>120</v>
      </c>
      <c r="CF1378" s="3">
        <v>43084</v>
      </c>
      <c r="CI1378" s="2">
        <v>3</v>
      </c>
      <c r="CJ1378" s="2">
        <v>2</v>
      </c>
      <c r="CK1378" s="2">
        <v>21</v>
      </c>
      <c r="CL1378" s="2" t="s">
        <v>89</v>
      </c>
    </row>
    <row r="1379" spans="1:90">
      <c r="A1379" s="2" t="s">
        <v>71</v>
      </c>
      <c r="B1379" s="2" t="s">
        <v>72</v>
      </c>
      <c r="C1379" s="2" t="s">
        <v>73</v>
      </c>
      <c r="E1379" s="2" t="str">
        <f>"FES1162594714"</f>
        <v>FES1162594714</v>
      </c>
      <c r="F1379" s="3">
        <v>43080</v>
      </c>
      <c r="G1379" s="2">
        <v>201806</v>
      </c>
      <c r="H1379" s="2" t="s">
        <v>74</v>
      </c>
      <c r="I1379" s="2" t="s">
        <v>75</v>
      </c>
      <c r="J1379" s="2" t="s">
        <v>97</v>
      </c>
      <c r="K1379" s="2" t="s">
        <v>77</v>
      </c>
      <c r="L1379" s="2" t="s">
        <v>173</v>
      </c>
      <c r="M1379" s="2" t="s">
        <v>174</v>
      </c>
      <c r="N1379" s="2" t="s">
        <v>393</v>
      </c>
      <c r="O1379" s="2" t="s">
        <v>101</v>
      </c>
      <c r="P1379" s="2" t="str">
        <f>"2170606597                    "</f>
        <v xml:space="preserve">2170606597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6.43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1</v>
      </c>
      <c r="BJ1379" s="2">
        <v>0.2</v>
      </c>
      <c r="BK1379" s="2">
        <v>1</v>
      </c>
      <c r="BL1379" s="2">
        <v>45.93</v>
      </c>
      <c r="BM1379" s="2">
        <v>6.43</v>
      </c>
      <c r="BN1379" s="2">
        <v>52.36</v>
      </c>
      <c r="BO1379" s="2">
        <v>52.36</v>
      </c>
      <c r="BQ1379" s="2" t="s">
        <v>102</v>
      </c>
      <c r="BR1379" s="2" t="s">
        <v>103</v>
      </c>
      <c r="BS1379" s="3">
        <v>43081</v>
      </c>
      <c r="BT1379" s="4">
        <v>0.49861111111111112</v>
      </c>
      <c r="BU1379" s="2" t="s">
        <v>1848</v>
      </c>
      <c r="BV1379" s="2" t="s">
        <v>89</v>
      </c>
      <c r="BW1379" s="2" t="s">
        <v>149</v>
      </c>
      <c r="BX1379" s="2" t="s">
        <v>246</v>
      </c>
      <c r="BY1379" s="2">
        <v>1200</v>
      </c>
      <c r="CA1379" s="2" t="s">
        <v>1849</v>
      </c>
      <c r="CC1379" s="2" t="s">
        <v>174</v>
      </c>
      <c r="CD1379" s="2">
        <v>7441</v>
      </c>
      <c r="CE1379" s="2" t="s">
        <v>120</v>
      </c>
      <c r="CF1379" s="3">
        <v>43082</v>
      </c>
      <c r="CI1379" s="2">
        <v>1</v>
      </c>
      <c r="CJ1379" s="2">
        <v>1</v>
      </c>
      <c r="CK1379" s="2">
        <v>21</v>
      </c>
      <c r="CL1379" s="2" t="s">
        <v>89</v>
      </c>
    </row>
    <row r="1380" spans="1:90">
      <c r="A1380" s="2" t="s">
        <v>71</v>
      </c>
      <c r="B1380" s="2" t="s">
        <v>72</v>
      </c>
      <c r="C1380" s="2" t="s">
        <v>73</v>
      </c>
      <c r="E1380" s="2" t="str">
        <f>"FES1162595091"</f>
        <v>FES1162595091</v>
      </c>
      <c r="F1380" s="3">
        <v>43080</v>
      </c>
      <c r="G1380" s="2">
        <v>201806</v>
      </c>
      <c r="H1380" s="2" t="s">
        <v>74</v>
      </c>
      <c r="I1380" s="2" t="s">
        <v>75</v>
      </c>
      <c r="J1380" s="2" t="s">
        <v>97</v>
      </c>
      <c r="K1380" s="2" t="s">
        <v>77</v>
      </c>
      <c r="L1380" s="2" t="s">
        <v>136</v>
      </c>
      <c r="M1380" s="2" t="s">
        <v>137</v>
      </c>
      <c r="N1380" s="2" t="s">
        <v>138</v>
      </c>
      <c r="O1380" s="2" t="s">
        <v>101</v>
      </c>
      <c r="P1380" s="2" t="str">
        <f>"2170600761                    "</f>
        <v xml:space="preserve">2170600761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22.51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5.4</v>
      </c>
      <c r="BJ1380" s="2">
        <v>6.9</v>
      </c>
      <c r="BK1380" s="2">
        <v>7</v>
      </c>
      <c r="BL1380" s="2">
        <v>160.71</v>
      </c>
      <c r="BM1380" s="2">
        <v>22.5</v>
      </c>
      <c r="BN1380" s="2">
        <v>183.21</v>
      </c>
      <c r="BO1380" s="2">
        <v>183.21</v>
      </c>
      <c r="BQ1380" s="2" t="s">
        <v>82</v>
      </c>
      <c r="BR1380" s="2" t="s">
        <v>103</v>
      </c>
      <c r="BS1380" s="3">
        <v>43081</v>
      </c>
      <c r="BT1380" s="4">
        <v>0.35416666666666669</v>
      </c>
      <c r="BU1380" s="2" t="s">
        <v>139</v>
      </c>
      <c r="BV1380" s="2" t="s">
        <v>85</v>
      </c>
      <c r="BY1380" s="2">
        <v>34384.449999999997</v>
      </c>
      <c r="CC1380" s="2" t="s">
        <v>137</v>
      </c>
      <c r="CD1380" s="2">
        <v>6001</v>
      </c>
      <c r="CE1380" s="2" t="s">
        <v>87</v>
      </c>
      <c r="CF1380" s="3">
        <v>43083</v>
      </c>
      <c r="CI1380" s="2">
        <v>1</v>
      </c>
      <c r="CJ1380" s="2">
        <v>1</v>
      </c>
      <c r="CK1380" s="2">
        <v>21</v>
      </c>
      <c r="CL1380" s="2" t="s">
        <v>89</v>
      </c>
    </row>
    <row r="1381" spans="1:90">
      <c r="A1381" s="2" t="s">
        <v>71</v>
      </c>
      <c r="B1381" s="2" t="s">
        <v>72</v>
      </c>
      <c r="C1381" s="2" t="s">
        <v>73</v>
      </c>
      <c r="E1381" s="2" t="str">
        <f>"FES1162595078"</f>
        <v>FES1162595078</v>
      </c>
      <c r="F1381" s="3">
        <v>43080</v>
      </c>
      <c r="G1381" s="2">
        <v>201806</v>
      </c>
      <c r="H1381" s="2" t="s">
        <v>74</v>
      </c>
      <c r="I1381" s="2" t="s">
        <v>75</v>
      </c>
      <c r="J1381" s="2" t="s">
        <v>97</v>
      </c>
      <c r="K1381" s="2" t="s">
        <v>77</v>
      </c>
      <c r="L1381" s="2" t="s">
        <v>136</v>
      </c>
      <c r="M1381" s="2" t="s">
        <v>137</v>
      </c>
      <c r="N1381" s="2" t="s">
        <v>138</v>
      </c>
      <c r="O1381" s="2" t="s">
        <v>101</v>
      </c>
      <c r="P1381" s="2" t="str">
        <f>"2170602503                    "</f>
        <v xml:space="preserve">2170602503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9.65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0.9</v>
      </c>
      <c r="BJ1381" s="2">
        <v>2.9</v>
      </c>
      <c r="BK1381" s="2">
        <v>3</v>
      </c>
      <c r="BL1381" s="2">
        <v>68.89</v>
      </c>
      <c r="BM1381" s="2">
        <v>9.64</v>
      </c>
      <c r="BN1381" s="2">
        <v>78.53</v>
      </c>
      <c r="BO1381" s="2">
        <v>78.53</v>
      </c>
      <c r="BQ1381" s="2" t="s">
        <v>82</v>
      </c>
      <c r="BR1381" s="2" t="s">
        <v>103</v>
      </c>
      <c r="BS1381" s="3">
        <v>43081</v>
      </c>
      <c r="BT1381" s="4">
        <v>0.35416666666666669</v>
      </c>
      <c r="BU1381" s="2" t="s">
        <v>139</v>
      </c>
      <c r="BV1381" s="2" t="s">
        <v>85</v>
      </c>
      <c r="BY1381" s="2">
        <v>14672.56</v>
      </c>
      <c r="CA1381" s="2" t="s">
        <v>140</v>
      </c>
      <c r="CC1381" s="2" t="s">
        <v>137</v>
      </c>
      <c r="CD1381" s="2">
        <v>6001</v>
      </c>
      <c r="CE1381" s="2" t="s">
        <v>95</v>
      </c>
      <c r="CF1381" s="3">
        <v>43083</v>
      </c>
      <c r="CI1381" s="2">
        <v>1</v>
      </c>
      <c r="CJ1381" s="2">
        <v>1</v>
      </c>
      <c r="CK1381" s="2">
        <v>21</v>
      </c>
      <c r="CL1381" s="2" t="s">
        <v>89</v>
      </c>
    </row>
    <row r="1382" spans="1:90">
      <c r="A1382" s="2" t="s">
        <v>71</v>
      </c>
      <c r="B1382" s="2" t="s">
        <v>72</v>
      </c>
      <c r="C1382" s="2" t="s">
        <v>73</v>
      </c>
      <c r="E1382" s="2" t="str">
        <f>"FES1162595072"</f>
        <v>FES1162595072</v>
      </c>
      <c r="F1382" s="3">
        <v>43080</v>
      </c>
      <c r="G1382" s="2">
        <v>201806</v>
      </c>
      <c r="H1382" s="2" t="s">
        <v>74</v>
      </c>
      <c r="I1382" s="2" t="s">
        <v>75</v>
      </c>
      <c r="J1382" s="2" t="s">
        <v>97</v>
      </c>
      <c r="K1382" s="2" t="s">
        <v>77</v>
      </c>
      <c r="L1382" s="2" t="s">
        <v>145</v>
      </c>
      <c r="M1382" s="2" t="s">
        <v>146</v>
      </c>
      <c r="N1382" s="2" t="s">
        <v>709</v>
      </c>
      <c r="O1382" s="2" t="s">
        <v>101</v>
      </c>
      <c r="P1382" s="2" t="str">
        <f>"2170601061                    "</f>
        <v xml:space="preserve">2170601061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6.43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1.5</v>
      </c>
      <c r="BJ1382" s="2">
        <v>1.8</v>
      </c>
      <c r="BK1382" s="2">
        <v>2</v>
      </c>
      <c r="BL1382" s="2">
        <v>45.93</v>
      </c>
      <c r="BM1382" s="2">
        <v>6.43</v>
      </c>
      <c r="BN1382" s="2">
        <v>52.36</v>
      </c>
      <c r="BO1382" s="2">
        <v>52.36</v>
      </c>
      <c r="BQ1382" s="2" t="s">
        <v>102</v>
      </c>
      <c r="BR1382" s="2" t="s">
        <v>103</v>
      </c>
      <c r="BS1382" s="3">
        <v>43081</v>
      </c>
      <c r="BT1382" s="4">
        <v>0.41666666666666669</v>
      </c>
      <c r="BU1382" s="2" t="s">
        <v>1774</v>
      </c>
      <c r="BV1382" s="2" t="s">
        <v>85</v>
      </c>
      <c r="BY1382" s="2">
        <v>9138.08</v>
      </c>
      <c r="CC1382" s="2" t="s">
        <v>146</v>
      </c>
      <c r="CD1382" s="2">
        <v>5201</v>
      </c>
      <c r="CE1382" s="2" t="s">
        <v>95</v>
      </c>
      <c r="CI1382" s="2">
        <v>1</v>
      </c>
      <c r="CJ1382" s="2">
        <v>1</v>
      </c>
      <c r="CK1382" s="2">
        <v>21</v>
      </c>
      <c r="CL1382" s="2" t="s">
        <v>89</v>
      </c>
    </row>
    <row r="1383" spans="1:90">
      <c r="A1383" s="2" t="s">
        <v>71</v>
      </c>
      <c r="B1383" s="2" t="s">
        <v>72</v>
      </c>
      <c r="C1383" s="2" t="s">
        <v>73</v>
      </c>
      <c r="E1383" s="2" t="str">
        <f>"FES1162594785"</f>
        <v>FES1162594785</v>
      </c>
      <c r="F1383" s="3">
        <v>43080</v>
      </c>
      <c r="G1383" s="2">
        <v>201806</v>
      </c>
      <c r="H1383" s="2" t="s">
        <v>74</v>
      </c>
      <c r="I1383" s="2" t="s">
        <v>75</v>
      </c>
      <c r="J1383" s="2" t="s">
        <v>97</v>
      </c>
      <c r="K1383" s="2" t="s">
        <v>77</v>
      </c>
      <c r="L1383" s="2" t="s">
        <v>173</v>
      </c>
      <c r="M1383" s="2" t="s">
        <v>174</v>
      </c>
      <c r="N1383" s="2" t="s">
        <v>1229</v>
      </c>
      <c r="O1383" s="2" t="s">
        <v>101</v>
      </c>
      <c r="P1383" s="2" t="str">
        <f>"2170603576                    "</f>
        <v xml:space="preserve">2170603576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6.43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0.2</v>
      </c>
      <c r="BK1383" s="2">
        <v>1</v>
      </c>
      <c r="BL1383" s="2">
        <v>45.93</v>
      </c>
      <c r="BM1383" s="2">
        <v>6.43</v>
      </c>
      <c r="BN1383" s="2">
        <v>52.36</v>
      </c>
      <c r="BO1383" s="2">
        <v>52.36</v>
      </c>
      <c r="BQ1383" s="2" t="s">
        <v>229</v>
      </c>
      <c r="BR1383" s="2" t="s">
        <v>103</v>
      </c>
      <c r="BS1383" s="3">
        <v>43081</v>
      </c>
      <c r="BT1383" s="4">
        <v>0.35972222222222222</v>
      </c>
      <c r="BU1383" s="2" t="s">
        <v>554</v>
      </c>
      <c r="BV1383" s="2" t="s">
        <v>85</v>
      </c>
      <c r="BY1383" s="2">
        <v>1200</v>
      </c>
      <c r="CA1383" s="2" t="s">
        <v>1389</v>
      </c>
      <c r="CC1383" s="2" t="s">
        <v>174</v>
      </c>
      <c r="CD1383" s="2">
        <v>7460</v>
      </c>
      <c r="CE1383" s="2" t="s">
        <v>120</v>
      </c>
      <c r="CF1383" s="3">
        <v>43082</v>
      </c>
      <c r="CI1383" s="2">
        <v>1</v>
      </c>
      <c r="CJ1383" s="2">
        <v>1</v>
      </c>
      <c r="CK1383" s="2">
        <v>21</v>
      </c>
      <c r="CL1383" s="2" t="s">
        <v>89</v>
      </c>
    </row>
    <row r="1384" spans="1:90">
      <c r="A1384" s="2" t="s">
        <v>71</v>
      </c>
      <c r="B1384" s="2" t="s">
        <v>72</v>
      </c>
      <c r="C1384" s="2" t="s">
        <v>73</v>
      </c>
      <c r="E1384" s="2" t="str">
        <f>"FES1162595071"</f>
        <v>FES1162595071</v>
      </c>
      <c r="F1384" s="3">
        <v>43080</v>
      </c>
      <c r="G1384" s="2">
        <v>201806</v>
      </c>
      <c r="H1384" s="2" t="s">
        <v>74</v>
      </c>
      <c r="I1384" s="2" t="s">
        <v>75</v>
      </c>
      <c r="J1384" s="2" t="s">
        <v>97</v>
      </c>
      <c r="K1384" s="2" t="s">
        <v>77</v>
      </c>
      <c r="L1384" s="2" t="s">
        <v>136</v>
      </c>
      <c r="M1384" s="2" t="s">
        <v>137</v>
      </c>
      <c r="N1384" s="2" t="s">
        <v>138</v>
      </c>
      <c r="O1384" s="2" t="s">
        <v>101</v>
      </c>
      <c r="P1384" s="2" t="str">
        <f>"2170601004                    "</f>
        <v xml:space="preserve">2170601004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40.200000000000003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4.5</v>
      </c>
      <c r="BJ1384" s="2">
        <v>12.2</v>
      </c>
      <c r="BK1384" s="2">
        <v>12.5</v>
      </c>
      <c r="BL1384" s="2">
        <v>286.97000000000003</v>
      </c>
      <c r="BM1384" s="2">
        <v>40.18</v>
      </c>
      <c r="BN1384" s="2">
        <v>327.14999999999998</v>
      </c>
      <c r="BO1384" s="2">
        <v>327.14999999999998</v>
      </c>
      <c r="BQ1384" s="2" t="s">
        <v>82</v>
      </c>
      <c r="BR1384" s="2" t="s">
        <v>103</v>
      </c>
      <c r="BS1384" s="3">
        <v>43081</v>
      </c>
      <c r="BT1384" s="4">
        <v>0.35416666666666669</v>
      </c>
      <c r="BU1384" s="2" t="s">
        <v>139</v>
      </c>
      <c r="BV1384" s="2" t="s">
        <v>85</v>
      </c>
      <c r="BY1384" s="2">
        <v>60809.06</v>
      </c>
      <c r="CA1384" s="2" t="s">
        <v>140</v>
      </c>
      <c r="CC1384" s="2" t="s">
        <v>137</v>
      </c>
      <c r="CD1384" s="2">
        <v>6001</v>
      </c>
      <c r="CE1384" s="2" t="s">
        <v>87</v>
      </c>
      <c r="CF1384" s="3">
        <v>43083</v>
      </c>
      <c r="CI1384" s="2">
        <v>1</v>
      </c>
      <c r="CJ1384" s="2">
        <v>1</v>
      </c>
      <c r="CK1384" s="2">
        <v>21</v>
      </c>
      <c r="CL1384" s="2" t="s">
        <v>89</v>
      </c>
    </row>
    <row r="1385" spans="1:90">
      <c r="A1385" s="2" t="s">
        <v>71</v>
      </c>
      <c r="B1385" s="2" t="s">
        <v>72</v>
      </c>
      <c r="C1385" s="2" t="s">
        <v>73</v>
      </c>
      <c r="E1385" s="2" t="str">
        <f>"FES1162594721"</f>
        <v>FES1162594721</v>
      </c>
      <c r="F1385" s="3">
        <v>43080</v>
      </c>
      <c r="G1385" s="2">
        <v>201806</v>
      </c>
      <c r="H1385" s="2" t="s">
        <v>74</v>
      </c>
      <c r="I1385" s="2" t="s">
        <v>75</v>
      </c>
      <c r="J1385" s="2" t="s">
        <v>97</v>
      </c>
      <c r="K1385" s="2" t="s">
        <v>77</v>
      </c>
      <c r="L1385" s="2" t="s">
        <v>173</v>
      </c>
      <c r="M1385" s="2" t="s">
        <v>174</v>
      </c>
      <c r="N1385" s="2" t="s">
        <v>381</v>
      </c>
      <c r="O1385" s="2" t="s">
        <v>101</v>
      </c>
      <c r="P1385" s="2" t="str">
        <f>"2170606605                    "</f>
        <v xml:space="preserve">2170606605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6.43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45.93</v>
      </c>
      <c r="BM1385" s="2">
        <v>6.43</v>
      </c>
      <c r="BN1385" s="2">
        <v>52.36</v>
      </c>
      <c r="BO1385" s="2">
        <v>52.36</v>
      </c>
      <c r="BQ1385" s="2" t="s">
        <v>1850</v>
      </c>
      <c r="BR1385" s="2" t="s">
        <v>103</v>
      </c>
      <c r="BS1385" s="3">
        <v>43081</v>
      </c>
      <c r="BT1385" s="4">
        <v>0.41666666666666669</v>
      </c>
      <c r="BU1385" s="2" t="s">
        <v>681</v>
      </c>
      <c r="BV1385" s="2" t="s">
        <v>85</v>
      </c>
      <c r="BY1385" s="2">
        <v>1200</v>
      </c>
      <c r="CA1385" s="2" t="s">
        <v>177</v>
      </c>
      <c r="CC1385" s="2" t="s">
        <v>174</v>
      </c>
      <c r="CD1385" s="2">
        <v>7405</v>
      </c>
      <c r="CE1385" s="2" t="s">
        <v>120</v>
      </c>
      <c r="CF1385" s="3">
        <v>43082</v>
      </c>
      <c r="CI1385" s="2">
        <v>1</v>
      </c>
      <c r="CJ1385" s="2">
        <v>1</v>
      </c>
      <c r="CK1385" s="2">
        <v>21</v>
      </c>
      <c r="CL1385" s="2" t="s">
        <v>89</v>
      </c>
    </row>
    <row r="1386" spans="1:90">
      <c r="A1386" s="2" t="s">
        <v>71</v>
      </c>
      <c r="B1386" s="2" t="s">
        <v>72</v>
      </c>
      <c r="C1386" s="2" t="s">
        <v>73</v>
      </c>
      <c r="E1386" s="2" t="str">
        <f>"FES1162595081"</f>
        <v>FES1162595081</v>
      </c>
      <c r="F1386" s="3">
        <v>43080</v>
      </c>
      <c r="G1386" s="2">
        <v>201806</v>
      </c>
      <c r="H1386" s="2" t="s">
        <v>74</v>
      </c>
      <c r="I1386" s="2" t="s">
        <v>75</v>
      </c>
      <c r="J1386" s="2" t="s">
        <v>97</v>
      </c>
      <c r="K1386" s="2" t="s">
        <v>77</v>
      </c>
      <c r="L1386" s="2" t="s">
        <v>136</v>
      </c>
      <c r="M1386" s="2" t="s">
        <v>137</v>
      </c>
      <c r="N1386" s="2" t="s">
        <v>1772</v>
      </c>
      <c r="O1386" s="2" t="s">
        <v>101</v>
      </c>
      <c r="P1386" s="2" t="str">
        <f>"217060141                     "</f>
        <v xml:space="preserve">217060141 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19.3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2.7</v>
      </c>
      <c r="BJ1386" s="2">
        <v>5.9</v>
      </c>
      <c r="BK1386" s="2">
        <v>6</v>
      </c>
      <c r="BL1386" s="2">
        <v>137.76</v>
      </c>
      <c r="BM1386" s="2">
        <v>19.29</v>
      </c>
      <c r="BN1386" s="2">
        <v>157.05000000000001</v>
      </c>
      <c r="BO1386" s="2">
        <v>157.05000000000001</v>
      </c>
      <c r="BQ1386" s="2" t="s">
        <v>82</v>
      </c>
      <c r="BR1386" s="2" t="s">
        <v>103</v>
      </c>
      <c r="BS1386" s="3">
        <v>43081</v>
      </c>
      <c r="BT1386" s="4">
        <v>0.37152777777777773</v>
      </c>
      <c r="BU1386" s="2" t="s">
        <v>1773</v>
      </c>
      <c r="BV1386" s="2" t="s">
        <v>85</v>
      </c>
      <c r="BY1386" s="2">
        <v>29689.01</v>
      </c>
      <c r="CA1386" s="2" t="s">
        <v>180</v>
      </c>
      <c r="CC1386" s="2" t="s">
        <v>137</v>
      </c>
      <c r="CD1386" s="2">
        <v>6001</v>
      </c>
      <c r="CE1386" s="2" t="s">
        <v>95</v>
      </c>
      <c r="CF1386" s="3">
        <v>43083</v>
      </c>
      <c r="CI1386" s="2">
        <v>1</v>
      </c>
      <c r="CJ1386" s="2">
        <v>1</v>
      </c>
      <c r="CK1386" s="2">
        <v>21</v>
      </c>
      <c r="CL1386" s="2" t="s">
        <v>89</v>
      </c>
    </row>
    <row r="1387" spans="1:90">
      <c r="A1387" s="2" t="s">
        <v>71</v>
      </c>
      <c r="B1387" s="2" t="s">
        <v>72</v>
      </c>
      <c r="C1387" s="2" t="s">
        <v>73</v>
      </c>
      <c r="E1387" s="2" t="str">
        <f>"FES1162595083"</f>
        <v>FES1162595083</v>
      </c>
      <c r="F1387" s="3">
        <v>43080</v>
      </c>
      <c r="G1387" s="2">
        <v>201806</v>
      </c>
      <c r="H1387" s="2" t="s">
        <v>74</v>
      </c>
      <c r="I1387" s="2" t="s">
        <v>75</v>
      </c>
      <c r="J1387" s="2" t="s">
        <v>97</v>
      </c>
      <c r="K1387" s="2" t="s">
        <v>77</v>
      </c>
      <c r="L1387" s="2" t="s">
        <v>136</v>
      </c>
      <c r="M1387" s="2" t="s">
        <v>137</v>
      </c>
      <c r="N1387" s="2" t="s">
        <v>138</v>
      </c>
      <c r="O1387" s="2" t="s">
        <v>101</v>
      </c>
      <c r="P1387" s="2" t="str">
        <f>"2170603610                    "</f>
        <v xml:space="preserve">2170603610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35.380000000000003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2</v>
      </c>
      <c r="BI1387" s="2">
        <v>11</v>
      </c>
      <c r="BJ1387" s="2">
        <v>8.6</v>
      </c>
      <c r="BK1387" s="2">
        <v>11</v>
      </c>
      <c r="BL1387" s="2">
        <v>252.54</v>
      </c>
      <c r="BM1387" s="2">
        <v>35.36</v>
      </c>
      <c r="BN1387" s="2">
        <v>287.89999999999998</v>
      </c>
      <c r="BO1387" s="2">
        <v>287.89999999999998</v>
      </c>
      <c r="BQ1387" s="2" t="s">
        <v>82</v>
      </c>
      <c r="BR1387" s="2" t="s">
        <v>103</v>
      </c>
      <c r="BS1387" s="3">
        <v>43081</v>
      </c>
      <c r="BT1387" s="4">
        <v>0.35416666666666669</v>
      </c>
      <c r="BU1387" s="2" t="s">
        <v>139</v>
      </c>
      <c r="BV1387" s="2" t="s">
        <v>85</v>
      </c>
      <c r="BY1387" s="2">
        <v>42895.02</v>
      </c>
      <c r="CA1387" s="2" t="s">
        <v>140</v>
      </c>
      <c r="CC1387" s="2" t="s">
        <v>137</v>
      </c>
      <c r="CD1387" s="2">
        <v>6001</v>
      </c>
      <c r="CE1387" s="2" t="s">
        <v>95</v>
      </c>
      <c r="CF1387" s="3">
        <v>43083</v>
      </c>
      <c r="CI1387" s="2">
        <v>1</v>
      </c>
      <c r="CJ1387" s="2">
        <v>1</v>
      </c>
      <c r="CK1387" s="2">
        <v>21</v>
      </c>
      <c r="CL1387" s="2" t="s">
        <v>89</v>
      </c>
    </row>
    <row r="1388" spans="1:90">
      <c r="A1388" s="2" t="s">
        <v>71</v>
      </c>
      <c r="B1388" s="2" t="s">
        <v>72</v>
      </c>
      <c r="C1388" s="2" t="s">
        <v>73</v>
      </c>
      <c r="E1388" s="2" t="str">
        <f>"FES1162594735"</f>
        <v>FES1162594735</v>
      </c>
      <c r="F1388" s="3">
        <v>43080</v>
      </c>
      <c r="G1388" s="2">
        <v>201806</v>
      </c>
      <c r="H1388" s="2" t="s">
        <v>74</v>
      </c>
      <c r="I1388" s="2" t="s">
        <v>75</v>
      </c>
      <c r="J1388" s="2" t="s">
        <v>97</v>
      </c>
      <c r="K1388" s="2" t="s">
        <v>77</v>
      </c>
      <c r="L1388" s="2" t="s">
        <v>106</v>
      </c>
      <c r="M1388" s="2" t="s">
        <v>107</v>
      </c>
      <c r="N1388" s="2" t="s">
        <v>1785</v>
      </c>
      <c r="O1388" s="2" t="s">
        <v>101</v>
      </c>
      <c r="P1388" s="2" t="str">
        <f>"2170606619                    "</f>
        <v xml:space="preserve">2170606619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5.03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3.9</v>
      </c>
      <c r="BJ1388" s="2">
        <v>2.4</v>
      </c>
      <c r="BK1388" s="2">
        <v>4</v>
      </c>
      <c r="BL1388" s="2">
        <v>35.89</v>
      </c>
      <c r="BM1388" s="2">
        <v>5.0199999999999996</v>
      </c>
      <c r="BN1388" s="2">
        <v>40.909999999999997</v>
      </c>
      <c r="BO1388" s="2">
        <v>40.909999999999997</v>
      </c>
      <c r="BQ1388" s="2" t="s">
        <v>128</v>
      </c>
      <c r="BR1388" s="2" t="s">
        <v>103</v>
      </c>
      <c r="BS1388" s="3">
        <v>43081</v>
      </c>
      <c r="BT1388" s="4">
        <v>0.41319444444444442</v>
      </c>
      <c r="BU1388" s="2" t="s">
        <v>1786</v>
      </c>
      <c r="BV1388" s="2" t="s">
        <v>85</v>
      </c>
      <c r="BY1388" s="2">
        <v>12206.43</v>
      </c>
      <c r="CA1388" s="2" t="s">
        <v>429</v>
      </c>
      <c r="CC1388" s="2" t="s">
        <v>107</v>
      </c>
      <c r="CD1388" s="2">
        <v>2013</v>
      </c>
      <c r="CE1388" s="2" t="s">
        <v>120</v>
      </c>
      <c r="CF1388" s="3">
        <v>43082</v>
      </c>
      <c r="CI1388" s="2">
        <v>1</v>
      </c>
      <c r="CJ1388" s="2">
        <v>1</v>
      </c>
      <c r="CK1388" s="2">
        <v>22</v>
      </c>
      <c r="CL1388" s="2" t="s">
        <v>89</v>
      </c>
    </row>
    <row r="1389" spans="1:90">
      <c r="A1389" s="2" t="s">
        <v>71</v>
      </c>
      <c r="B1389" s="2" t="s">
        <v>72</v>
      </c>
      <c r="C1389" s="2" t="s">
        <v>73</v>
      </c>
      <c r="E1389" s="2" t="str">
        <f>"FES1162594816"</f>
        <v>FES1162594816</v>
      </c>
      <c r="F1389" s="3">
        <v>43080</v>
      </c>
      <c r="G1389" s="2">
        <v>201806</v>
      </c>
      <c r="H1389" s="2" t="s">
        <v>74</v>
      </c>
      <c r="I1389" s="2" t="s">
        <v>75</v>
      </c>
      <c r="J1389" s="2" t="s">
        <v>97</v>
      </c>
      <c r="K1389" s="2" t="s">
        <v>77</v>
      </c>
      <c r="L1389" s="2" t="s">
        <v>106</v>
      </c>
      <c r="M1389" s="2" t="s">
        <v>107</v>
      </c>
      <c r="N1389" s="2" t="s">
        <v>108</v>
      </c>
      <c r="O1389" s="2" t="s">
        <v>101</v>
      </c>
      <c r="P1389" s="2" t="str">
        <f>"2170606706                    "</f>
        <v xml:space="preserve">2170606706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5.03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35.89</v>
      </c>
      <c r="BM1389" s="2">
        <v>5.0199999999999996</v>
      </c>
      <c r="BN1389" s="2">
        <v>40.909999999999997</v>
      </c>
      <c r="BO1389" s="2">
        <v>40.909999999999997</v>
      </c>
      <c r="BQ1389" s="2" t="s">
        <v>82</v>
      </c>
      <c r="BR1389" s="2" t="s">
        <v>103</v>
      </c>
      <c r="BS1389" s="3">
        <v>43081</v>
      </c>
      <c r="BT1389" s="4">
        <v>0.40208333333333335</v>
      </c>
      <c r="BU1389" s="2" t="s">
        <v>369</v>
      </c>
      <c r="BV1389" s="2" t="s">
        <v>85</v>
      </c>
      <c r="BY1389" s="2">
        <v>1200</v>
      </c>
      <c r="CA1389" s="2" t="s">
        <v>110</v>
      </c>
      <c r="CC1389" s="2" t="s">
        <v>107</v>
      </c>
      <c r="CD1389" s="2">
        <v>2094</v>
      </c>
      <c r="CE1389" s="2" t="s">
        <v>120</v>
      </c>
      <c r="CF1389" s="3">
        <v>43082</v>
      </c>
      <c r="CI1389" s="2">
        <v>1</v>
      </c>
      <c r="CJ1389" s="2">
        <v>1</v>
      </c>
      <c r="CK1389" s="2">
        <v>22</v>
      </c>
      <c r="CL1389" s="2" t="s">
        <v>89</v>
      </c>
    </row>
    <row r="1390" spans="1:90">
      <c r="A1390" s="2" t="s">
        <v>71</v>
      </c>
      <c r="B1390" s="2" t="s">
        <v>72</v>
      </c>
      <c r="C1390" s="2" t="s">
        <v>73</v>
      </c>
      <c r="E1390" s="2" t="str">
        <f>"FES1162595068"</f>
        <v>FES1162595068</v>
      </c>
      <c r="F1390" s="3">
        <v>43080</v>
      </c>
      <c r="G1390" s="2">
        <v>201806</v>
      </c>
      <c r="H1390" s="2" t="s">
        <v>74</v>
      </c>
      <c r="I1390" s="2" t="s">
        <v>75</v>
      </c>
      <c r="J1390" s="2" t="s">
        <v>97</v>
      </c>
      <c r="K1390" s="2" t="s">
        <v>77</v>
      </c>
      <c r="L1390" s="2" t="s">
        <v>136</v>
      </c>
      <c r="M1390" s="2" t="s">
        <v>137</v>
      </c>
      <c r="N1390" s="2" t="s">
        <v>138</v>
      </c>
      <c r="O1390" s="2" t="s">
        <v>101</v>
      </c>
      <c r="P1390" s="2" t="str">
        <f>"2170600016                    "</f>
        <v xml:space="preserve">2170600016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6.43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1.3</v>
      </c>
      <c r="BJ1390" s="2">
        <v>1.2</v>
      </c>
      <c r="BK1390" s="2">
        <v>1.5</v>
      </c>
      <c r="BL1390" s="2">
        <v>45.93</v>
      </c>
      <c r="BM1390" s="2">
        <v>6.43</v>
      </c>
      <c r="BN1390" s="2">
        <v>52.36</v>
      </c>
      <c r="BO1390" s="2">
        <v>52.36</v>
      </c>
      <c r="BQ1390" s="2" t="s">
        <v>82</v>
      </c>
      <c r="BR1390" s="2" t="s">
        <v>103</v>
      </c>
      <c r="BS1390" s="3">
        <v>43081</v>
      </c>
      <c r="BT1390" s="4">
        <v>0.35416666666666669</v>
      </c>
      <c r="BU1390" s="2" t="s">
        <v>139</v>
      </c>
      <c r="BV1390" s="2" t="s">
        <v>85</v>
      </c>
      <c r="BY1390" s="2">
        <v>6192.48</v>
      </c>
      <c r="CA1390" s="2" t="s">
        <v>140</v>
      </c>
      <c r="CC1390" s="2" t="s">
        <v>137</v>
      </c>
      <c r="CD1390" s="2">
        <v>6001</v>
      </c>
      <c r="CE1390" s="2" t="s">
        <v>95</v>
      </c>
      <c r="CF1390" s="3">
        <v>43083</v>
      </c>
      <c r="CI1390" s="2">
        <v>1</v>
      </c>
      <c r="CJ1390" s="2">
        <v>1</v>
      </c>
      <c r="CK1390" s="2">
        <v>21</v>
      </c>
      <c r="CL1390" s="2" t="s">
        <v>89</v>
      </c>
    </row>
    <row r="1391" spans="1:90">
      <c r="A1391" s="2" t="s">
        <v>71</v>
      </c>
      <c r="B1391" s="2" t="s">
        <v>72</v>
      </c>
      <c r="C1391" s="2" t="s">
        <v>73</v>
      </c>
      <c r="E1391" s="2" t="str">
        <f>"FES1162595079"</f>
        <v>FES1162595079</v>
      </c>
      <c r="F1391" s="3">
        <v>43080</v>
      </c>
      <c r="G1391" s="2">
        <v>201806</v>
      </c>
      <c r="H1391" s="2" t="s">
        <v>74</v>
      </c>
      <c r="I1391" s="2" t="s">
        <v>75</v>
      </c>
      <c r="J1391" s="2" t="s">
        <v>97</v>
      </c>
      <c r="K1391" s="2" t="s">
        <v>77</v>
      </c>
      <c r="L1391" s="2" t="s">
        <v>111</v>
      </c>
      <c r="M1391" s="2" t="s">
        <v>112</v>
      </c>
      <c r="N1391" s="2" t="s">
        <v>113</v>
      </c>
      <c r="O1391" s="2" t="s">
        <v>101</v>
      </c>
      <c r="P1391" s="2" t="str">
        <f>"2170602607                    "</f>
        <v xml:space="preserve">2170602607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6.43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1.4</v>
      </c>
      <c r="BJ1391" s="2">
        <v>1.3</v>
      </c>
      <c r="BK1391" s="2">
        <v>1.5</v>
      </c>
      <c r="BL1391" s="2">
        <v>45.93</v>
      </c>
      <c r="BM1391" s="2">
        <v>6.43</v>
      </c>
      <c r="BN1391" s="2">
        <v>52.36</v>
      </c>
      <c r="BO1391" s="2">
        <v>52.36</v>
      </c>
      <c r="BQ1391" s="2" t="s">
        <v>82</v>
      </c>
      <c r="BR1391" s="2" t="s">
        <v>103</v>
      </c>
      <c r="BS1391" s="3">
        <v>43081</v>
      </c>
      <c r="BT1391" s="4">
        <v>0.37222222222222223</v>
      </c>
      <c r="BU1391" s="2" t="s">
        <v>114</v>
      </c>
      <c r="BV1391" s="2" t="s">
        <v>85</v>
      </c>
      <c r="BY1391" s="2">
        <v>6368.63</v>
      </c>
      <c r="CC1391" s="2" t="s">
        <v>112</v>
      </c>
      <c r="CD1391" s="2">
        <v>6220</v>
      </c>
      <c r="CE1391" s="2" t="s">
        <v>95</v>
      </c>
      <c r="CF1391" s="3">
        <v>43083</v>
      </c>
      <c r="CI1391" s="2">
        <v>1</v>
      </c>
      <c r="CJ1391" s="2">
        <v>1</v>
      </c>
      <c r="CK1391" s="2">
        <v>21</v>
      </c>
      <c r="CL1391" s="2" t="s">
        <v>89</v>
      </c>
    </row>
    <row r="1392" spans="1:90">
      <c r="A1392" s="2" t="s">
        <v>71</v>
      </c>
      <c r="B1392" s="2" t="s">
        <v>72</v>
      </c>
      <c r="C1392" s="2" t="s">
        <v>73</v>
      </c>
      <c r="E1392" s="2" t="str">
        <f>"FES1162595094"</f>
        <v>FES1162595094</v>
      </c>
      <c r="F1392" s="3">
        <v>43080</v>
      </c>
      <c r="G1392" s="2">
        <v>201806</v>
      </c>
      <c r="H1392" s="2" t="s">
        <v>74</v>
      </c>
      <c r="I1392" s="2" t="s">
        <v>75</v>
      </c>
      <c r="J1392" s="2" t="s">
        <v>97</v>
      </c>
      <c r="K1392" s="2" t="s">
        <v>77</v>
      </c>
      <c r="L1392" s="2" t="s">
        <v>136</v>
      </c>
      <c r="M1392" s="2" t="s">
        <v>137</v>
      </c>
      <c r="N1392" s="2" t="s">
        <v>138</v>
      </c>
      <c r="O1392" s="2" t="s">
        <v>101</v>
      </c>
      <c r="P1392" s="2" t="str">
        <f>"2170597924                    "</f>
        <v xml:space="preserve">2170597924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16.079999999999998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2.6</v>
      </c>
      <c r="BJ1392" s="2">
        <v>4.7</v>
      </c>
      <c r="BK1392" s="2">
        <v>5</v>
      </c>
      <c r="BL1392" s="2">
        <v>114.8</v>
      </c>
      <c r="BM1392" s="2">
        <v>16.07</v>
      </c>
      <c r="BN1392" s="2">
        <v>130.87</v>
      </c>
      <c r="BO1392" s="2">
        <v>130.87</v>
      </c>
      <c r="BQ1392" s="2" t="s">
        <v>82</v>
      </c>
      <c r="BR1392" s="2" t="s">
        <v>103</v>
      </c>
      <c r="BS1392" s="3">
        <v>43081</v>
      </c>
      <c r="BT1392" s="4">
        <v>0.35416666666666669</v>
      </c>
      <c r="BU1392" s="2" t="s">
        <v>139</v>
      </c>
      <c r="BV1392" s="2" t="s">
        <v>85</v>
      </c>
      <c r="BY1392" s="2">
        <v>23711.53</v>
      </c>
      <c r="CA1392" s="2" t="s">
        <v>140</v>
      </c>
      <c r="CC1392" s="2" t="s">
        <v>137</v>
      </c>
      <c r="CD1392" s="2">
        <v>6001</v>
      </c>
      <c r="CE1392" s="2" t="s">
        <v>95</v>
      </c>
      <c r="CF1392" s="3">
        <v>43083</v>
      </c>
      <c r="CI1392" s="2">
        <v>1</v>
      </c>
      <c r="CJ1392" s="2">
        <v>1</v>
      </c>
      <c r="CK1392" s="2">
        <v>21</v>
      </c>
      <c r="CL1392" s="2" t="s">
        <v>89</v>
      </c>
    </row>
    <row r="1393" spans="1:90">
      <c r="A1393" s="2" t="s">
        <v>71</v>
      </c>
      <c r="B1393" s="2" t="s">
        <v>72</v>
      </c>
      <c r="C1393" s="2" t="s">
        <v>73</v>
      </c>
      <c r="E1393" s="2" t="str">
        <f>"FES1162595057"</f>
        <v>FES1162595057</v>
      </c>
      <c r="F1393" s="3">
        <v>43080</v>
      </c>
      <c r="G1393" s="2">
        <v>201806</v>
      </c>
      <c r="H1393" s="2" t="s">
        <v>74</v>
      </c>
      <c r="I1393" s="2" t="s">
        <v>75</v>
      </c>
      <c r="J1393" s="2" t="s">
        <v>97</v>
      </c>
      <c r="K1393" s="2" t="s">
        <v>77</v>
      </c>
      <c r="L1393" s="2" t="s">
        <v>262</v>
      </c>
      <c r="M1393" s="2" t="s">
        <v>263</v>
      </c>
      <c r="N1393" s="2" t="s">
        <v>609</v>
      </c>
      <c r="O1393" s="2" t="s">
        <v>101</v>
      </c>
      <c r="P1393" s="2" t="str">
        <f>"217060725                     "</f>
        <v xml:space="preserve">217060725 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20.9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6.5</v>
      </c>
      <c r="BJ1393" s="2">
        <v>2.5</v>
      </c>
      <c r="BK1393" s="2">
        <v>6.5</v>
      </c>
      <c r="BL1393" s="2">
        <v>149.22999999999999</v>
      </c>
      <c r="BM1393" s="2">
        <v>20.89</v>
      </c>
      <c r="BN1393" s="2">
        <v>170.12</v>
      </c>
      <c r="BO1393" s="2">
        <v>170.12</v>
      </c>
      <c r="BQ1393" s="2" t="s">
        <v>82</v>
      </c>
      <c r="BR1393" s="2" t="s">
        <v>103</v>
      </c>
      <c r="BS1393" s="3">
        <v>43081</v>
      </c>
      <c r="BT1393" s="4">
        <v>0.31527777777777777</v>
      </c>
      <c r="BU1393" s="2" t="s">
        <v>1851</v>
      </c>
      <c r="BV1393" s="2" t="s">
        <v>85</v>
      </c>
      <c r="BY1393" s="2">
        <v>12729.91</v>
      </c>
      <c r="CA1393" s="2" t="s">
        <v>1171</v>
      </c>
      <c r="CC1393" s="2" t="s">
        <v>263</v>
      </c>
      <c r="CD1393" s="2">
        <v>6229</v>
      </c>
      <c r="CE1393" s="2" t="s">
        <v>95</v>
      </c>
      <c r="CF1393" s="3">
        <v>43083</v>
      </c>
      <c r="CI1393" s="2">
        <v>1</v>
      </c>
      <c r="CJ1393" s="2">
        <v>1</v>
      </c>
      <c r="CK1393" s="2">
        <v>21</v>
      </c>
      <c r="CL1393" s="2" t="s">
        <v>89</v>
      </c>
    </row>
    <row r="1394" spans="1:90">
      <c r="A1394" s="2" t="s">
        <v>71</v>
      </c>
      <c r="B1394" s="2" t="s">
        <v>72</v>
      </c>
      <c r="C1394" s="2" t="s">
        <v>73</v>
      </c>
      <c r="E1394" s="2" t="str">
        <f>"FES1162594908"</f>
        <v>FES1162594908</v>
      </c>
      <c r="F1394" s="3">
        <v>43080</v>
      </c>
      <c r="G1394" s="2">
        <v>201806</v>
      </c>
      <c r="H1394" s="2" t="s">
        <v>74</v>
      </c>
      <c r="I1394" s="2" t="s">
        <v>75</v>
      </c>
      <c r="J1394" s="2" t="s">
        <v>97</v>
      </c>
      <c r="K1394" s="2" t="s">
        <v>77</v>
      </c>
      <c r="L1394" s="2" t="s">
        <v>173</v>
      </c>
      <c r="M1394" s="2" t="s">
        <v>174</v>
      </c>
      <c r="N1394" s="2" t="s">
        <v>467</v>
      </c>
      <c r="O1394" s="2" t="s">
        <v>101</v>
      </c>
      <c r="P1394" s="2" t="str">
        <f>"2170606800                    "</f>
        <v xml:space="preserve">2170606800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6.43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45.93</v>
      </c>
      <c r="BM1394" s="2">
        <v>6.43</v>
      </c>
      <c r="BN1394" s="2">
        <v>52.36</v>
      </c>
      <c r="BO1394" s="2">
        <v>52.36</v>
      </c>
      <c r="BQ1394" s="2" t="s">
        <v>102</v>
      </c>
      <c r="BR1394" s="2" t="s">
        <v>103</v>
      </c>
      <c r="BS1394" s="3">
        <v>43081</v>
      </c>
      <c r="BT1394" s="4">
        <v>0.41666666666666669</v>
      </c>
      <c r="BU1394" s="2" t="s">
        <v>1852</v>
      </c>
      <c r="BV1394" s="2" t="s">
        <v>85</v>
      </c>
      <c r="BY1394" s="2">
        <v>1200</v>
      </c>
      <c r="CA1394" s="2" t="s">
        <v>469</v>
      </c>
      <c r="CC1394" s="2" t="s">
        <v>174</v>
      </c>
      <c r="CD1394" s="2">
        <v>7802</v>
      </c>
      <c r="CE1394" s="2" t="s">
        <v>120</v>
      </c>
      <c r="CF1394" s="3">
        <v>43082</v>
      </c>
      <c r="CI1394" s="2">
        <v>1</v>
      </c>
      <c r="CJ1394" s="2">
        <v>1</v>
      </c>
      <c r="CK1394" s="2">
        <v>21</v>
      </c>
      <c r="CL1394" s="2" t="s">
        <v>89</v>
      </c>
    </row>
    <row r="1395" spans="1:90">
      <c r="A1395" s="2" t="s">
        <v>71</v>
      </c>
      <c r="B1395" s="2" t="s">
        <v>72</v>
      </c>
      <c r="C1395" s="2" t="s">
        <v>73</v>
      </c>
      <c r="E1395" s="2" t="str">
        <f>"FES1162594690"</f>
        <v>FES1162594690</v>
      </c>
      <c r="F1395" s="3">
        <v>43080</v>
      </c>
      <c r="G1395" s="2">
        <v>201806</v>
      </c>
      <c r="H1395" s="2" t="s">
        <v>74</v>
      </c>
      <c r="I1395" s="2" t="s">
        <v>75</v>
      </c>
      <c r="J1395" s="2" t="s">
        <v>97</v>
      </c>
      <c r="K1395" s="2" t="s">
        <v>77</v>
      </c>
      <c r="L1395" s="2" t="s">
        <v>173</v>
      </c>
      <c r="M1395" s="2" t="s">
        <v>174</v>
      </c>
      <c r="N1395" s="2" t="s">
        <v>175</v>
      </c>
      <c r="O1395" s="2" t="s">
        <v>101</v>
      </c>
      <c r="P1395" s="2" t="str">
        <f>"2170606558                    "</f>
        <v xml:space="preserve">2170606558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8.0399999999999991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1.4</v>
      </c>
      <c r="BJ1395" s="2">
        <v>2.4</v>
      </c>
      <c r="BK1395" s="2">
        <v>2.5</v>
      </c>
      <c r="BL1395" s="2">
        <v>57.41</v>
      </c>
      <c r="BM1395" s="2">
        <v>8.0399999999999991</v>
      </c>
      <c r="BN1395" s="2">
        <v>65.45</v>
      </c>
      <c r="BO1395" s="2">
        <v>65.45</v>
      </c>
      <c r="BQ1395" s="2" t="s">
        <v>102</v>
      </c>
      <c r="BR1395" s="2" t="s">
        <v>103</v>
      </c>
      <c r="BS1395" s="3">
        <v>43081</v>
      </c>
      <c r="BT1395" s="4">
        <v>0.41666666666666669</v>
      </c>
      <c r="BU1395" s="2" t="s">
        <v>367</v>
      </c>
      <c r="BV1395" s="2" t="s">
        <v>85</v>
      </c>
      <c r="BY1395" s="2">
        <v>11922.37</v>
      </c>
      <c r="CA1395" s="2" t="s">
        <v>177</v>
      </c>
      <c r="CC1395" s="2" t="s">
        <v>174</v>
      </c>
      <c r="CD1395" s="2">
        <v>7405</v>
      </c>
      <c r="CE1395" s="2" t="s">
        <v>120</v>
      </c>
      <c r="CF1395" s="3">
        <v>43082</v>
      </c>
      <c r="CI1395" s="2">
        <v>1</v>
      </c>
      <c r="CJ1395" s="2">
        <v>1</v>
      </c>
      <c r="CK1395" s="2">
        <v>21</v>
      </c>
      <c r="CL1395" s="2" t="s">
        <v>89</v>
      </c>
    </row>
    <row r="1396" spans="1:90">
      <c r="A1396" s="2" t="s">
        <v>71</v>
      </c>
      <c r="B1396" s="2" t="s">
        <v>72</v>
      </c>
      <c r="C1396" s="2" t="s">
        <v>73</v>
      </c>
      <c r="E1396" s="2" t="str">
        <f>"FES11620606811"</f>
        <v>FES11620606811</v>
      </c>
      <c r="F1396" s="3">
        <v>43080</v>
      </c>
      <c r="G1396" s="2">
        <v>201806</v>
      </c>
      <c r="H1396" s="2" t="s">
        <v>74</v>
      </c>
      <c r="I1396" s="2" t="s">
        <v>75</v>
      </c>
      <c r="J1396" s="2" t="s">
        <v>97</v>
      </c>
      <c r="K1396" s="2" t="s">
        <v>77</v>
      </c>
      <c r="L1396" s="2" t="s">
        <v>173</v>
      </c>
      <c r="M1396" s="2" t="s">
        <v>174</v>
      </c>
      <c r="N1396" s="2" t="s">
        <v>1745</v>
      </c>
      <c r="O1396" s="2" t="s">
        <v>101</v>
      </c>
      <c r="P1396" s="2" t="str">
        <f>"2170606811                    "</f>
        <v xml:space="preserve">2170606811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6.43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45.93</v>
      </c>
      <c r="BM1396" s="2">
        <v>6.43</v>
      </c>
      <c r="BN1396" s="2">
        <v>52.36</v>
      </c>
      <c r="BO1396" s="2">
        <v>52.36</v>
      </c>
      <c r="BQ1396" s="2" t="s">
        <v>82</v>
      </c>
      <c r="BR1396" s="2" t="s">
        <v>103</v>
      </c>
      <c r="BS1396" s="2" t="s">
        <v>185</v>
      </c>
      <c r="BY1396" s="2">
        <v>1200</v>
      </c>
      <c r="CC1396" s="2" t="s">
        <v>174</v>
      </c>
      <c r="CD1396" s="2">
        <v>7500</v>
      </c>
      <c r="CE1396" s="2" t="s">
        <v>120</v>
      </c>
      <c r="CI1396" s="2">
        <v>1</v>
      </c>
      <c r="CJ1396" s="2" t="s">
        <v>185</v>
      </c>
      <c r="CK1396" s="2">
        <v>21</v>
      </c>
      <c r="CL1396" s="2" t="s">
        <v>89</v>
      </c>
    </row>
    <row r="1397" spans="1:90">
      <c r="A1397" s="2" t="s">
        <v>71</v>
      </c>
      <c r="B1397" s="2" t="s">
        <v>72</v>
      </c>
      <c r="C1397" s="2" t="s">
        <v>73</v>
      </c>
      <c r="E1397" s="2" t="str">
        <f>"FES1162594784"</f>
        <v>FES1162594784</v>
      </c>
      <c r="F1397" s="3">
        <v>43080</v>
      </c>
      <c r="G1397" s="2">
        <v>201806</v>
      </c>
      <c r="H1397" s="2" t="s">
        <v>74</v>
      </c>
      <c r="I1397" s="2" t="s">
        <v>75</v>
      </c>
      <c r="J1397" s="2" t="s">
        <v>97</v>
      </c>
      <c r="K1397" s="2" t="s">
        <v>77</v>
      </c>
      <c r="L1397" s="2" t="s">
        <v>212</v>
      </c>
      <c r="M1397" s="2" t="s">
        <v>212</v>
      </c>
      <c r="N1397" s="2" t="s">
        <v>213</v>
      </c>
      <c r="O1397" s="2" t="s">
        <v>101</v>
      </c>
      <c r="P1397" s="2" t="str">
        <f>"2170603548                    "</f>
        <v xml:space="preserve">2170603548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6.43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</v>
      </c>
      <c r="BJ1397" s="2">
        <v>0.2</v>
      </c>
      <c r="BK1397" s="2">
        <v>1</v>
      </c>
      <c r="BL1397" s="2">
        <v>45.93</v>
      </c>
      <c r="BM1397" s="2">
        <v>6.43</v>
      </c>
      <c r="BN1397" s="2">
        <v>52.36</v>
      </c>
      <c r="BO1397" s="2">
        <v>52.36</v>
      </c>
      <c r="BQ1397" s="2" t="s">
        <v>102</v>
      </c>
      <c r="BR1397" s="2" t="s">
        <v>103</v>
      </c>
      <c r="BS1397" s="3">
        <v>43081</v>
      </c>
      <c r="BT1397" s="4">
        <v>0.60763888888888895</v>
      </c>
      <c r="BU1397" s="2" t="s">
        <v>554</v>
      </c>
      <c r="BV1397" s="2" t="s">
        <v>89</v>
      </c>
      <c r="BW1397" s="2" t="s">
        <v>313</v>
      </c>
      <c r="BX1397" s="2" t="s">
        <v>368</v>
      </c>
      <c r="BY1397" s="2">
        <v>1200</v>
      </c>
      <c r="CC1397" s="2" t="s">
        <v>212</v>
      </c>
      <c r="CD1397" s="2">
        <v>7646</v>
      </c>
      <c r="CE1397" s="2" t="s">
        <v>120</v>
      </c>
      <c r="CF1397" s="3">
        <v>43082</v>
      </c>
      <c r="CI1397" s="2">
        <v>1</v>
      </c>
      <c r="CJ1397" s="2">
        <v>1</v>
      </c>
      <c r="CK1397" s="2">
        <v>21</v>
      </c>
      <c r="CL1397" s="2" t="s">
        <v>89</v>
      </c>
    </row>
    <row r="1398" spans="1:90">
      <c r="A1398" s="2" t="s">
        <v>71</v>
      </c>
      <c r="B1398" s="2" t="s">
        <v>72</v>
      </c>
      <c r="C1398" s="2" t="s">
        <v>73</v>
      </c>
      <c r="E1398" s="2" t="str">
        <f>"FES1162594791"</f>
        <v>FES1162594791</v>
      </c>
      <c r="F1398" s="3">
        <v>43080</v>
      </c>
      <c r="G1398" s="2">
        <v>201806</v>
      </c>
      <c r="H1398" s="2" t="s">
        <v>74</v>
      </c>
      <c r="I1398" s="2" t="s">
        <v>75</v>
      </c>
      <c r="J1398" s="2" t="s">
        <v>97</v>
      </c>
      <c r="K1398" s="2" t="s">
        <v>77</v>
      </c>
      <c r="L1398" s="2" t="s">
        <v>173</v>
      </c>
      <c r="M1398" s="2" t="s">
        <v>174</v>
      </c>
      <c r="N1398" s="2" t="s">
        <v>1229</v>
      </c>
      <c r="O1398" s="2" t="s">
        <v>101</v>
      </c>
      <c r="P1398" s="2" t="str">
        <f>"2170605035                    "</f>
        <v xml:space="preserve">2170605035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6.43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</v>
      </c>
      <c r="BJ1398" s="2">
        <v>0.2</v>
      </c>
      <c r="BK1398" s="2">
        <v>1</v>
      </c>
      <c r="BL1398" s="2">
        <v>45.93</v>
      </c>
      <c r="BM1398" s="2">
        <v>6.43</v>
      </c>
      <c r="BN1398" s="2">
        <v>52.36</v>
      </c>
      <c r="BO1398" s="2">
        <v>52.36</v>
      </c>
      <c r="BQ1398" s="2" t="s">
        <v>229</v>
      </c>
      <c r="BR1398" s="2" t="s">
        <v>103</v>
      </c>
      <c r="BS1398" s="3">
        <v>43081</v>
      </c>
      <c r="BT1398" s="4">
        <v>0.35972222222222222</v>
      </c>
      <c r="BU1398" s="2" t="s">
        <v>554</v>
      </c>
      <c r="BV1398" s="2" t="s">
        <v>85</v>
      </c>
      <c r="BY1398" s="2">
        <v>1200</v>
      </c>
      <c r="CA1398" s="2" t="s">
        <v>1389</v>
      </c>
      <c r="CC1398" s="2" t="s">
        <v>174</v>
      </c>
      <c r="CD1398" s="2">
        <v>7460</v>
      </c>
      <c r="CE1398" s="2" t="s">
        <v>120</v>
      </c>
      <c r="CF1398" s="3">
        <v>43082</v>
      </c>
      <c r="CI1398" s="2">
        <v>1</v>
      </c>
      <c r="CJ1398" s="2">
        <v>1</v>
      </c>
      <c r="CK1398" s="2">
        <v>21</v>
      </c>
      <c r="CL1398" s="2" t="s">
        <v>89</v>
      </c>
    </row>
    <row r="1399" spans="1:90">
      <c r="A1399" s="2" t="s">
        <v>71</v>
      </c>
      <c r="B1399" s="2" t="s">
        <v>72</v>
      </c>
      <c r="C1399" s="2" t="s">
        <v>73</v>
      </c>
      <c r="E1399" s="2" t="str">
        <f>"FES1162594742"</f>
        <v>FES1162594742</v>
      </c>
      <c r="F1399" s="3">
        <v>43080</v>
      </c>
      <c r="G1399" s="2">
        <v>201806</v>
      </c>
      <c r="H1399" s="2" t="s">
        <v>74</v>
      </c>
      <c r="I1399" s="2" t="s">
        <v>75</v>
      </c>
      <c r="J1399" s="2" t="s">
        <v>97</v>
      </c>
      <c r="K1399" s="2" t="s">
        <v>77</v>
      </c>
      <c r="L1399" s="2" t="s">
        <v>422</v>
      </c>
      <c r="M1399" s="2" t="s">
        <v>423</v>
      </c>
      <c r="N1399" s="2" t="s">
        <v>1853</v>
      </c>
      <c r="O1399" s="2" t="s">
        <v>101</v>
      </c>
      <c r="P1399" s="2" t="str">
        <f>"21706066624                   "</f>
        <v xml:space="preserve">21706066624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5.03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5.3</v>
      </c>
      <c r="BJ1399" s="2">
        <v>7.9</v>
      </c>
      <c r="BK1399" s="2">
        <v>8</v>
      </c>
      <c r="BL1399" s="2">
        <v>35.89</v>
      </c>
      <c r="BM1399" s="2">
        <v>5.0199999999999996</v>
      </c>
      <c r="BN1399" s="2">
        <v>40.909999999999997</v>
      </c>
      <c r="BO1399" s="2">
        <v>40.909999999999997</v>
      </c>
      <c r="BQ1399" s="2" t="s">
        <v>142</v>
      </c>
      <c r="BR1399" s="2" t="s">
        <v>103</v>
      </c>
      <c r="BS1399" s="3">
        <v>43081</v>
      </c>
      <c r="BT1399" s="4">
        <v>0.4375</v>
      </c>
      <c r="BU1399" s="2" t="s">
        <v>1854</v>
      </c>
      <c r="BV1399" s="2" t="s">
        <v>85</v>
      </c>
      <c r="BY1399" s="2">
        <v>39293.14</v>
      </c>
      <c r="CA1399" s="2" t="s">
        <v>693</v>
      </c>
      <c r="CC1399" s="2" t="s">
        <v>423</v>
      </c>
      <c r="CD1399" s="2">
        <v>1540</v>
      </c>
      <c r="CE1399" s="2" t="s">
        <v>87</v>
      </c>
      <c r="CF1399" s="3">
        <v>43083</v>
      </c>
      <c r="CI1399" s="2">
        <v>1</v>
      </c>
      <c r="CJ1399" s="2">
        <v>1</v>
      </c>
      <c r="CK1399" s="2">
        <v>22</v>
      </c>
      <c r="CL1399" s="2" t="s">
        <v>89</v>
      </c>
    </row>
    <row r="1400" spans="1:90">
      <c r="A1400" s="2" t="s">
        <v>71</v>
      </c>
      <c r="B1400" s="2" t="s">
        <v>72</v>
      </c>
      <c r="C1400" s="2" t="s">
        <v>73</v>
      </c>
      <c r="E1400" s="2" t="str">
        <f>"FES1162594979"</f>
        <v>FES1162594979</v>
      </c>
      <c r="F1400" s="3">
        <v>43080</v>
      </c>
      <c r="G1400" s="2">
        <v>201806</v>
      </c>
      <c r="H1400" s="2" t="s">
        <v>74</v>
      </c>
      <c r="I1400" s="2" t="s">
        <v>75</v>
      </c>
      <c r="J1400" s="2" t="s">
        <v>97</v>
      </c>
      <c r="K1400" s="2" t="s">
        <v>77</v>
      </c>
      <c r="L1400" s="2" t="s">
        <v>173</v>
      </c>
      <c r="M1400" s="2" t="s">
        <v>174</v>
      </c>
      <c r="N1400" s="2" t="s">
        <v>1344</v>
      </c>
      <c r="O1400" s="2" t="s">
        <v>101</v>
      </c>
      <c r="P1400" s="2" t="str">
        <f>"2170606875                    "</f>
        <v xml:space="preserve">2170606875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6.43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</v>
      </c>
      <c r="BJ1400" s="2">
        <v>0.2</v>
      </c>
      <c r="BK1400" s="2">
        <v>1</v>
      </c>
      <c r="BL1400" s="2">
        <v>45.93</v>
      </c>
      <c r="BM1400" s="2">
        <v>6.43</v>
      </c>
      <c r="BN1400" s="2">
        <v>52.36</v>
      </c>
      <c r="BO1400" s="2">
        <v>52.36</v>
      </c>
      <c r="BQ1400" s="2" t="s">
        <v>82</v>
      </c>
      <c r="BR1400" s="2" t="s">
        <v>103</v>
      </c>
      <c r="BS1400" s="3">
        <v>43081</v>
      </c>
      <c r="BT1400" s="4">
        <v>0.44791666666666669</v>
      </c>
      <c r="BU1400" s="2" t="s">
        <v>1345</v>
      </c>
      <c r="BV1400" s="2" t="s">
        <v>85</v>
      </c>
      <c r="BY1400" s="2">
        <v>1200</v>
      </c>
      <c r="CC1400" s="2" t="s">
        <v>174</v>
      </c>
      <c r="CD1400" s="2">
        <v>7975</v>
      </c>
      <c r="CE1400" s="2" t="s">
        <v>120</v>
      </c>
      <c r="CF1400" s="3">
        <v>43082</v>
      </c>
      <c r="CI1400" s="2">
        <v>1</v>
      </c>
      <c r="CJ1400" s="2">
        <v>1</v>
      </c>
      <c r="CK1400" s="2">
        <v>21</v>
      </c>
      <c r="CL1400" s="2" t="s">
        <v>89</v>
      </c>
    </row>
    <row r="1401" spans="1:90">
      <c r="A1401" s="2" t="s">
        <v>71</v>
      </c>
      <c r="B1401" s="2" t="s">
        <v>72</v>
      </c>
      <c r="C1401" s="2" t="s">
        <v>73</v>
      </c>
      <c r="E1401" s="2" t="str">
        <f>"FES1162594706"</f>
        <v>FES1162594706</v>
      </c>
      <c r="F1401" s="3">
        <v>43080</v>
      </c>
      <c r="G1401" s="2">
        <v>201806</v>
      </c>
      <c r="H1401" s="2" t="s">
        <v>74</v>
      </c>
      <c r="I1401" s="2" t="s">
        <v>75</v>
      </c>
      <c r="J1401" s="2" t="s">
        <v>97</v>
      </c>
      <c r="K1401" s="2" t="s">
        <v>77</v>
      </c>
      <c r="L1401" s="2" t="s">
        <v>173</v>
      </c>
      <c r="M1401" s="2" t="s">
        <v>174</v>
      </c>
      <c r="N1401" s="2" t="s">
        <v>323</v>
      </c>
      <c r="O1401" s="2" t="s">
        <v>101</v>
      </c>
      <c r="P1401" s="2" t="str">
        <f>"2170606585                    "</f>
        <v xml:space="preserve">2170606585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6.43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</v>
      </c>
      <c r="BJ1401" s="2">
        <v>0.2</v>
      </c>
      <c r="BK1401" s="2">
        <v>1</v>
      </c>
      <c r="BL1401" s="2">
        <v>45.93</v>
      </c>
      <c r="BM1401" s="2">
        <v>6.43</v>
      </c>
      <c r="BN1401" s="2">
        <v>52.36</v>
      </c>
      <c r="BO1401" s="2">
        <v>52.36</v>
      </c>
      <c r="BQ1401" s="2" t="s">
        <v>82</v>
      </c>
      <c r="BR1401" s="2" t="s">
        <v>103</v>
      </c>
      <c r="BS1401" s="3">
        <v>43081</v>
      </c>
      <c r="BT1401" s="4">
        <v>0.41666666666666669</v>
      </c>
      <c r="BU1401" s="2" t="s">
        <v>324</v>
      </c>
      <c r="BV1401" s="2" t="s">
        <v>85</v>
      </c>
      <c r="BY1401" s="2">
        <v>1200</v>
      </c>
      <c r="CA1401" s="2" t="s">
        <v>177</v>
      </c>
      <c r="CC1401" s="2" t="s">
        <v>174</v>
      </c>
      <c r="CD1401" s="2">
        <v>7405</v>
      </c>
      <c r="CE1401" s="2" t="s">
        <v>120</v>
      </c>
      <c r="CF1401" s="3">
        <v>43082</v>
      </c>
      <c r="CI1401" s="2">
        <v>1</v>
      </c>
      <c r="CJ1401" s="2">
        <v>1</v>
      </c>
      <c r="CK1401" s="2">
        <v>21</v>
      </c>
      <c r="CL1401" s="2" t="s">
        <v>89</v>
      </c>
    </row>
    <row r="1402" spans="1:90">
      <c r="A1402" s="2" t="s">
        <v>71</v>
      </c>
      <c r="B1402" s="2" t="s">
        <v>72</v>
      </c>
      <c r="C1402" s="2" t="s">
        <v>73</v>
      </c>
      <c r="E1402" s="2" t="str">
        <f>"FES1162594584"</f>
        <v>FES1162594584</v>
      </c>
      <c r="F1402" s="3">
        <v>43080</v>
      </c>
      <c r="G1402" s="2">
        <v>201806</v>
      </c>
      <c r="H1402" s="2" t="s">
        <v>74</v>
      </c>
      <c r="I1402" s="2" t="s">
        <v>75</v>
      </c>
      <c r="J1402" s="2" t="s">
        <v>97</v>
      </c>
      <c r="K1402" s="2" t="s">
        <v>77</v>
      </c>
      <c r="L1402" s="2" t="s">
        <v>547</v>
      </c>
      <c r="M1402" s="2" t="s">
        <v>548</v>
      </c>
      <c r="N1402" s="2" t="s">
        <v>573</v>
      </c>
      <c r="O1402" s="2" t="s">
        <v>101</v>
      </c>
      <c r="P1402" s="2" t="str">
        <f>"2170603674                    "</f>
        <v xml:space="preserve">2170603674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5.03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</v>
      </c>
      <c r="BJ1402" s="2">
        <v>0.2</v>
      </c>
      <c r="BK1402" s="2">
        <v>1</v>
      </c>
      <c r="BL1402" s="2">
        <v>35.89</v>
      </c>
      <c r="BM1402" s="2">
        <v>5.0199999999999996</v>
      </c>
      <c r="BN1402" s="2">
        <v>40.909999999999997</v>
      </c>
      <c r="BO1402" s="2">
        <v>40.909999999999997</v>
      </c>
      <c r="BQ1402" s="2" t="s">
        <v>102</v>
      </c>
      <c r="BR1402" s="2" t="s">
        <v>103</v>
      </c>
      <c r="BS1402" s="3">
        <v>43082</v>
      </c>
      <c r="BT1402" s="4">
        <v>0.3</v>
      </c>
      <c r="BU1402" s="2" t="s">
        <v>1693</v>
      </c>
      <c r="BV1402" s="2" t="s">
        <v>89</v>
      </c>
      <c r="BW1402" s="2" t="s">
        <v>149</v>
      </c>
      <c r="BX1402" s="2" t="s">
        <v>157</v>
      </c>
      <c r="BY1402" s="2">
        <v>1200</v>
      </c>
      <c r="CA1402" s="2" t="s">
        <v>119</v>
      </c>
      <c r="CC1402" s="2" t="s">
        <v>548</v>
      </c>
      <c r="CD1402" s="2">
        <v>1501</v>
      </c>
      <c r="CE1402" s="2" t="s">
        <v>120</v>
      </c>
      <c r="CF1402" s="3">
        <v>43083</v>
      </c>
      <c r="CI1402" s="2">
        <v>1</v>
      </c>
      <c r="CJ1402" s="2">
        <v>2</v>
      </c>
      <c r="CK1402" s="2">
        <v>22</v>
      </c>
      <c r="CL1402" s="2" t="s">
        <v>89</v>
      </c>
    </row>
    <row r="1403" spans="1:90">
      <c r="A1403" s="2" t="s">
        <v>71</v>
      </c>
      <c r="B1403" s="2" t="s">
        <v>72</v>
      </c>
      <c r="C1403" s="2" t="s">
        <v>73</v>
      </c>
      <c r="E1403" s="2" t="str">
        <f>"FES1162594873"</f>
        <v>FES1162594873</v>
      </c>
      <c r="F1403" s="3">
        <v>43080</v>
      </c>
      <c r="G1403" s="2">
        <v>201806</v>
      </c>
      <c r="H1403" s="2" t="s">
        <v>74</v>
      </c>
      <c r="I1403" s="2" t="s">
        <v>75</v>
      </c>
      <c r="J1403" s="2" t="s">
        <v>97</v>
      </c>
      <c r="K1403" s="2" t="s">
        <v>77</v>
      </c>
      <c r="L1403" s="2" t="s">
        <v>173</v>
      </c>
      <c r="M1403" s="2" t="s">
        <v>174</v>
      </c>
      <c r="N1403" s="2" t="s">
        <v>1839</v>
      </c>
      <c r="O1403" s="2" t="s">
        <v>101</v>
      </c>
      <c r="P1403" s="2" t="str">
        <f>"2170606768                    "</f>
        <v xml:space="preserve">2170606768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6.43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45.93</v>
      </c>
      <c r="BM1403" s="2">
        <v>6.43</v>
      </c>
      <c r="BN1403" s="2">
        <v>52.36</v>
      </c>
      <c r="BO1403" s="2">
        <v>52.36</v>
      </c>
      <c r="BQ1403" s="2" t="s">
        <v>128</v>
      </c>
      <c r="BR1403" s="2" t="s">
        <v>103</v>
      </c>
      <c r="BS1403" s="3">
        <v>43081</v>
      </c>
      <c r="BT1403" s="4">
        <v>0.4236111111111111</v>
      </c>
      <c r="BU1403" s="2" t="s">
        <v>1840</v>
      </c>
      <c r="BV1403" s="2" t="s">
        <v>85</v>
      </c>
      <c r="BY1403" s="2">
        <v>1200</v>
      </c>
      <c r="CA1403" s="2" t="s">
        <v>216</v>
      </c>
      <c r="CC1403" s="2" t="s">
        <v>174</v>
      </c>
      <c r="CD1403" s="2">
        <v>7945</v>
      </c>
      <c r="CE1403" s="2" t="s">
        <v>120</v>
      </c>
      <c r="CF1403" s="3">
        <v>43082</v>
      </c>
      <c r="CI1403" s="2">
        <v>1</v>
      </c>
      <c r="CJ1403" s="2">
        <v>1</v>
      </c>
      <c r="CK1403" s="2">
        <v>21</v>
      </c>
      <c r="CL1403" s="2" t="s">
        <v>89</v>
      </c>
    </row>
    <row r="1404" spans="1:90">
      <c r="A1404" s="2" t="s">
        <v>71</v>
      </c>
      <c r="B1404" s="2" t="s">
        <v>72</v>
      </c>
      <c r="C1404" s="2" t="s">
        <v>73</v>
      </c>
      <c r="E1404" s="2" t="str">
        <f>"FES1162594814"</f>
        <v>FES1162594814</v>
      </c>
      <c r="F1404" s="3">
        <v>43080</v>
      </c>
      <c r="G1404" s="2">
        <v>201806</v>
      </c>
      <c r="H1404" s="2" t="s">
        <v>74</v>
      </c>
      <c r="I1404" s="2" t="s">
        <v>75</v>
      </c>
      <c r="J1404" s="2" t="s">
        <v>97</v>
      </c>
      <c r="K1404" s="2" t="s">
        <v>77</v>
      </c>
      <c r="L1404" s="2" t="s">
        <v>1855</v>
      </c>
      <c r="M1404" s="2" t="s">
        <v>1856</v>
      </c>
      <c r="N1404" s="2" t="s">
        <v>1857</v>
      </c>
      <c r="O1404" s="2" t="s">
        <v>101</v>
      </c>
      <c r="P1404" s="2" t="str">
        <f>"2170606683                    "</f>
        <v xml:space="preserve">2170606683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9.0500000000000007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64.599999999999994</v>
      </c>
      <c r="BM1404" s="2">
        <v>9.0399999999999991</v>
      </c>
      <c r="BN1404" s="2">
        <v>73.64</v>
      </c>
      <c r="BO1404" s="2">
        <v>73.64</v>
      </c>
      <c r="BQ1404" s="2" t="s">
        <v>102</v>
      </c>
      <c r="BR1404" s="2" t="s">
        <v>103</v>
      </c>
      <c r="BS1404" s="3">
        <v>43081</v>
      </c>
      <c r="BT1404" s="4">
        <v>0.52847222222222223</v>
      </c>
      <c r="BU1404" s="2" t="s">
        <v>1858</v>
      </c>
      <c r="BV1404" s="2" t="s">
        <v>89</v>
      </c>
      <c r="BW1404" s="2" t="s">
        <v>156</v>
      </c>
      <c r="BX1404" s="2" t="s">
        <v>157</v>
      </c>
      <c r="BY1404" s="2">
        <v>1200</v>
      </c>
      <c r="CA1404" s="2" t="s">
        <v>389</v>
      </c>
      <c r="CC1404" s="2" t="s">
        <v>1856</v>
      </c>
      <c r="CD1404" s="2">
        <v>1441</v>
      </c>
      <c r="CE1404" s="2" t="s">
        <v>120</v>
      </c>
      <c r="CF1404" s="3">
        <v>43082</v>
      </c>
      <c r="CI1404" s="2">
        <v>1</v>
      </c>
      <c r="CJ1404" s="2">
        <v>1</v>
      </c>
      <c r="CK1404" s="2">
        <v>24</v>
      </c>
      <c r="CL1404" s="2" t="s">
        <v>89</v>
      </c>
    </row>
    <row r="1405" spans="1:90">
      <c r="A1405" s="2" t="s">
        <v>71</v>
      </c>
      <c r="B1405" s="2" t="s">
        <v>72</v>
      </c>
      <c r="C1405" s="2" t="s">
        <v>73</v>
      </c>
      <c r="E1405" s="2" t="str">
        <f>"FES1162594766"</f>
        <v>FES1162594766</v>
      </c>
      <c r="F1405" s="3">
        <v>43080</v>
      </c>
      <c r="G1405" s="2">
        <v>201806</v>
      </c>
      <c r="H1405" s="2" t="s">
        <v>74</v>
      </c>
      <c r="I1405" s="2" t="s">
        <v>75</v>
      </c>
      <c r="J1405" s="2" t="s">
        <v>97</v>
      </c>
      <c r="K1405" s="2" t="s">
        <v>77</v>
      </c>
      <c r="L1405" s="2" t="s">
        <v>158</v>
      </c>
      <c r="M1405" s="2" t="s">
        <v>159</v>
      </c>
      <c r="N1405" s="2" t="s">
        <v>543</v>
      </c>
      <c r="O1405" s="2" t="s">
        <v>101</v>
      </c>
      <c r="P1405" s="2" t="str">
        <f>"2170606668                    "</f>
        <v xml:space="preserve">2170606668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6.43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</v>
      </c>
      <c r="BJ1405" s="2">
        <v>0.2</v>
      </c>
      <c r="BK1405" s="2">
        <v>1</v>
      </c>
      <c r="BL1405" s="2">
        <v>45.93</v>
      </c>
      <c r="BM1405" s="2">
        <v>6.43</v>
      </c>
      <c r="BN1405" s="2">
        <v>52.36</v>
      </c>
      <c r="BO1405" s="2">
        <v>52.36</v>
      </c>
      <c r="BQ1405" s="2" t="s">
        <v>82</v>
      </c>
      <c r="BR1405" s="2" t="s">
        <v>103</v>
      </c>
      <c r="BS1405" s="3">
        <v>43081</v>
      </c>
      <c r="BT1405" s="4">
        <v>0.43611111111111112</v>
      </c>
      <c r="BU1405" s="2" t="s">
        <v>1833</v>
      </c>
      <c r="BV1405" s="2" t="s">
        <v>85</v>
      </c>
      <c r="BY1405" s="2">
        <v>1200</v>
      </c>
      <c r="CA1405" s="2" t="s">
        <v>1177</v>
      </c>
      <c r="CC1405" s="2" t="s">
        <v>159</v>
      </c>
      <c r="CD1405" s="2">
        <v>1</v>
      </c>
      <c r="CE1405" s="2" t="s">
        <v>120</v>
      </c>
      <c r="CF1405" s="3">
        <v>43082</v>
      </c>
      <c r="CI1405" s="2">
        <v>1</v>
      </c>
      <c r="CJ1405" s="2">
        <v>1</v>
      </c>
      <c r="CK1405" s="2">
        <v>21</v>
      </c>
      <c r="CL1405" s="2" t="s">
        <v>89</v>
      </c>
    </row>
    <row r="1406" spans="1:90">
      <c r="A1406" s="2" t="s">
        <v>71</v>
      </c>
      <c r="B1406" s="2" t="s">
        <v>72</v>
      </c>
      <c r="C1406" s="2" t="s">
        <v>73</v>
      </c>
      <c r="E1406" s="2" t="str">
        <f>"FES1162594630"</f>
        <v>FES1162594630</v>
      </c>
      <c r="F1406" s="3">
        <v>43080</v>
      </c>
      <c r="G1406" s="2">
        <v>201806</v>
      </c>
      <c r="H1406" s="2" t="s">
        <v>74</v>
      </c>
      <c r="I1406" s="2" t="s">
        <v>75</v>
      </c>
      <c r="J1406" s="2" t="s">
        <v>97</v>
      </c>
      <c r="K1406" s="2" t="s">
        <v>77</v>
      </c>
      <c r="L1406" s="2" t="s">
        <v>106</v>
      </c>
      <c r="M1406" s="2" t="s">
        <v>107</v>
      </c>
      <c r="N1406" s="2" t="s">
        <v>108</v>
      </c>
      <c r="O1406" s="2" t="s">
        <v>101</v>
      </c>
      <c r="P1406" s="2" t="str">
        <f>"2170606472                    "</f>
        <v xml:space="preserve">2170606472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5.03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1.8</v>
      </c>
      <c r="BJ1406" s="2">
        <v>2.2999999999999998</v>
      </c>
      <c r="BK1406" s="2">
        <v>3</v>
      </c>
      <c r="BL1406" s="2">
        <v>35.89</v>
      </c>
      <c r="BM1406" s="2">
        <v>5.0199999999999996</v>
      </c>
      <c r="BN1406" s="2">
        <v>40.909999999999997</v>
      </c>
      <c r="BO1406" s="2">
        <v>40.909999999999997</v>
      </c>
      <c r="BQ1406" s="2" t="s">
        <v>82</v>
      </c>
      <c r="BR1406" s="2" t="s">
        <v>103</v>
      </c>
      <c r="BS1406" s="3">
        <v>43081</v>
      </c>
      <c r="BT1406" s="4">
        <v>0.40277777777777773</v>
      </c>
      <c r="BU1406" s="2" t="s">
        <v>369</v>
      </c>
      <c r="BV1406" s="2" t="s">
        <v>85</v>
      </c>
      <c r="BY1406" s="2">
        <v>11609.52</v>
      </c>
      <c r="CA1406" s="2" t="s">
        <v>110</v>
      </c>
      <c r="CC1406" s="2" t="s">
        <v>107</v>
      </c>
      <c r="CD1406" s="2">
        <v>2094</v>
      </c>
      <c r="CE1406" s="2" t="s">
        <v>120</v>
      </c>
      <c r="CF1406" s="3">
        <v>43082</v>
      </c>
      <c r="CI1406" s="2">
        <v>1</v>
      </c>
      <c r="CJ1406" s="2">
        <v>1</v>
      </c>
      <c r="CK1406" s="2">
        <v>22</v>
      </c>
      <c r="CL1406" s="2" t="s">
        <v>89</v>
      </c>
    </row>
    <row r="1407" spans="1:90">
      <c r="A1407" s="2" t="s">
        <v>71</v>
      </c>
      <c r="B1407" s="2" t="s">
        <v>72</v>
      </c>
      <c r="C1407" s="2" t="s">
        <v>73</v>
      </c>
      <c r="E1407" s="2" t="str">
        <f>"FES1162594585"</f>
        <v>FES1162594585</v>
      </c>
      <c r="F1407" s="3">
        <v>43080</v>
      </c>
      <c r="G1407" s="2">
        <v>201806</v>
      </c>
      <c r="H1407" s="2" t="s">
        <v>74</v>
      </c>
      <c r="I1407" s="2" t="s">
        <v>75</v>
      </c>
      <c r="J1407" s="2" t="s">
        <v>97</v>
      </c>
      <c r="K1407" s="2" t="s">
        <v>77</v>
      </c>
      <c r="L1407" s="2" t="s">
        <v>547</v>
      </c>
      <c r="M1407" s="2" t="s">
        <v>548</v>
      </c>
      <c r="N1407" s="2" t="s">
        <v>573</v>
      </c>
      <c r="O1407" s="2" t="s">
        <v>101</v>
      </c>
      <c r="P1407" s="2" t="str">
        <f>"2170603677                    "</f>
        <v xml:space="preserve">2170603677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5.03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</v>
      </c>
      <c r="BJ1407" s="2">
        <v>0.2</v>
      </c>
      <c r="BK1407" s="2">
        <v>1</v>
      </c>
      <c r="BL1407" s="2">
        <v>35.89</v>
      </c>
      <c r="BM1407" s="2">
        <v>5.0199999999999996</v>
      </c>
      <c r="BN1407" s="2">
        <v>40.909999999999997</v>
      </c>
      <c r="BO1407" s="2">
        <v>40.909999999999997</v>
      </c>
      <c r="BQ1407" s="2" t="s">
        <v>102</v>
      </c>
      <c r="BR1407" s="2" t="s">
        <v>103</v>
      </c>
      <c r="BS1407" s="3">
        <v>43082</v>
      </c>
      <c r="BT1407" s="4">
        <v>0.31458333333333333</v>
      </c>
      <c r="BU1407" s="2" t="s">
        <v>1693</v>
      </c>
      <c r="BV1407" s="2" t="s">
        <v>89</v>
      </c>
      <c r="BW1407" s="2" t="s">
        <v>149</v>
      </c>
      <c r="BX1407" s="2" t="s">
        <v>157</v>
      </c>
      <c r="BY1407" s="2">
        <v>1200</v>
      </c>
      <c r="CA1407" s="2" t="s">
        <v>119</v>
      </c>
      <c r="CC1407" s="2" t="s">
        <v>548</v>
      </c>
      <c r="CD1407" s="2">
        <v>1501</v>
      </c>
      <c r="CE1407" s="2" t="s">
        <v>120</v>
      </c>
      <c r="CF1407" s="3">
        <v>43083</v>
      </c>
      <c r="CI1407" s="2">
        <v>1</v>
      </c>
      <c r="CJ1407" s="2">
        <v>2</v>
      </c>
      <c r="CK1407" s="2">
        <v>22</v>
      </c>
      <c r="CL1407" s="2" t="s">
        <v>89</v>
      </c>
    </row>
    <row r="1408" spans="1:90">
      <c r="A1408" s="2" t="s">
        <v>71</v>
      </c>
      <c r="B1408" s="2" t="s">
        <v>72</v>
      </c>
      <c r="C1408" s="2" t="s">
        <v>73</v>
      </c>
      <c r="E1408" s="2" t="str">
        <f>"FES1162594910"</f>
        <v>FES1162594910</v>
      </c>
      <c r="F1408" s="3">
        <v>43080</v>
      </c>
      <c r="G1408" s="2">
        <v>201806</v>
      </c>
      <c r="H1408" s="2" t="s">
        <v>74</v>
      </c>
      <c r="I1408" s="2" t="s">
        <v>75</v>
      </c>
      <c r="J1408" s="2" t="s">
        <v>97</v>
      </c>
      <c r="K1408" s="2" t="s">
        <v>77</v>
      </c>
      <c r="L1408" s="2" t="s">
        <v>90</v>
      </c>
      <c r="M1408" s="2" t="s">
        <v>91</v>
      </c>
      <c r="N1408" s="2" t="s">
        <v>241</v>
      </c>
      <c r="O1408" s="2" t="s">
        <v>101</v>
      </c>
      <c r="P1408" s="2" t="str">
        <f>"2170606809                    "</f>
        <v xml:space="preserve">2170606809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5.03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3.9</v>
      </c>
      <c r="BJ1408" s="2">
        <v>2.5</v>
      </c>
      <c r="BK1408" s="2">
        <v>4</v>
      </c>
      <c r="BL1408" s="2">
        <v>35.89</v>
      </c>
      <c r="BM1408" s="2">
        <v>5.0199999999999996</v>
      </c>
      <c r="BN1408" s="2">
        <v>40.909999999999997</v>
      </c>
      <c r="BO1408" s="2">
        <v>40.909999999999997</v>
      </c>
      <c r="BP1408" s="2" t="s">
        <v>1658</v>
      </c>
      <c r="BQ1408" s="2" t="s">
        <v>82</v>
      </c>
      <c r="BR1408" s="2" t="s">
        <v>103</v>
      </c>
      <c r="BS1408" s="3">
        <v>43081</v>
      </c>
      <c r="BT1408" s="4">
        <v>0.41666666666666669</v>
      </c>
      <c r="BU1408" s="2" t="s">
        <v>242</v>
      </c>
      <c r="BV1408" s="2" t="s">
        <v>85</v>
      </c>
      <c r="BY1408" s="2">
        <v>12454.5</v>
      </c>
      <c r="CA1408" s="2" t="s">
        <v>347</v>
      </c>
      <c r="CC1408" s="2" t="s">
        <v>91</v>
      </c>
      <c r="CD1408" s="2">
        <v>1559</v>
      </c>
      <c r="CE1408" s="2" t="s">
        <v>87</v>
      </c>
      <c r="CF1408" s="3">
        <v>43082</v>
      </c>
      <c r="CI1408" s="2">
        <v>1</v>
      </c>
      <c r="CJ1408" s="2">
        <v>1</v>
      </c>
      <c r="CK1408" s="2">
        <v>22</v>
      </c>
      <c r="CL1408" s="2" t="s">
        <v>89</v>
      </c>
    </row>
    <row r="1409" spans="1:90">
      <c r="A1409" s="2" t="s">
        <v>71</v>
      </c>
      <c r="B1409" s="2" t="s">
        <v>72</v>
      </c>
      <c r="C1409" s="2" t="s">
        <v>73</v>
      </c>
      <c r="E1409" s="2" t="str">
        <f>"FES1162594725"</f>
        <v>FES1162594725</v>
      </c>
      <c r="F1409" s="3">
        <v>43080</v>
      </c>
      <c r="G1409" s="2">
        <v>201806</v>
      </c>
      <c r="H1409" s="2" t="s">
        <v>74</v>
      </c>
      <c r="I1409" s="2" t="s">
        <v>75</v>
      </c>
      <c r="J1409" s="2" t="s">
        <v>97</v>
      </c>
      <c r="K1409" s="2" t="s">
        <v>77</v>
      </c>
      <c r="L1409" s="2" t="s">
        <v>883</v>
      </c>
      <c r="M1409" s="2" t="s">
        <v>884</v>
      </c>
      <c r="N1409" s="2" t="s">
        <v>885</v>
      </c>
      <c r="O1409" s="2" t="s">
        <v>101</v>
      </c>
      <c r="P1409" s="2" t="str">
        <f>"2170606610                    "</f>
        <v xml:space="preserve">2170606610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12.87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3.7</v>
      </c>
      <c r="BJ1409" s="2">
        <v>1.4</v>
      </c>
      <c r="BK1409" s="2">
        <v>4</v>
      </c>
      <c r="BL1409" s="2">
        <v>91.85</v>
      </c>
      <c r="BM1409" s="2">
        <v>12.86</v>
      </c>
      <c r="BN1409" s="2">
        <v>104.71</v>
      </c>
      <c r="BO1409" s="2">
        <v>104.71</v>
      </c>
      <c r="BQ1409" s="2" t="s">
        <v>886</v>
      </c>
      <c r="BR1409" s="2" t="s">
        <v>103</v>
      </c>
      <c r="BS1409" s="3">
        <v>43081</v>
      </c>
      <c r="BT1409" s="4">
        <v>0.41666666666666669</v>
      </c>
      <c r="BU1409" s="2" t="s">
        <v>200</v>
      </c>
      <c r="BV1409" s="2" t="s">
        <v>85</v>
      </c>
      <c r="BY1409" s="2">
        <v>6853.73</v>
      </c>
      <c r="CA1409" s="2" t="s">
        <v>887</v>
      </c>
      <c r="CC1409" s="2" t="s">
        <v>884</v>
      </c>
      <c r="CD1409" s="2">
        <v>7599</v>
      </c>
      <c r="CE1409" s="2" t="s">
        <v>95</v>
      </c>
      <c r="CF1409" s="3">
        <v>43082</v>
      </c>
      <c r="CI1409" s="2">
        <v>1</v>
      </c>
      <c r="CJ1409" s="2">
        <v>1</v>
      </c>
      <c r="CK1409" s="2">
        <v>21</v>
      </c>
      <c r="CL1409" s="2" t="s">
        <v>89</v>
      </c>
    </row>
    <row r="1410" spans="1:90">
      <c r="A1410" s="2" t="s">
        <v>71</v>
      </c>
      <c r="B1410" s="2" t="s">
        <v>72</v>
      </c>
      <c r="C1410" s="2" t="s">
        <v>73</v>
      </c>
      <c r="E1410" s="2" t="str">
        <f>"FES1162594820"</f>
        <v>FES1162594820</v>
      </c>
      <c r="F1410" s="3">
        <v>43080</v>
      </c>
      <c r="G1410" s="2">
        <v>201806</v>
      </c>
      <c r="H1410" s="2" t="s">
        <v>74</v>
      </c>
      <c r="I1410" s="2" t="s">
        <v>75</v>
      </c>
      <c r="J1410" s="2" t="s">
        <v>97</v>
      </c>
      <c r="K1410" s="2" t="s">
        <v>77</v>
      </c>
      <c r="L1410" s="2" t="s">
        <v>173</v>
      </c>
      <c r="M1410" s="2" t="s">
        <v>174</v>
      </c>
      <c r="N1410" s="2" t="s">
        <v>243</v>
      </c>
      <c r="O1410" s="2" t="s">
        <v>101</v>
      </c>
      <c r="P1410" s="2" t="str">
        <f>"2170606711                    "</f>
        <v xml:space="preserve">2170606711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16.079999999999998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4.7</v>
      </c>
      <c r="BJ1410" s="2">
        <v>0.7</v>
      </c>
      <c r="BK1410" s="2">
        <v>5</v>
      </c>
      <c r="BL1410" s="2">
        <v>114.8</v>
      </c>
      <c r="BM1410" s="2">
        <v>16.07</v>
      </c>
      <c r="BN1410" s="2">
        <v>130.87</v>
      </c>
      <c r="BO1410" s="2">
        <v>130.87</v>
      </c>
      <c r="BQ1410" s="2" t="s">
        <v>244</v>
      </c>
      <c r="BR1410" s="2" t="s">
        <v>103</v>
      </c>
      <c r="BS1410" s="3">
        <v>43081</v>
      </c>
      <c r="BT1410" s="4">
        <v>0.44791666666666669</v>
      </c>
      <c r="BU1410" s="2" t="s">
        <v>1859</v>
      </c>
      <c r="BV1410" s="2" t="s">
        <v>85</v>
      </c>
      <c r="BY1410" s="2">
        <v>3710.89</v>
      </c>
      <c r="CA1410" s="2" t="s">
        <v>247</v>
      </c>
      <c r="CC1410" s="2" t="s">
        <v>174</v>
      </c>
      <c r="CD1410" s="2">
        <v>7530</v>
      </c>
      <c r="CE1410" s="2" t="s">
        <v>95</v>
      </c>
      <c r="CF1410" s="3">
        <v>43082</v>
      </c>
      <c r="CI1410" s="2">
        <v>1</v>
      </c>
      <c r="CJ1410" s="2">
        <v>1</v>
      </c>
      <c r="CK1410" s="2">
        <v>21</v>
      </c>
      <c r="CL1410" s="2" t="s">
        <v>89</v>
      </c>
    </row>
    <row r="1411" spans="1:90">
      <c r="A1411" s="2" t="s">
        <v>71</v>
      </c>
      <c r="B1411" s="2" t="s">
        <v>72</v>
      </c>
      <c r="C1411" s="2" t="s">
        <v>73</v>
      </c>
      <c r="E1411" s="2" t="str">
        <f>"FES1162594707"</f>
        <v>FES1162594707</v>
      </c>
      <c r="F1411" s="3">
        <v>43080</v>
      </c>
      <c r="G1411" s="2">
        <v>201806</v>
      </c>
      <c r="H1411" s="2" t="s">
        <v>74</v>
      </c>
      <c r="I1411" s="2" t="s">
        <v>75</v>
      </c>
      <c r="J1411" s="2" t="s">
        <v>97</v>
      </c>
      <c r="K1411" s="2" t="s">
        <v>77</v>
      </c>
      <c r="L1411" s="2" t="s">
        <v>173</v>
      </c>
      <c r="M1411" s="2" t="s">
        <v>174</v>
      </c>
      <c r="N1411" s="2" t="s">
        <v>323</v>
      </c>
      <c r="O1411" s="2" t="s">
        <v>101</v>
      </c>
      <c r="P1411" s="2" t="str">
        <f>"2170606586                    "</f>
        <v xml:space="preserve">2170606586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6.43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1</v>
      </c>
      <c r="BJ1411" s="2">
        <v>0.2</v>
      </c>
      <c r="BK1411" s="2">
        <v>1</v>
      </c>
      <c r="BL1411" s="2">
        <v>45.93</v>
      </c>
      <c r="BM1411" s="2">
        <v>6.43</v>
      </c>
      <c r="BN1411" s="2">
        <v>52.36</v>
      </c>
      <c r="BO1411" s="2">
        <v>52.36</v>
      </c>
      <c r="BQ1411" s="2" t="s">
        <v>82</v>
      </c>
      <c r="BR1411" s="2" t="s">
        <v>103</v>
      </c>
      <c r="BS1411" s="3">
        <v>43081</v>
      </c>
      <c r="BT1411" s="4">
        <v>0.41666666666666669</v>
      </c>
      <c r="BU1411" s="2" t="s">
        <v>324</v>
      </c>
      <c r="BV1411" s="2" t="s">
        <v>85</v>
      </c>
      <c r="BY1411" s="2">
        <v>1200</v>
      </c>
      <c r="CA1411" s="2" t="s">
        <v>177</v>
      </c>
      <c r="CC1411" s="2" t="s">
        <v>174</v>
      </c>
      <c r="CD1411" s="2">
        <v>7405</v>
      </c>
      <c r="CE1411" s="2" t="s">
        <v>120</v>
      </c>
      <c r="CF1411" s="3">
        <v>43082</v>
      </c>
      <c r="CI1411" s="2">
        <v>1</v>
      </c>
      <c r="CJ1411" s="2">
        <v>1</v>
      </c>
      <c r="CK1411" s="2">
        <v>21</v>
      </c>
      <c r="CL1411" s="2" t="s">
        <v>89</v>
      </c>
    </row>
    <row r="1412" spans="1:90">
      <c r="A1412" s="2" t="s">
        <v>71</v>
      </c>
      <c r="B1412" s="2" t="s">
        <v>72</v>
      </c>
      <c r="C1412" s="2" t="s">
        <v>73</v>
      </c>
      <c r="E1412" s="2" t="str">
        <f>"FES1162594904"</f>
        <v>FES1162594904</v>
      </c>
      <c r="F1412" s="3">
        <v>43080</v>
      </c>
      <c r="G1412" s="2">
        <v>201806</v>
      </c>
      <c r="H1412" s="2" t="s">
        <v>74</v>
      </c>
      <c r="I1412" s="2" t="s">
        <v>75</v>
      </c>
      <c r="J1412" s="2" t="s">
        <v>97</v>
      </c>
      <c r="K1412" s="2" t="s">
        <v>77</v>
      </c>
      <c r="L1412" s="2" t="s">
        <v>136</v>
      </c>
      <c r="M1412" s="2" t="s">
        <v>137</v>
      </c>
      <c r="N1412" s="2" t="s">
        <v>1161</v>
      </c>
      <c r="O1412" s="2" t="s">
        <v>101</v>
      </c>
      <c r="P1412" s="2" t="str">
        <f>"2170606805                    "</f>
        <v xml:space="preserve">2170606805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6.43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</v>
      </c>
      <c r="BJ1412" s="2">
        <v>0.2</v>
      </c>
      <c r="BK1412" s="2">
        <v>1</v>
      </c>
      <c r="BL1412" s="2">
        <v>45.93</v>
      </c>
      <c r="BM1412" s="2">
        <v>6.43</v>
      </c>
      <c r="BN1412" s="2">
        <v>52.36</v>
      </c>
      <c r="BO1412" s="2">
        <v>52.36</v>
      </c>
      <c r="BQ1412" s="2" t="s">
        <v>102</v>
      </c>
      <c r="BR1412" s="2" t="s">
        <v>103</v>
      </c>
      <c r="BS1412" s="3">
        <v>43081</v>
      </c>
      <c r="BT1412" s="4">
        <v>0.35416666666666669</v>
      </c>
      <c r="BU1412" s="2" t="s">
        <v>1860</v>
      </c>
      <c r="BV1412" s="2" t="s">
        <v>85</v>
      </c>
      <c r="BY1412" s="2">
        <v>1200</v>
      </c>
      <c r="CA1412" s="2" t="s">
        <v>180</v>
      </c>
      <c r="CC1412" s="2" t="s">
        <v>137</v>
      </c>
      <c r="CD1412" s="2">
        <v>6014</v>
      </c>
      <c r="CE1412" s="2" t="s">
        <v>120</v>
      </c>
      <c r="CF1412" s="3">
        <v>43083</v>
      </c>
      <c r="CI1412" s="2">
        <v>1</v>
      </c>
      <c r="CJ1412" s="2">
        <v>1</v>
      </c>
      <c r="CK1412" s="2">
        <v>21</v>
      </c>
      <c r="CL1412" s="2" t="s">
        <v>89</v>
      </c>
    </row>
    <row r="1413" spans="1:90">
      <c r="A1413" s="2" t="s">
        <v>71</v>
      </c>
      <c r="B1413" s="2" t="s">
        <v>72</v>
      </c>
      <c r="C1413" s="2" t="s">
        <v>73</v>
      </c>
      <c r="E1413" s="2" t="str">
        <f>"FES1162595199"</f>
        <v>FES1162595199</v>
      </c>
      <c r="F1413" s="3">
        <v>43080</v>
      </c>
      <c r="G1413" s="2">
        <v>201806</v>
      </c>
      <c r="H1413" s="2" t="s">
        <v>74</v>
      </c>
      <c r="I1413" s="2" t="s">
        <v>75</v>
      </c>
      <c r="J1413" s="2" t="s">
        <v>97</v>
      </c>
      <c r="K1413" s="2" t="s">
        <v>77</v>
      </c>
      <c r="L1413" s="2" t="s">
        <v>136</v>
      </c>
      <c r="M1413" s="2" t="s">
        <v>137</v>
      </c>
      <c r="N1413" s="2" t="s">
        <v>1652</v>
      </c>
      <c r="O1413" s="2" t="s">
        <v>81</v>
      </c>
      <c r="P1413" s="2" t="str">
        <f>"2170607096                    "</f>
        <v xml:space="preserve">2170607096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27.83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2</v>
      </c>
      <c r="BI1413" s="2">
        <v>41</v>
      </c>
      <c r="BJ1413" s="2">
        <v>27.2</v>
      </c>
      <c r="BK1413" s="2">
        <v>41</v>
      </c>
      <c r="BL1413" s="2">
        <v>203.65</v>
      </c>
      <c r="BM1413" s="2">
        <v>28.51</v>
      </c>
      <c r="BN1413" s="2">
        <v>232.16</v>
      </c>
      <c r="BO1413" s="2">
        <v>232.16</v>
      </c>
      <c r="BQ1413" s="2" t="s">
        <v>102</v>
      </c>
      <c r="BR1413" s="2" t="s">
        <v>103</v>
      </c>
      <c r="BS1413" s="3">
        <v>43082</v>
      </c>
      <c r="BT1413" s="4">
        <v>0.32291666666666669</v>
      </c>
      <c r="BU1413" s="2" t="s">
        <v>586</v>
      </c>
      <c r="BV1413" s="2" t="s">
        <v>85</v>
      </c>
      <c r="BY1413" s="2">
        <v>135836.81</v>
      </c>
      <c r="CA1413" s="2" t="s">
        <v>180</v>
      </c>
      <c r="CC1413" s="2" t="s">
        <v>137</v>
      </c>
      <c r="CD1413" s="2">
        <v>6001</v>
      </c>
      <c r="CE1413" s="2" t="s">
        <v>95</v>
      </c>
      <c r="CF1413" s="3">
        <v>43084</v>
      </c>
      <c r="CI1413" s="2">
        <v>2</v>
      </c>
      <c r="CJ1413" s="2">
        <v>2</v>
      </c>
      <c r="CK1413" s="2" t="s">
        <v>271</v>
      </c>
      <c r="CL1413" s="2" t="s">
        <v>89</v>
      </c>
    </row>
    <row r="1414" spans="1:90">
      <c r="A1414" s="2" t="s">
        <v>71</v>
      </c>
      <c r="B1414" s="2" t="s">
        <v>72</v>
      </c>
      <c r="C1414" s="2" t="s">
        <v>73</v>
      </c>
      <c r="E1414" s="2" t="str">
        <f>"FES1162595140"</f>
        <v>FES1162595140</v>
      </c>
      <c r="F1414" s="3">
        <v>43080</v>
      </c>
      <c r="G1414" s="2">
        <v>201806</v>
      </c>
      <c r="H1414" s="2" t="s">
        <v>74</v>
      </c>
      <c r="I1414" s="2" t="s">
        <v>75</v>
      </c>
      <c r="J1414" s="2" t="s">
        <v>97</v>
      </c>
      <c r="K1414" s="2" t="s">
        <v>77</v>
      </c>
      <c r="L1414" s="2" t="s">
        <v>136</v>
      </c>
      <c r="M1414" s="2" t="s">
        <v>137</v>
      </c>
      <c r="N1414" s="2" t="s">
        <v>1861</v>
      </c>
      <c r="O1414" s="2" t="s">
        <v>81</v>
      </c>
      <c r="P1414" s="2" t="str">
        <f>"2170607045                    "</f>
        <v xml:space="preserve">2170607045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18.809999999999999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24.4</v>
      </c>
      <c r="BJ1414" s="2">
        <v>19.2</v>
      </c>
      <c r="BK1414" s="2">
        <v>25</v>
      </c>
      <c r="BL1414" s="2">
        <v>139.27000000000001</v>
      </c>
      <c r="BM1414" s="2">
        <v>19.5</v>
      </c>
      <c r="BN1414" s="2">
        <v>158.77000000000001</v>
      </c>
      <c r="BO1414" s="2">
        <v>158.77000000000001</v>
      </c>
      <c r="BQ1414" s="2" t="s">
        <v>1862</v>
      </c>
      <c r="BR1414" s="2" t="s">
        <v>103</v>
      </c>
      <c r="BS1414" s="3">
        <v>43082</v>
      </c>
      <c r="BT1414" s="4">
        <v>0.40625</v>
      </c>
      <c r="BU1414" s="2" t="s">
        <v>1863</v>
      </c>
      <c r="BV1414" s="2" t="s">
        <v>85</v>
      </c>
      <c r="BY1414" s="2">
        <v>95979.22</v>
      </c>
      <c r="CA1414" s="2" t="s">
        <v>180</v>
      </c>
      <c r="CC1414" s="2" t="s">
        <v>137</v>
      </c>
      <c r="CD1414" s="2">
        <v>6001</v>
      </c>
      <c r="CE1414" s="2" t="s">
        <v>95</v>
      </c>
      <c r="CF1414" s="3">
        <v>43084</v>
      </c>
      <c r="CI1414" s="2">
        <v>2</v>
      </c>
      <c r="CJ1414" s="2">
        <v>2</v>
      </c>
      <c r="CK1414" s="2" t="s">
        <v>271</v>
      </c>
      <c r="CL1414" s="2" t="s">
        <v>89</v>
      </c>
    </row>
    <row r="1415" spans="1:90">
      <c r="A1415" s="2" t="s">
        <v>71</v>
      </c>
      <c r="B1415" s="2" t="s">
        <v>72</v>
      </c>
      <c r="C1415" s="2" t="s">
        <v>73</v>
      </c>
      <c r="E1415" s="2" t="str">
        <f>"FES1162594776"</f>
        <v>FES1162594776</v>
      </c>
      <c r="F1415" s="3">
        <v>43080</v>
      </c>
      <c r="G1415" s="2">
        <v>201806</v>
      </c>
      <c r="H1415" s="2" t="s">
        <v>74</v>
      </c>
      <c r="I1415" s="2" t="s">
        <v>75</v>
      </c>
      <c r="J1415" s="2" t="s">
        <v>97</v>
      </c>
      <c r="K1415" s="2" t="s">
        <v>77</v>
      </c>
      <c r="L1415" s="2" t="s">
        <v>74</v>
      </c>
      <c r="M1415" s="2" t="s">
        <v>75</v>
      </c>
      <c r="N1415" s="2" t="s">
        <v>1864</v>
      </c>
      <c r="O1415" s="2" t="s">
        <v>81</v>
      </c>
      <c r="P1415" s="2" t="str">
        <f>"2170599317                    "</f>
        <v xml:space="preserve">2170599317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15.11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19.2</v>
      </c>
      <c r="BJ1415" s="2">
        <v>34.9</v>
      </c>
      <c r="BK1415" s="2">
        <v>35</v>
      </c>
      <c r="BL1415" s="2">
        <v>112.86</v>
      </c>
      <c r="BM1415" s="2">
        <v>15.8</v>
      </c>
      <c r="BN1415" s="2">
        <v>128.66</v>
      </c>
      <c r="BO1415" s="2">
        <v>128.66</v>
      </c>
      <c r="BQ1415" s="2" t="s">
        <v>102</v>
      </c>
      <c r="BR1415" s="2" t="s">
        <v>103</v>
      </c>
      <c r="BS1415" s="3">
        <v>43081</v>
      </c>
      <c r="BT1415" s="4">
        <v>0.46597222222222223</v>
      </c>
      <c r="BU1415" s="2" t="s">
        <v>114</v>
      </c>
      <c r="BV1415" s="2" t="s">
        <v>85</v>
      </c>
      <c r="BY1415" s="2">
        <v>174290</v>
      </c>
      <c r="CC1415" s="2" t="s">
        <v>75</v>
      </c>
      <c r="CD1415" s="2">
        <v>1666</v>
      </c>
      <c r="CE1415" s="2" t="s">
        <v>95</v>
      </c>
      <c r="CF1415" s="3">
        <v>43082</v>
      </c>
      <c r="CI1415" s="2">
        <v>1</v>
      </c>
      <c r="CJ1415" s="2">
        <v>1</v>
      </c>
      <c r="CK1415" s="2" t="s">
        <v>96</v>
      </c>
      <c r="CL1415" s="2" t="s">
        <v>89</v>
      </c>
    </row>
    <row r="1416" spans="1:90">
      <c r="A1416" s="2" t="s">
        <v>71</v>
      </c>
      <c r="B1416" s="2" t="s">
        <v>72</v>
      </c>
      <c r="C1416" s="2" t="s">
        <v>73</v>
      </c>
      <c r="E1416" s="2" t="str">
        <f>"FES1162594669"</f>
        <v>FES1162594669</v>
      </c>
      <c r="F1416" s="3">
        <v>43080</v>
      </c>
      <c r="G1416" s="2">
        <v>201806</v>
      </c>
      <c r="H1416" s="2" t="s">
        <v>74</v>
      </c>
      <c r="I1416" s="2" t="s">
        <v>75</v>
      </c>
      <c r="J1416" s="2" t="s">
        <v>97</v>
      </c>
      <c r="K1416" s="2" t="s">
        <v>77</v>
      </c>
      <c r="L1416" s="2" t="s">
        <v>136</v>
      </c>
      <c r="M1416" s="2" t="s">
        <v>137</v>
      </c>
      <c r="N1416" s="2" t="s">
        <v>1026</v>
      </c>
      <c r="O1416" s="2" t="s">
        <v>81</v>
      </c>
      <c r="P1416" s="2" t="str">
        <f>"2170606524                    "</f>
        <v xml:space="preserve">2170606524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17.12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21.5</v>
      </c>
      <c r="BJ1416" s="2">
        <v>9.1</v>
      </c>
      <c r="BK1416" s="2">
        <v>22</v>
      </c>
      <c r="BL1416" s="2">
        <v>127.2</v>
      </c>
      <c r="BM1416" s="2">
        <v>17.809999999999999</v>
      </c>
      <c r="BN1416" s="2">
        <v>145.01</v>
      </c>
      <c r="BO1416" s="2">
        <v>145.01</v>
      </c>
      <c r="BQ1416" s="2" t="s">
        <v>102</v>
      </c>
      <c r="BR1416" s="2" t="s">
        <v>103</v>
      </c>
      <c r="BS1416" s="3">
        <v>43082</v>
      </c>
      <c r="BT1416" s="4">
        <v>0.375</v>
      </c>
      <c r="BU1416" s="2" t="s">
        <v>1865</v>
      </c>
      <c r="BV1416" s="2" t="s">
        <v>85</v>
      </c>
      <c r="BY1416" s="2">
        <v>45623.09</v>
      </c>
      <c r="CC1416" s="2" t="s">
        <v>137</v>
      </c>
      <c r="CD1416" s="2">
        <v>6001</v>
      </c>
      <c r="CE1416" s="2" t="s">
        <v>87</v>
      </c>
      <c r="CF1416" s="3">
        <v>43084</v>
      </c>
      <c r="CI1416" s="2">
        <v>2</v>
      </c>
      <c r="CJ1416" s="2">
        <v>2</v>
      </c>
      <c r="CK1416" s="2" t="s">
        <v>271</v>
      </c>
      <c r="CL1416" s="2" t="s">
        <v>89</v>
      </c>
    </row>
    <row r="1417" spans="1:90">
      <c r="A1417" s="2" t="s">
        <v>71</v>
      </c>
      <c r="B1417" s="2" t="s">
        <v>72</v>
      </c>
      <c r="C1417" s="2" t="s">
        <v>73</v>
      </c>
      <c r="E1417" s="2" t="str">
        <f>"FES1162593997"</f>
        <v>FES1162593997</v>
      </c>
      <c r="F1417" s="3">
        <v>43074</v>
      </c>
      <c r="G1417" s="2">
        <v>201806</v>
      </c>
      <c r="H1417" s="2" t="s">
        <v>74</v>
      </c>
      <c r="I1417" s="2" t="s">
        <v>75</v>
      </c>
      <c r="J1417" s="2" t="s">
        <v>97</v>
      </c>
      <c r="K1417" s="2" t="s">
        <v>77</v>
      </c>
      <c r="L1417" s="2" t="s">
        <v>162</v>
      </c>
      <c r="M1417" s="2" t="s">
        <v>163</v>
      </c>
      <c r="N1417" s="2" t="s">
        <v>1515</v>
      </c>
      <c r="O1417" s="2" t="s">
        <v>81</v>
      </c>
      <c r="P1417" s="2" t="str">
        <f>"2170602838                    "</f>
        <v xml:space="preserve">2170602838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15.13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42</v>
      </c>
      <c r="BJ1417" s="2">
        <v>40.700000000000003</v>
      </c>
      <c r="BK1417" s="2">
        <v>42</v>
      </c>
      <c r="BL1417" s="2">
        <v>125.9</v>
      </c>
      <c r="BM1417" s="2">
        <v>17.63</v>
      </c>
      <c r="BN1417" s="2">
        <v>143.53</v>
      </c>
      <c r="BO1417" s="2">
        <v>143.53</v>
      </c>
      <c r="BQ1417" s="2" t="s">
        <v>1866</v>
      </c>
      <c r="BR1417" s="2" t="s">
        <v>103</v>
      </c>
      <c r="BS1417" s="3">
        <v>43076</v>
      </c>
      <c r="BT1417" s="4">
        <v>0.65208333333333335</v>
      </c>
      <c r="BU1417" s="2" t="s">
        <v>1867</v>
      </c>
      <c r="BV1417" s="2" t="s">
        <v>89</v>
      </c>
      <c r="BW1417" s="2" t="s">
        <v>149</v>
      </c>
      <c r="BX1417" s="2" t="s">
        <v>292</v>
      </c>
      <c r="BY1417" s="2">
        <v>203360</v>
      </c>
      <c r="CC1417" s="2" t="s">
        <v>163</v>
      </c>
      <c r="CD1417" s="2">
        <v>1451</v>
      </c>
      <c r="CE1417" s="2" t="s">
        <v>87</v>
      </c>
      <c r="CF1417" s="3">
        <v>43080</v>
      </c>
      <c r="CI1417" s="2">
        <v>1</v>
      </c>
      <c r="CJ1417" s="2">
        <v>2</v>
      </c>
      <c r="CK1417" s="2" t="s">
        <v>96</v>
      </c>
      <c r="CL1417" s="2" t="s">
        <v>89</v>
      </c>
    </row>
    <row r="1418" spans="1:90">
      <c r="A1418" s="2" t="s">
        <v>71</v>
      </c>
      <c r="B1418" s="2" t="s">
        <v>72</v>
      </c>
      <c r="C1418" s="2" t="s">
        <v>73</v>
      </c>
      <c r="E1418" s="2" t="str">
        <f>"FES1162594835"</f>
        <v>FES1162594835</v>
      </c>
      <c r="F1418" s="3">
        <v>43080</v>
      </c>
      <c r="G1418" s="2">
        <v>201806</v>
      </c>
      <c r="H1418" s="2" t="s">
        <v>74</v>
      </c>
      <c r="I1418" s="2" t="s">
        <v>75</v>
      </c>
      <c r="J1418" s="2" t="s">
        <v>97</v>
      </c>
      <c r="K1418" s="2" t="s">
        <v>77</v>
      </c>
      <c r="L1418" s="2" t="s">
        <v>136</v>
      </c>
      <c r="M1418" s="2" t="s">
        <v>137</v>
      </c>
      <c r="N1418" s="2" t="s">
        <v>974</v>
      </c>
      <c r="O1418" s="2" t="s">
        <v>101</v>
      </c>
      <c r="P1418" s="2" t="str">
        <f>"2170606481                    "</f>
        <v xml:space="preserve">2170606481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6.43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</v>
      </c>
      <c r="BJ1418" s="2">
        <v>0.2</v>
      </c>
      <c r="BK1418" s="2">
        <v>1</v>
      </c>
      <c r="BL1418" s="2">
        <v>45.93</v>
      </c>
      <c r="BM1418" s="2">
        <v>6.43</v>
      </c>
      <c r="BN1418" s="2">
        <v>52.36</v>
      </c>
      <c r="BO1418" s="2">
        <v>52.36</v>
      </c>
      <c r="BQ1418" s="2" t="s">
        <v>82</v>
      </c>
      <c r="BR1418" s="2" t="s">
        <v>103</v>
      </c>
      <c r="BS1418" s="3">
        <v>43081</v>
      </c>
      <c r="BT1418" s="4">
        <v>0.33888888888888885</v>
      </c>
      <c r="BU1418" s="2" t="s">
        <v>692</v>
      </c>
      <c r="BV1418" s="2" t="s">
        <v>85</v>
      </c>
      <c r="BY1418" s="2">
        <v>1200</v>
      </c>
      <c r="CA1418" s="2" t="s">
        <v>140</v>
      </c>
      <c r="CC1418" s="2" t="s">
        <v>137</v>
      </c>
      <c r="CD1418" s="2">
        <v>6001</v>
      </c>
      <c r="CE1418" s="2" t="s">
        <v>120</v>
      </c>
      <c r="CF1418" s="3">
        <v>43083</v>
      </c>
      <c r="CI1418" s="2">
        <v>1</v>
      </c>
      <c r="CJ1418" s="2">
        <v>1</v>
      </c>
      <c r="CK1418" s="2">
        <v>21</v>
      </c>
      <c r="CL1418" s="2" t="s">
        <v>89</v>
      </c>
    </row>
    <row r="1419" spans="1:90">
      <c r="A1419" s="2" t="s">
        <v>71</v>
      </c>
      <c r="B1419" s="2" t="s">
        <v>72</v>
      </c>
      <c r="C1419" s="2" t="s">
        <v>73</v>
      </c>
      <c r="E1419" s="2" t="str">
        <f>"FES1162595131"</f>
        <v>FES1162595131</v>
      </c>
      <c r="F1419" s="3">
        <v>43080</v>
      </c>
      <c r="G1419" s="2">
        <v>201806</v>
      </c>
      <c r="H1419" s="2" t="s">
        <v>74</v>
      </c>
      <c r="I1419" s="2" t="s">
        <v>75</v>
      </c>
      <c r="J1419" s="2" t="s">
        <v>97</v>
      </c>
      <c r="K1419" s="2" t="s">
        <v>77</v>
      </c>
      <c r="L1419" s="2" t="s">
        <v>136</v>
      </c>
      <c r="M1419" s="2" t="s">
        <v>137</v>
      </c>
      <c r="N1419" s="2" t="s">
        <v>178</v>
      </c>
      <c r="O1419" s="2" t="s">
        <v>101</v>
      </c>
      <c r="P1419" s="2" t="str">
        <f>"2170607035                    "</f>
        <v xml:space="preserve">2170607035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6.43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</v>
      </c>
      <c r="BJ1419" s="2">
        <v>0.2</v>
      </c>
      <c r="BK1419" s="2">
        <v>1</v>
      </c>
      <c r="BL1419" s="2">
        <v>45.93</v>
      </c>
      <c r="BM1419" s="2">
        <v>6.43</v>
      </c>
      <c r="BN1419" s="2">
        <v>52.36</v>
      </c>
      <c r="BO1419" s="2">
        <v>52.36</v>
      </c>
      <c r="BQ1419" s="2" t="s">
        <v>102</v>
      </c>
      <c r="BR1419" s="2" t="s">
        <v>103</v>
      </c>
      <c r="BS1419" s="3">
        <v>43081</v>
      </c>
      <c r="BT1419" s="4">
        <v>0.32083333333333336</v>
      </c>
      <c r="BU1419" s="2" t="s">
        <v>179</v>
      </c>
      <c r="BV1419" s="2" t="s">
        <v>85</v>
      </c>
      <c r="BY1419" s="2">
        <v>1200</v>
      </c>
      <c r="CA1419" s="2" t="s">
        <v>180</v>
      </c>
      <c r="CC1419" s="2" t="s">
        <v>137</v>
      </c>
      <c r="CD1419" s="2">
        <v>6001</v>
      </c>
      <c r="CE1419" s="2" t="s">
        <v>120</v>
      </c>
      <c r="CF1419" s="3">
        <v>43083</v>
      </c>
      <c r="CI1419" s="2">
        <v>1</v>
      </c>
      <c r="CJ1419" s="2">
        <v>1</v>
      </c>
      <c r="CK1419" s="2">
        <v>21</v>
      </c>
      <c r="CL1419" s="2" t="s">
        <v>89</v>
      </c>
    </row>
    <row r="1420" spans="1:90">
      <c r="A1420" s="2" t="s">
        <v>71</v>
      </c>
      <c r="B1420" s="2" t="s">
        <v>72</v>
      </c>
      <c r="C1420" s="2" t="s">
        <v>73</v>
      </c>
      <c r="E1420" s="2" t="str">
        <f>"FES1162594829"</f>
        <v>FES1162594829</v>
      </c>
      <c r="F1420" s="3">
        <v>43080</v>
      </c>
      <c r="G1420" s="2">
        <v>201806</v>
      </c>
      <c r="H1420" s="2" t="s">
        <v>74</v>
      </c>
      <c r="I1420" s="2" t="s">
        <v>75</v>
      </c>
      <c r="J1420" s="2" t="s">
        <v>97</v>
      </c>
      <c r="K1420" s="2" t="s">
        <v>77</v>
      </c>
      <c r="L1420" s="2" t="s">
        <v>1071</v>
      </c>
      <c r="M1420" s="2" t="s">
        <v>1072</v>
      </c>
      <c r="N1420" s="2" t="s">
        <v>1868</v>
      </c>
      <c r="O1420" s="2" t="s">
        <v>101</v>
      </c>
      <c r="P1420" s="2" t="str">
        <f>"2170606713                    "</f>
        <v xml:space="preserve">2170606713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12.47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89</v>
      </c>
      <c r="BM1420" s="2">
        <v>12.46</v>
      </c>
      <c r="BN1420" s="2">
        <v>101.46</v>
      </c>
      <c r="BO1420" s="2">
        <v>101.46</v>
      </c>
      <c r="BQ1420" s="2" t="s">
        <v>1869</v>
      </c>
      <c r="BR1420" s="2" t="s">
        <v>103</v>
      </c>
      <c r="BS1420" s="3">
        <v>43081</v>
      </c>
      <c r="BT1420" s="4">
        <v>0.66666666666666663</v>
      </c>
      <c r="BU1420" s="2" t="s">
        <v>1838</v>
      </c>
      <c r="BV1420" s="2" t="s">
        <v>85</v>
      </c>
      <c r="BY1420" s="2">
        <v>1200</v>
      </c>
      <c r="CA1420" s="2" t="s">
        <v>602</v>
      </c>
      <c r="CC1420" s="2" t="s">
        <v>1072</v>
      </c>
      <c r="CD1420" s="2">
        <v>9650</v>
      </c>
      <c r="CE1420" s="2" t="s">
        <v>120</v>
      </c>
      <c r="CF1420" s="3">
        <v>43084</v>
      </c>
      <c r="CI1420" s="2">
        <v>1</v>
      </c>
      <c r="CJ1420" s="2">
        <v>1</v>
      </c>
      <c r="CK1420" s="2">
        <v>23</v>
      </c>
      <c r="CL1420" s="2" t="s">
        <v>89</v>
      </c>
    </row>
    <row r="1421" spans="1:90">
      <c r="A1421" s="2" t="s">
        <v>71</v>
      </c>
      <c r="B1421" s="2" t="s">
        <v>72</v>
      </c>
      <c r="C1421" s="2" t="s">
        <v>73</v>
      </c>
      <c r="E1421" s="2" t="str">
        <f>"FES1162594747"</f>
        <v>FES1162594747</v>
      </c>
      <c r="F1421" s="3">
        <v>43080</v>
      </c>
      <c r="G1421" s="2">
        <v>201806</v>
      </c>
      <c r="H1421" s="2" t="s">
        <v>74</v>
      </c>
      <c r="I1421" s="2" t="s">
        <v>75</v>
      </c>
      <c r="J1421" s="2" t="s">
        <v>97</v>
      </c>
      <c r="K1421" s="2" t="s">
        <v>77</v>
      </c>
      <c r="L1421" s="2" t="s">
        <v>106</v>
      </c>
      <c r="M1421" s="2" t="s">
        <v>107</v>
      </c>
      <c r="N1421" s="2" t="s">
        <v>108</v>
      </c>
      <c r="O1421" s="2" t="s">
        <v>101</v>
      </c>
      <c r="P1421" s="2" t="str">
        <f>"2170606632                    "</f>
        <v xml:space="preserve">2170606632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5.03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</v>
      </c>
      <c r="BJ1421" s="2">
        <v>0.2</v>
      </c>
      <c r="BK1421" s="2">
        <v>1</v>
      </c>
      <c r="BL1421" s="2">
        <v>35.89</v>
      </c>
      <c r="BM1421" s="2">
        <v>5.0199999999999996</v>
      </c>
      <c r="BN1421" s="2">
        <v>40.909999999999997</v>
      </c>
      <c r="BO1421" s="2">
        <v>40.909999999999997</v>
      </c>
      <c r="BQ1421" s="2" t="s">
        <v>82</v>
      </c>
      <c r="BR1421" s="2" t="s">
        <v>103</v>
      </c>
      <c r="BS1421" s="3">
        <v>43081</v>
      </c>
      <c r="BT1421" s="4">
        <v>0.4055555555555555</v>
      </c>
      <c r="BU1421" s="2" t="s">
        <v>369</v>
      </c>
      <c r="BV1421" s="2" t="s">
        <v>85</v>
      </c>
      <c r="BY1421" s="2">
        <v>1200</v>
      </c>
      <c r="CA1421" s="2" t="s">
        <v>110</v>
      </c>
      <c r="CC1421" s="2" t="s">
        <v>107</v>
      </c>
      <c r="CD1421" s="2">
        <v>2094</v>
      </c>
      <c r="CE1421" s="2" t="s">
        <v>120</v>
      </c>
      <c r="CF1421" s="3">
        <v>43082</v>
      </c>
      <c r="CI1421" s="2">
        <v>1</v>
      </c>
      <c r="CJ1421" s="2">
        <v>1</v>
      </c>
      <c r="CK1421" s="2">
        <v>22</v>
      </c>
      <c r="CL1421" s="2" t="s">
        <v>89</v>
      </c>
    </row>
    <row r="1422" spans="1:90">
      <c r="A1422" s="2" t="s">
        <v>71</v>
      </c>
      <c r="B1422" s="2" t="s">
        <v>72</v>
      </c>
      <c r="C1422" s="2" t="s">
        <v>73</v>
      </c>
      <c r="E1422" s="2" t="str">
        <f>"FES116259054"</f>
        <v>FES116259054</v>
      </c>
      <c r="F1422" s="3">
        <v>43070</v>
      </c>
      <c r="G1422" s="2">
        <v>201806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173</v>
      </c>
      <c r="M1422" s="2" t="s">
        <v>174</v>
      </c>
      <c r="N1422" s="2" t="s">
        <v>1870</v>
      </c>
      <c r="O1422" s="2" t="s">
        <v>908</v>
      </c>
      <c r="P1422" s="2" t="str">
        <f>"                              "</f>
        <v xml:space="preserve">          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2</v>
      </c>
      <c r="BJ1422" s="2">
        <v>0.5</v>
      </c>
      <c r="BK1422" s="2">
        <v>2</v>
      </c>
      <c r="BL1422" s="2">
        <v>0</v>
      </c>
      <c r="BM1422" s="2">
        <v>0</v>
      </c>
      <c r="BN1422" s="2">
        <v>0</v>
      </c>
      <c r="BO1422" s="2">
        <v>0</v>
      </c>
      <c r="BP1422" s="2" t="s">
        <v>1871</v>
      </c>
      <c r="BR1422" s="2" t="s">
        <v>1076</v>
      </c>
      <c r="BS1422" s="3">
        <v>43071</v>
      </c>
      <c r="BT1422" s="4">
        <v>0.36805555555555558</v>
      </c>
      <c r="BU1422" s="2" t="s">
        <v>1872</v>
      </c>
      <c r="BV1422" s="2" t="s">
        <v>89</v>
      </c>
      <c r="BY1422" s="2">
        <v>2400</v>
      </c>
      <c r="BZ1422" s="2" t="s">
        <v>1873</v>
      </c>
      <c r="CA1422" s="2" t="s">
        <v>293</v>
      </c>
      <c r="CC1422" s="2" t="s">
        <v>174</v>
      </c>
      <c r="CD1422" s="2">
        <v>7405</v>
      </c>
      <c r="CE1422" s="2" t="s">
        <v>95</v>
      </c>
      <c r="CI1422" s="2">
        <v>0</v>
      </c>
      <c r="CJ1422" s="2">
        <v>1</v>
      </c>
      <c r="CK1422" s="2">
        <v>-1</v>
      </c>
      <c r="CL1422" s="2" t="s">
        <v>89</v>
      </c>
    </row>
    <row r="1423" spans="1:90">
      <c r="A1423" s="2" t="s">
        <v>71</v>
      </c>
      <c r="B1423" s="2" t="s">
        <v>72</v>
      </c>
      <c r="C1423" s="2" t="s">
        <v>73</v>
      </c>
      <c r="E1423" s="2" t="str">
        <f>"FES1162594778"</f>
        <v>FES1162594778</v>
      </c>
      <c r="F1423" s="3">
        <v>43080</v>
      </c>
      <c r="G1423" s="2">
        <v>201806</v>
      </c>
      <c r="H1423" s="2" t="s">
        <v>74</v>
      </c>
      <c r="I1423" s="2" t="s">
        <v>75</v>
      </c>
      <c r="J1423" s="2" t="s">
        <v>97</v>
      </c>
      <c r="K1423" s="2" t="s">
        <v>77</v>
      </c>
      <c r="L1423" s="2" t="s">
        <v>158</v>
      </c>
      <c r="M1423" s="2" t="s">
        <v>159</v>
      </c>
      <c r="N1423" s="2" t="s">
        <v>1874</v>
      </c>
      <c r="O1423" s="2" t="s">
        <v>101</v>
      </c>
      <c r="P1423" s="2" t="str">
        <f>"2170606686                    "</f>
        <v xml:space="preserve">2170606686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6.43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1</v>
      </c>
      <c r="BJ1423" s="2">
        <v>0.2</v>
      </c>
      <c r="BK1423" s="2">
        <v>1</v>
      </c>
      <c r="BL1423" s="2">
        <v>45.93</v>
      </c>
      <c r="BM1423" s="2">
        <v>6.43</v>
      </c>
      <c r="BN1423" s="2">
        <v>52.36</v>
      </c>
      <c r="BO1423" s="2">
        <v>52.36</v>
      </c>
      <c r="BR1423" s="2" t="s">
        <v>103</v>
      </c>
      <c r="BS1423" s="3">
        <v>43081</v>
      </c>
      <c r="BT1423" s="4">
        <v>0.52777777777777779</v>
      </c>
      <c r="BU1423" s="2" t="s">
        <v>134</v>
      </c>
      <c r="BV1423" s="2" t="s">
        <v>89</v>
      </c>
      <c r="BW1423" s="2" t="s">
        <v>156</v>
      </c>
      <c r="BX1423" s="2" t="s">
        <v>668</v>
      </c>
      <c r="BY1423" s="2">
        <v>1200</v>
      </c>
      <c r="CA1423" s="2" t="s">
        <v>678</v>
      </c>
      <c r="CC1423" s="2" t="s">
        <v>159</v>
      </c>
      <c r="CD1423" s="2">
        <v>184</v>
      </c>
      <c r="CE1423" s="2" t="s">
        <v>120</v>
      </c>
      <c r="CF1423" s="3">
        <v>43082</v>
      </c>
      <c r="CI1423" s="2">
        <v>1</v>
      </c>
      <c r="CJ1423" s="2">
        <v>1</v>
      </c>
      <c r="CK1423" s="2">
        <v>21</v>
      </c>
      <c r="CL1423" s="2" t="s">
        <v>89</v>
      </c>
    </row>
    <row r="1424" spans="1:90">
      <c r="A1424" s="2" t="s">
        <v>71</v>
      </c>
      <c r="B1424" s="2" t="s">
        <v>72</v>
      </c>
      <c r="C1424" s="2" t="s">
        <v>73</v>
      </c>
      <c r="E1424" s="2" t="str">
        <f>"FES1162594601"</f>
        <v>FES1162594601</v>
      </c>
      <c r="F1424" s="3">
        <v>43080</v>
      </c>
      <c r="G1424" s="2">
        <v>201806</v>
      </c>
      <c r="H1424" s="2" t="s">
        <v>74</v>
      </c>
      <c r="I1424" s="2" t="s">
        <v>75</v>
      </c>
      <c r="J1424" s="2" t="s">
        <v>97</v>
      </c>
      <c r="K1424" s="2" t="s">
        <v>77</v>
      </c>
      <c r="L1424" s="2" t="s">
        <v>145</v>
      </c>
      <c r="M1424" s="2" t="s">
        <v>146</v>
      </c>
      <c r="N1424" s="2" t="s">
        <v>922</v>
      </c>
      <c r="O1424" s="2" t="s">
        <v>101</v>
      </c>
      <c r="P1424" s="2" t="str">
        <f>"2170605690                    "</f>
        <v xml:space="preserve">2170605690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6.43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1</v>
      </c>
      <c r="BJ1424" s="2">
        <v>0.2</v>
      </c>
      <c r="BK1424" s="2">
        <v>1</v>
      </c>
      <c r="BL1424" s="2">
        <v>45.93</v>
      </c>
      <c r="BM1424" s="2">
        <v>6.43</v>
      </c>
      <c r="BN1424" s="2">
        <v>52.36</v>
      </c>
      <c r="BO1424" s="2">
        <v>52.36</v>
      </c>
      <c r="BQ1424" s="2" t="s">
        <v>102</v>
      </c>
      <c r="BR1424" s="2" t="s">
        <v>103</v>
      </c>
      <c r="BS1424" s="3">
        <v>43081</v>
      </c>
      <c r="BT1424" s="4">
        <v>0.3659722222222222</v>
      </c>
      <c r="BU1424" s="2" t="s">
        <v>1875</v>
      </c>
      <c r="BV1424" s="2" t="s">
        <v>85</v>
      </c>
      <c r="BY1424" s="2">
        <v>1200</v>
      </c>
      <c r="CA1424" s="2" t="s">
        <v>629</v>
      </c>
      <c r="CC1424" s="2" t="s">
        <v>146</v>
      </c>
      <c r="CD1424" s="2">
        <v>5201</v>
      </c>
      <c r="CE1424" s="2" t="s">
        <v>120</v>
      </c>
      <c r="CF1424" s="3">
        <v>43084</v>
      </c>
      <c r="CI1424" s="2">
        <v>1</v>
      </c>
      <c r="CJ1424" s="2">
        <v>1</v>
      </c>
      <c r="CK1424" s="2">
        <v>21</v>
      </c>
      <c r="CL1424" s="2" t="s">
        <v>89</v>
      </c>
    </row>
    <row r="1425" spans="1:90">
      <c r="A1425" s="2" t="s">
        <v>71</v>
      </c>
      <c r="B1425" s="2" t="s">
        <v>72</v>
      </c>
      <c r="C1425" s="2" t="s">
        <v>73</v>
      </c>
      <c r="E1425" s="2" t="str">
        <f>"FES1162595153"</f>
        <v>FES1162595153</v>
      </c>
      <c r="F1425" s="3">
        <v>43080</v>
      </c>
      <c r="G1425" s="2">
        <v>201806</v>
      </c>
      <c r="H1425" s="2" t="s">
        <v>74</v>
      </c>
      <c r="I1425" s="2" t="s">
        <v>75</v>
      </c>
      <c r="J1425" s="2" t="s">
        <v>97</v>
      </c>
      <c r="K1425" s="2" t="s">
        <v>77</v>
      </c>
      <c r="L1425" s="2" t="s">
        <v>145</v>
      </c>
      <c r="M1425" s="2" t="s">
        <v>146</v>
      </c>
      <c r="N1425" s="2" t="s">
        <v>1876</v>
      </c>
      <c r="O1425" s="2" t="s">
        <v>101</v>
      </c>
      <c r="P1425" s="2" t="str">
        <f>"2170607057                    "</f>
        <v xml:space="preserve">2170607057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6.43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0.2</v>
      </c>
      <c r="BK1425" s="2">
        <v>1</v>
      </c>
      <c r="BL1425" s="2">
        <v>45.93</v>
      </c>
      <c r="BM1425" s="2">
        <v>6.43</v>
      </c>
      <c r="BN1425" s="2">
        <v>52.36</v>
      </c>
      <c r="BO1425" s="2">
        <v>52.36</v>
      </c>
      <c r="BQ1425" s="2" t="s">
        <v>187</v>
      </c>
      <c r="BR1425" s="2" t="s">
        <v>103</v>
      </c>
      <c r="BS1425" s="3">
        <v>43081</v>
      </c>
      <c r="BT1425" s="4">
        <v>0.41666666666666669</v>
      </c>
      <c r="BU1425" s="2" t="s">
        <v>1877</v>
      </c>
      <c r="BV1425" s="2" t="s">
        <v>85</v>
      </c>
      <c r="BY1425" s="2">
        <v>1200</v>
      </c>
      <c r="CA1425" s="2" t="s">
        <v>629</v>
      </c>
      <c r="CC1425" s="2" t="s">
        <v>146</v>
      </c>
      <c r="CD1425" s="2">
        <v>5201</v>
      </c>
      <c r="CE1425" s="2" t="s">
        <v>120</v>
      </c>
      <c r="CF1425" s="3">
        <v>43084</v>
      </c>
      <c r="CI1425" s="2">
        <v>1</v>
      </c>
      <c r="CJ1425" s="2">
        <v>1</v>
      </c>
      <c r="CK1425" s="2">
        <v>21</v>
      </c>
      <c r="CL1425" s="2" t="s">
        <v>89</v>
      </c>
    </row>
    <row r="1426" spans="1:90">
      <c r="A1426" s="2" t="s">
        <v>71</v>
      </c>
      <c r="B1426" s="2" t="s">
        <v>72</v>
      </c>
      <c r="C1426" s="2" t="s">
        <v>73</v>
      </c>
      <c r="E1426" s="2" t="str">
        <f>"FES1162595170"</f>
        <v>FES1162595170</v>
      </c>
      <c r="F1426" s="3">
        <v>43080</v>
      </c>
      <c r="G1426" s="2">
        <v>201806</v>
      </c>
      <c r="H1426" s="2" t="s">
        <v>74</v>
      </c>
      <c r="I1426" s="2" t="s">
        <v>75</v>
      </c>
      <c r="J1426" s="2" t="s">
        <v>97</v>
      </c>
      <c r="K1426" s="2" t="s">
        <v>77</v>
      </c>
      <c r="L1426" s="2" t="s">
        <v>136</v>
      </c>
      <c r="M1426" s="2" t="s">
        <v>137</v>
      </c>
      <c r="N1426" s="2" t="s">
        <v>1042</v>
      </c>
      <c r="O1426" s="2" t="s">
        <v>101</v>
      </c>
      <c r="P1426" s="2" t="str">
        <f>"2170607074                    "</f>
        <v xml:space="preserve">2170607074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6.43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1</v>
      </c>
      <c r="BJ1426" s="2">
        <v>0.2</v>
      </c>
      <c r="BK1426" s="2">
        <v>1</v>
      </c>
      <c r="BL1426" s="2">
        <v>45.93</v>
      </c>
      <c r="BM1426" s="2">
        <v>6.43</v>
      </c>
      <c r="BN1426" s="2">
        <v>52.36</v>
      </c>
      <c r="BO1426" s="2">
        <v>52.36</v>
      </c>
      <c r="BQ1426" s="2" t="s">
        <v>1043</v>
      </c>
      <c r="BR1426" s="2" t="s">
        <v>103</v>
      </c>
      <c r="BS1426" s="3">
        <v>43081</v>
      </c>
      <c r="BT1426" s="4">
        <v>0.29583333333333334</v>
      </c>
      <c r="BU1426" s="2" t="s">
        <v>1878</v>
      </c>
      <c r="BV1426" s="2" t="s">
        <v>85</v>
      </c>
      <c r="BY1426" s="2">
        <v>1200</v>
      </c>
      <c r="CA1426" s="2" t="s">
        <v>140</v>
      </c>
      <c r="CC1426" s="2" t="s">
        <v>137</v>
      </c>
      <c r="CD1426" s="2">
        <v>6012</v>
      </c>
      <c r="CE1426" s="2" t="s">
        <v>120</v>
      </c>
      <c r="CF1426" s="3">
        <v>43083</v>
      </c>
      <c r="CI1426" s="2">
        <v>1</v>
      </c>
      <c r="CJ1426" s="2">
        <v>1</v>
      </c>
      <c r="CK1426" s="2">
        <v>21</v>
      </c>
      <c r="CL1426" s="2" t="s">
        <v>89</v>
      </c>
    </row>
    <row r="1427" spans="1:90">
      <c r="A1427" s="2" t="s">
        <v>71</v>
      </c>
      <c r="B1427" s="2" t="s">
        <v>72</v>
      </c>
      <c r="C1427" s="2" t="s">
        <v>73</v>
      </c>
      <c r="E1427" s="2" t="str">
        <f>"FES11625944727"</f>
        <v>FES11625944727</v>
      </c>
      <c r="F1427" s="3">
        <v>43080</v>
      </c>
      <c r="G1427" s="2">
        <v>201806</v>
      </c>
      <c r="H1427" s="2" t="s">
        <v>74</v>
      </c>
      <c r="I1427" s="2" t="s">
        <v>75</v>
      </c>
      <c r="J1427" s="2" t="s">
        <v>97</v>
      </c>
      <c r="K1427" s="2" t="s">
        <v>77</v>
      </c>
      <c r="L1427" s="2" t="s">
        <v>860</v>
      </c>
      <c r="M1427" s="2" t="s">
        <v>861</v>
      </c>
      <c r="N1427" s="2" t="s">
        <v>1741</v>
      </c>
      <c r="O1427" s="2" t="s">
        <v>101</v>
      </c>
      <c r="P1427" s="2" t="str">
        <f>"2170606612                    "</f>
        <v xml:space="preserve">2170606612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9.65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2</v>
      </c>
      <c r="BI1427" s="2">
        <v>2.8</v>
      </c>
      <c r="BJ1427" s="2">
        <v>2.8</v>
      </c>
      <c r="BK1427" s="2">
        <v>3</v>
      </c>
      <c r="BL1427" s="2">
        <v>68.89</v>
      </c>
      <c r="BM1427" s="2">
        <v>9.64</v>
      </c>
      <c r="BN1427" s="2">
        <v>78.53</v>
      </c>
      <c r="BO1427" s="2">
        <v>78.53</v>
      </c>
      <c r="BQ1427" s="2" t="s">
        <v>82</v>
      </c>
      <c r="BR1427" s="2" t="s">
        <v>103</v>
      </c>
      <c r="BS1427" s="3">
        <v>43081</v>
      </c>
      <c r="BT1427" s="4">
        <v>0.41666666666666669</v>
      </c>
      <c r="BU1427" s="2" t="s">
        <v>1742</v>
      </c>
      <c r="BV1427" s="2" t="s">
        <v>85</v>
      </c>
      <c r="BY1427" s="2">
        <v>14199.76</v>
      </c>
      <c r="CC1427" s="2" t="s">
        <v>861</v>
      </c>
      <c r="CD1427" s="2">
        <v>7139</v>
      </c>
      <c r="CE1427" s="2" t="s">
        <v>95</v>
      </c>
      <c r="CI1427" s="2">
        <v>1</v>
      </c>
      <c r="CJ1427" s="2">
        <v>1</v>
      </c>
      <c r="CK1427" s="2">
        <v>21</v>
      </c>
      <c r="CL1427" s="2" t="s">
        <v>89</v>
      </c>
    </row>
    <row r="1428" spans="1:90">
      <c r="A1428" s="2" t="s">
        <v>71</v>
      </c>
      <c r="B1428" s="2" t="s">
        <v>72</v>
      </c>
      <c r="C1428" s="2" t="s">
        <v>73</v>
      </c>
      <c r="E1428" s="2" t="str">
        <f>"FES1162594616"</f>
        <v>FES1162594616</v>
      </c>
      <c r="F1428" s="3">
        <v>43080</v>
      </c>
      <c r="G1428" s="2">
        <v>201806</v>
      </c>
      <c r="H1428" s="2" t="s">
        <v>74</v>
      </c>
      <c r="I1428" s="2" t="s">
        <v>75</v>
      </c>
      <c r="J1428" s="2" t="s">
        <v>97</v>
      </c>
      <c r="K1428" s="2" t="s">
        <v>77</v>
      </c>
      <c r="L1428" s="2" t="s">
        <v>136</v>
      </c>
      <c r="M1428" s="2" t="s">
        <v>137</v>
      </c>
      <c r="N1428" s="2" t="s">
        <v>974</v>
      </c>
      <c r="O1428" s="2" t="s">
        <v>101</v>
      </c>
      <c r="P1428" s="2" t="str">
        <f>"2170606430                    "</f>
        <v xml:space="preserve">2170606430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51.45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15.7</v>
      </c>
      <c r="BJ1428" s="2">
        <v>9.1</v>
      </c>
      <c r="BK1428" s="2">
        <v>16</v>
      </c>
      <c r="BL1428" s="2">
        <v>367.31</v>
      </c>
      <c r="BM1428" s="2">
        <v>51.42</v>
      </c>
      <c r="BN1428" s="2">
        <v>418.73</v>
      </c>
      <c r="BO1428" s="2">
        <v>418.73</v>
      </c>
      <c r="BQ1428" s="2" t="s">
        <v>82</v>
      </c>
      <c r="BR1428" s="2" t="s">
        <v>103</v>
      </c>
      <c r="BS1428" s="3">
        <v>43081</v>
      </c>
      <c r="BT1428" s="4">
        <v>0.33888888888888885</v>
      </c>
      <c r="BU1428" s="2" t="s">
        <v>692</v>
      </c>
      <c r="BV1428" s="2" t="s">
        <v>85</v>
      </c>
      <c r="BY1428" s="2">
        <v>45470.879999999997</v>
      </c>
      <c r="CA1428" s="2" t="s">
        <v>140</v>
      </c>
      <c r="CC1428" s="2" t="s">
        <v>137</v>
      </c>
      <c r="CD1428" s="2">
        <v>6001</v>
      </c>
      <c r="CE1428" s="2" t="s">
        <v>95</v>
      </c>
      <c r="CF1428" s="3">
        <v>43083</v>
      </c>
      <c r="CI1428" s="2">
        <v>1</v>
      </c>
      <c r="CJ1428" s="2">
        <v>1</v>
      </c>
      <c r="CK1428" s="2">
        <v>21</v>
      </c>
      <c r="CL1428" s="2" t="s">
        <v>89</v>
      </c>
    </row>
    <row r="1429" spans="1:90">
      <c r="A1429" s="2" t="s">
        <v>71</v>
      </c>
      <c r="B1429" s="2" t="s">
        <v>72</v>
      </c>
      <c r="C1429" s="2" t="s">
        <v>73</v>
      </c>
      <c r="E1429" s="2" t="str">
        <f>"FES1162594691"</f>
        <v>FES1162594691</v>
      </c>
      <c r="F1429" s="3">
        <v>43080</v>
      </c>
      <c r="G1429" s="2">
        <v>201806</v>
      </c>
      <c r="H1429" s="2" t="s">
        <v>74</v>
      </c>
      <c r="I1429" s="2" t="s">
        <v>75</v>
      </c>
      <c r="J1429" s="2" t="s">
        <v>97</v>
      </c>
      <c r="K1429" s="2" t="s">
        <v>77</v>
      </c>
      <c r="L1429" s="2" t="s">
        <v>262</v>
      </c>
      <c r="M1429" s="2" t="s">
        <v>263</v>
      </c>
      <c r="N1429" s="2" t="s">
        <v>1879</v>
      </c>
      <c r="O1429" s="2" t="s">
        <v>101</v>
      </c>
      <c r="P1429" s="2" t="str">
        <f>"2170606559                    "</f>
        <v xml:space="preserve">2170606559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6.43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1.7</v>
      </c>
      <c r="BJ1429" s="2">
        <v>1.8</v>
      </c>
      <c r="BK1429" s="2">
        <v>2</v>
      </c>
      <c r="BL1429" s="2">
        <v>45.93</v>
      </c>
      <c r="BM1429" s="2">
        <v>6.43</v>
      </c>
      <c r="BN1429" s="2">
        <v>52.36</v>
      </c>
      <c r="BO1429" s="2">
        <v>52.36</v>
      </c>
      <c r="BQ1429" s="2" t="s">
        <v>102</v>
      </c>
      <c r="BR1429" s="2" t="s">
        <v>103</v>
      </c>
      <c r="BS1429" s="3">
        <v>43081</v>
      </c>
      <c r="BT1429" s="4">
        <v>0.31319444444444444</v>
      </c>
      <c r="BU1429" s="2" t="s">
        <v>1880</v>
      </c>
      <c r="BV1429" s="2" t="s">
        <v>85</v>
      </c>
      <c r="BY1429" s="2">
        <v>9052.4699999999993</v>
      </c>
      <c r="CA1429" s="2" t="s">
        <v>1171</v>
      </c>
      <c r="CC1429" s="2" t="s">
        <v>263</v>
      </c>
      <c r="CD1429" s="2">
        <v>6229</v>
      </c>
      <c r="CE1429" s="2" t="s">
        <v>95</v>
      </c>
      <c r="CF1429" s="3">
        <v>43083</v>
      </c>
      <c r="CI1429" s="2">
        <v>1</v>
      </c>
      <c r="CJ1429" s="2">
        <v>1</v>
      </c>
      <c r="CK1429" s="2">
        <v>21</v>
      </c>
      <c r="CL1429" s="2" t="s">
        <v>89</v>
      </c>
    </row>
    <row r="1430" spans="1:90">
      <c r="A1430" s="2" t="s">
        <v>71</v>
      </c>
      <c r="B1430" s="2" t="s">
        <v>72</v>
      </c>
      <c r="C1430" s="2" t="s">
        <v>73</v>
      </c>
      <c r="E1430" s="2" t="str">
        <f>"FES1162595160"</f>
        <v>FES1162595160</v>
      </c>
      <c r="F1430" s="3">
        <v>43080</v>
      </c>
      <c r="G1430" s="2">
        <v>201806</v>
      </c>
      <c r="H1430" s="2" t="s">
        <v>74</v>
      </c>
      <c r="I1430" s="2" t="s">
        <v>75</v>
      </c>
      <c r="J1430" s="2" t="s">
        <v>97</v>
      </c>
      <c r="K1430" s="2" t="s">
        <v>77</v>
      </c>
      <c r="L1430" s="2" t="s">
        <v>521</v>
      </c>
      <c r="M1430" s="2" t="s">
        <v>522</v>
      </c>
      <c r="N1430" s="2" t="s">
        <v>523</v>
      </c>
      <c r="O1430" s="2" t="s">
        <v>101</v>
      </c>
      <c r="P1430" s="2" t="str">
        <f>"2170602818                    "</f>
        <v xml:space="preserve">2170602818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8.0399999999999991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2.4</v>
      </c>
      <c r="BJ1430" s="2">
        <v>1.4</v>
      </c>
      <c r="BK1430" s="2">
        <v>2.5</v>
      </c>
      <c r="BL1430" s="2">
        <v>57.41</v>
      </c>
      <c r="BM1430" s="2">
        <v>8.0399999999999991</v>
      </c>
      <c r="BN1430" s="2">
        <v>65.45</v>
      </c>
      <c r="BO1430" s="2">
        <v>65.45</v>
      </c>
      <c r="BQ1430" s="2" t="s">
        <v>102</v>
      </c>
      <c r="BR1430" s="2" t="s">
        <v>103</v>
      </c>
      <c r="BS1430" s="3">
        <v>43081</v>
      </c>
      <c r="BT1430" s="4">
        <v>0.34513888888888888</v>
      </c>
      <c r="BU1430" s="2" t="s">
        <v>1881</v>
      </c>
      <c r="BV1430" s="2" t="s">
        <v>85</v>
      </c>
      <c r="BY1430" s="2">
        <v>6902.28</v>
      </c>
      <c r="CA1430" s="2" t="s">
        <v>525</v>
      </c>
      <c r="CC1430" s="2" t="s">
        <v>522</v>
      </c>
      <c r="CD1430" s="2">
        <v>6536</v>
      </c>
      <c r="CE1430" s="2" t="s">
        <v>95</v>
      </c>
      <c r="CF1430" s="3">
        <v>43083</v>
      </c>
      <c r="CI1430" s="2">
        <v>1</v>
      </c>
      <c r="CJ1430" s="2">
        <v>1</v>
      </c>
      <c r="CK1430" s="2">
        <v>21</v>
      </c>
      <c r="CL1430" s="2" t="s">
        <v>89</v>
      </c>
    </row>
    <row r="1431" spans="1:90">
      <c r="A1431" s="2" t="s">
        <v>71</v>
      </c>
      <c r="B1431" s="2" t="s">
        <v>72</v>
      </c>
      <c r="C1431" s="2" t="s">
        <v>73</v>
      </c>
      <c r="E1431" s="2" t="str">
        <f>"FES1162594955"</f>
        <v>FES1162594955</v>
      </c>
      <c r="F1431" s="3">
        <v>43080</v>
      </c>
      <c r="G1431" s="2">
        <v>201806</v>
      </c>
      <c r="H1431" s="2" t="s">
        <v>74</v>
      </c>
      <c r="I1431" s="2" t="s">
        <v>75</v>
      </c>
      <c r="J1431" s="2" t="s">
        <v>97</v>
      </c>
      <c r="K1431" s="2" t="s">
        <v>77</v>
      </c>
      <c r="L1431" s="2" t="s">
        <v>449</v>
      </c>
      <c r="M1431" s="2" t="s">
        <v>450</v>
      </c>
      <c r="N1431" s="2" t="s">
        <v>1882</v>
      </c>
      <c r="O1431" s="2" t="s">
        <v>101</v>
      </c>
      <c r="P1431" s="2" t="str">
        <f>"2170605277                    "</f>
        <v xml:space="preserve">2170605277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5.03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5</v>
      </c>
      <c r="BJ1431" s="2">
        <v>1.2</v>
      </c>
      <c r="BK1431" s="2">
        <v>5</v>
      </c>
      <c r="BL1431" s="2">
        <v>35.89</v>
      </c>
      <c r="BM1431" s="2">
        <v>5.0199999999999996</v>
      </c>
      <c r="BN1431" s="2">
        <v>40.909999999999997</v>
      </c>
      <c r="BO1431" s="2">
        <v>40.909999999999997</v>
      </c>
      <c r="BQ1431" s="2" t="s">
        <v>128</v>
      </c>
      <c r="BR1431" s="2" t="s">
        <v>103</v>
      </c>
      <c r="BS1431" s="3">
        <v>43081</v>
      </c>
      <c r="BT1431" s="4">
        <v>0.52430555555555558</v>
      </c>
      <c r="BU1431" s="2" t="s">
        <v>1883</v>
      </c>
      <c r="BV1431" s="2" t="s">
        <v>89</v>
      </c>
      <c r="BY1431" s="2">
        <v>6000</v>
      </c>
      <c r="CA1431" s="2" t="s">
        <v>320</v>
      </c>
      <c r="CC1431" s="2" t="s">
        <v>450</v>
      </c>
      <c r="CD1431" s="2">
        <v>1724</v>
      </c>
      <c r="CE1431" s="2" t="s">
        <v>120</v>
      </c>
      <c r="CF1431" s="3">
        <v>43083</v>
      </c>
      <c r="CI1431" s="2">
        <v>1</v>
      </c>
      <c r="CJ1431" s="2">
        <v>1</v>
      </c>
      <c r="CK1431" s="2">
        <v>22</v>
      </c>
      <c r="CL1431" s="2" t="s">
        <v>89</v>
      </c>
    </row>
    <row r="1432" spans="1:90">
      <c r="A1432" s="2" t="s">
        <v>71</v>
      </c>
      <c r="B1432" s="2" t="s">
        <v>72</v>
      </c>
      <c r="C1432" s="2" t="s">
        <v>73</v>
      </c>
      <c r="E1432" s="2" t="str">
        <f>"FES1162595139"</f>
        <v>FES1162595139</v>
      </c>
      <c r="F1432" s="3">
        <v>43080</v>
      </c>
      <c r="G1432" s="2">
        <v>201806</v>
      </c>
      <c r="H1432" s="2" t="s">
        <v>74</v>
      </c>
      <c r="I1432" s="2" t="s">
        <v>75</v>
      </c>
      <c r="J1432" s="2" t="s">
        <v>97</v>
      </c>
      <c r="K1432" s="2" t="s">
        <v>77</v>
      </c>
      <c r="L1432" s="2" t="s">
        <v>1884</v>
      </c>
      <c r="M1432" s="2" t="s">
        <v>1885</v>
      </c>
      <c r="N1432" s="2" t="s">
        <v>1886</v>
      </c>
      <c r="O1432" s="2" t="s">
        <v>101</v>
      </c>
      <c r="P1432" s="2" t="str">
        <f>"2170607041                    "</f>
        <v xml:space="preserve">2170607041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12.47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</v>
      </c>
      <c r="BJ1432" s="2">
        <v>0.2</v>
      </c>
      <c r="BK1432" s="2">
        <v>1</v>
      </c>
      <c r="BL1432" s="2">
        <v>89</v>
      </c>
      <c r="BM1432" s="2">
        <v>12.46</v>
      </c>
      <c r="BN1432" s="2">
        <v>101.46</v>
      </c>
      <c r="BO1432" s="2">
        <v>101.46</v>
      </c>
      <c r="BQ1432" s="2" t="s">
        <v>142</v>
      </c>
      <c r="BR1432" s="2" t="s">
        <v>103</v>
      </c>
      <c r="BS1432" s="3">
        <v>43081</v>
      </c>
      <c r="BT1432" s="4">
        <v>0.42708333333333331</v>
      </c>
      <c r="BU1432" s="2" t="s">
        <v>1237</v>
      </c>
      <c r="BV1432" s="2" t="s">
        <v>85</v>
      </c>
      <c r="BY1432" s="2">
        <v>1200</v>
      </c>
      <c r="CA1432" s="2" t="s">
        <v>1887</v>
      </c>
      <c r="CC1432" s="2" t="s">
        <v>1885</v>
      </c>
      <c r="CD1432" s="2">
        <v>9445</v>
      </c>
      <c r="CE1432" s="2" t="s">
        <v>120</v>
      </c>
      <c r="CF1432" s="3">
        <v>43083</v>
      </c>
      <c r="CI1432" s="2">
        <v>3</v>
      </c>
      <c r="CJ1432" s="2">
        <v>1</v>
      </c>
      <c r="CK1432" s="2">
        <v>23</v>
      </c>
      <c r="CL1432" s="2" t="s">
        <v>89</v>
      </c>
    </row>
    <row r="1433" spans="1:90">
      <c r="A1433" s="2" t="s">
        <v>71</v>
      </c>
      <c r="B1433" s="2" t="s">
        <v>72</v>
      </c>
      <c r="C1433" s="2" t="s">
        <v>73</v>
      </c>
      <c r="E1433" s="2" t="str">
        <f>"FES1162594897"</f>
        <v>FES1162594897</v>
      </c>
      <c r="F1433" s="3">
        <v>43080</v>
      </c>
      <c r="G1433" s="2">
        <v>201806</v>
      </c>
      <c r="H1433" s="2" t="s">
        <v>74</v>
      </c>
      <c r="I1433" s="2" t="s">
        <v>75</v>
      </c>
      <c r="J1433" s="2" t="s">
        <v>97</v>
      </c>
      <c r="K1433" s="2" t="s">
        <v>77</v>
      </c>
      <c r="L1433" s="2" t="s">
        <v>325</v>
      </c>
      <c r="M1433" s="2" t="s">
        <v>326</v>
      </c>
      <c r="N1433" s="2" t="s">
        <v>1129</v>
      </c>
      <c r="O1433" s="2" t="s">
        <v>101</v>
      </c>
      <c r="P1433" s="2" t="str">
        <f>"2170604189                    "</f>
        <v xml:space="preserve">2170604189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6.43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</v>
      </c>
      <c r="BJ1433" s="2">
        <v>0.2</v>
      </c>
      <c r="BK1433" s="2">
        <v>1</v>
      </c>
      <c r="BL1433" s="2">
        <v>45.93</v>
      </c>
      <c r="BM1433" s="2">
        <v>6.43</v>
      </c>
      <c r="BN1433" s="2">
        <v>52.36</v>
      </c>
      <c r="BO1433" s="2">
        <v>52.36</v>
      </c>
      <c r="BQ1433" s="2" t="s">
        <v>102</v>
      </c>
      <c r="BR1433" s="2" t="s">
        <v>103</v>
      </c>
      <c r="BS1433" s="3">
        <v>43081</v>
      </c>
      <c r="BT1433" s="4">
        <v>0.38194444444444442</v>
      </c>
      <c r="BU1433" s="2" t="s">
        <v>1888</v>
      </c>
      <c r="BV1433" s="2" t="s">
        <v>85</v>
      </c>
      <c r="BY1433" s="2">
        <v>1200</v>
      </c>
      <c r="CA1433" s="2" t="s">
        <v>1010</v>
      </c>
      <c r="CC1433" s="2" t="s">
        <v>326</v>
      </c>
      <c r="CD1433" s="2">
        <v>1939</v>
      </c>
      <c r="CE1433" s="2" t="s">
        <v>120</v>
      </c>
      <c r="CF1433" s="3">
        <v>43082</v>
      </c>
      <c r="CI1433" s="2">
        <v>1</v>
      </c>
      <c r="CJ1433" s="2">
        <v>1</v>
      </c>
      <c r="CK1433" s="2">
        <v>21</v>
      </c>
      <c r="CL1433" s="2" t="s">
        <v>89</v>
      </c>
    </row>
    <row r="1434" spans="1:90">
      <c r="A1434" s="2" t="s">
        <v>71</v>
      </c>
      <c r="B1434" s="2" t="s">
        <v>72</v>
      </c>
      <c r="C1434" s="2" t="s">
        <v>73</v>
      </c>
      <c r="E1434" s="2" t="str">
        <f>"FES1162594637"</f>
        <v>FES1162594637</v>
      </c>
      <c r="F1434" s="3">
        <v>43080</v>
      </c>
      <c r="G1434" s="2">
        <v>201806</v>
      </c>
      <c r="H1434" s="2" t="s">
        <v>74</v>
      </c>
      <c r="I1434" s="2" t="s">
        <v>75</v>
      </c>
      <c r="J1434" s="2" t="s">
        <v>97</v>
      </c>
      <c r="K1434" s="2" t="s">
        <v>77</v>
      </c>
      <c r="L1434" s="2" t="s">
        <v>106</v>
      </c>
      <c r="M1434" s="2" t="s">
        <v>107</v>
      </c>
      <c r="N1434" s="2" t="s">
        <v>1889</v>
      </c>
      <c r="O1434" s="2" t="s">
        <v>101</v>
      </c>
      <c r="P1434" s="2" t="str">
        <f>"2170606480                    "</f>
        <v xml:space="preserve">2170606480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5.03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</v>
      </c>
      <c r="BJ1434" s="2">
        <v>0.2</v>
      </c>
      <c r="BK1434" s="2">
        <v>1</v>
      </c>
      <c r="BL1434" s="2">
        <v>35.89</v>
      </c>
      <c r="BM1434" s="2">
        <v>5.0199999999999996</v>
      </c>
      <c r="BN1434" s="2">
        <v>40.909999999999997</v>
      </c>
      <c r="BO1434" s="2">
        <v>40.909999999999997</v>
      </c>
      <c r="BR1434" s="2" t="s">
        <v>103</v>
      </c>
      <c r="BS1434" s="3">
        <v>43081</v>
      </c>
      <c r="BT1434" s="4">
        <v>0.30972222222222223</v>
      </c>
      <c r="BU1434" s="2" t="s">
        <v>1890</v>
      </c>
      <c r="BV1434" s="2" t="s">
        <v>85</v>
      </c>
      <c r="BY1434" s="2">
        <v>1200</v>
      </c>
      <c r="CA1434" s="2" t="s">
        <v>1891</v>
      </c>
      <c r="CC1434" s="2" t="s">
        <v>107</v>
      </c>
      <c r="CD1434" s="2">
        <v>2094</v>
      </c>
      <c r="CE1434" s="2" t="s">
        <v>120</v>
      </c>
      <c r="CF1434" s="3">
        <v>43082</v>
      </c>
      <c r="CI1434" s="2">
        <v>1</v>
      </c>
      <c r="CJ1434" s="2">
        <v>1</v>
      </c>
      <c r="CK1434" s="2">
        <v>22</v>
      </c>
      <c r="CL1434" s="2" t="s">
        <v>89</v>
      </c>
    </row>
    <row r="1435" spans="1:90">
      <c r="A1435" s="2" t="s">
        <v>71</v>
      </c>
      <c r="B1435" s="2" t="s">
        <v>72</v>
      </c>
      <c r="C1435" s="2" t="s">
        <v>73</v>
      </c>
      <c r="E1435" s="2" t="str">
        <f>"FES1162595159"</f>
        <v>FES1162595159</v>
      </c>
      <c r="F1435" s="3">
        <v>43080</v>
      </c>
      <c r="G1435" s="2">
        <v>201806</v>
      </c>
      <c r="H1435" s="2" t="s">
        <v>74</v>
      </c>
      <c r="I1435" s="2" t="s">
        <v>75</v>
      </c>
      <c r="J1435" s="2" t="s">
        <v>97</v>
      </c>
      <c r="K1435" s="2" t="s">
        <v>77</v>
      </c>
      <c r="L1435" s="2" t="s">
        <v>78</v>
      </c>
      <c r="M1435" s="2" t="s">
        <v>79</v>
      </c>
      <c r="N1435" s="2" t="s">
        <v>1892</v>
      </c>
      <c r="O1435" s="2" t="s">
        <v>101</v>
      </c>
      <c r="P1435" s="2" t="str">
        <f>"2170602715                    "</f>
        <v xml:space="preserve">2170602715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6.43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</v>
      </c>
      <c r="BJ1435" s="2">
        <v>0.2</v>
      </c>
      <c r="BK1435" s="2">
        <v>1</v>
      </c>
      <c r="BL1435" s="2">
        <v>45.93</v>
      </c>
      <c r="BM1435" s="2">
        <v>6.43</v>
      </c>
      <c r="BN1435" s="2">
        <v>52.36</v>
      </c>
      <c r="BO1435" s="2">
        <v>52.36</v>
      </c>
      <c r="BR1435" s="2" t="s">
        <v>103</v>
      </c>
      <c r="BS1435" s="3">
        <v>43081</v>
      </c>
      <c r="BT1435" s="4">
        <v>0.60069444444444442</v>
      </c>
      <c r="BU1435" s="2" t="s">
        <v>1893</v>
      </c>
      <c r="BV1435" s="2" t="s">
        <v>89</v>
      </c>
      <c r="BY1435" s="2">
        <v>1200</v>
      </c>
      <c r="CC1435" s="2" t="s">
        <v>79</v>
      </c>
      <c r="CD1435" s="2">
        <v>1947</v>
      </c>
      <c r="CE1435" s="2" t="s">
        <v>120</v>
      </c>
      <c r="CF1435" s="3">
        <v>43082</v>
      </c>
      <c r="CI1435" s="2">
        <v>1</v>
      </c>
      <c r="CJ1435" s="2">
        <v>1</v>
      </c>
      <c r="CK1435" s="2">
        <v>21</v>
      </c>
      <c r="CL1435" s="2" t="s">
        <v>89</v>
      </c>
    </row>
    <row r="1436" spans="1:90">
      <c r="A1436" s="2" t="s">
        <v>71</v>
      </c>
      <c r="B1436" s="2" t="s">
        <v>72</v>
      </c>
      <c r="C1436" s="2" t="s">
        <v>73</v>
      </c>
      <c r="E1436" s="2" t="str">
        <f>"FES1162594977"</f>
        <v>FES1162594977</v>
      </c>
      <c r="F1436" s="3">
        <v>43080</v>
      </c>
      <c r="G1436" s="2">
        <v>201806</v>
      </c>
      <c r="H1436" s="2" t="s">
        <v>74</v>
      </c>
      <c r="I1436" s="2" t="s">
        <v>75</v>
      </c>
      <c r="J1436" s="2" t="s">
        <v>97</v>
      </c>
      <c r="K1436" s="2" t="s">
        <v>77</v>
      </c>
      <c r="L1436" s="2" t="s">
        <v>106</v>
      </c>
      <c r="M1436" s="2" t="s">
        <v>107</v>
      </c>
      <c r="N1436" s="2" t="s">
        <v>108</v>
      </c>
      <c r="O1436" s="2" t="s">
        <v>101</v>
      </c>
      <c r="P1436" s="2" t="str">
        <f>"2170606873                    "</f>
        <v xml:space="preserve">2170606873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5.03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</v>
      </c>
      <c r="BJ1436" s="2">
        <v>0.2</v>
      </c>
      <c r="BK1436" s="2">
        <v>1</v>
      </c>
      <c r="BL1436" s="2">
        <v>35.89</v>
      </c>
      <c r="BM1436" s="2">
        <v>5.0199999999999996</v>
      </c>
      <c r="BN1436" s="2">
        <v>40.909999999999997</v>
      </c>
      <c r="BO1436" s="2">
        <v>40.909999999999997</v>
      </c>
      <c r="BQ1436" s="2" t="s">
        <v>82</v>
      </c>
      <c r="BR1436" s="2" t="s">
        <v>103</v>
      </c>
      <c r="BS1436" s="3">
        <v>43081</v>
      </c>
      <c r="BT1436" s="4">
        <v>0.40208333333333335</v>
      </c>
      <c r="BU1436" s="2" t="s">
        <v>369</v>
      </c>
      <c r="BV1436" s="2" t="s">
        <v>85</v>
      </c>
      <c r="BY1436" s="2">
        <v>1200</v>
      </c>
      <c r="CA1436" s="2" t="s">
        <v>110</v>
      </c>
      <c r="CC1436" s="2" t="s">
        <v>107</v>
      </c>
      <c r="CD1436" s="2">
        <v>2094</v>
      </c>
      <c r="CE1436" s="2" t="s">
        <v>120</v>
      </c>
      <c r="CF1436" s="3">
        <v>43082</v>
      </c>
      <c r="CI1436" s="2">
        <v>1</v>
      </c>
      <c r="CJ1436" s="2">
        <v>1</v>
      </c>
      <c r="CK1436" s="2">
        <v>22</v>
      </c>
      <c r="CL1436" s="2" t="s">
        <v>89</v>
      </c>
    </row>
    <row r="1437" spans="1:90">
      <c r="A1437" s="2" t="s">
        <v>71</v>
      </c>
      <c r="B1437" s="2" t="s">
        <v>72</v>
      </c>
      <c r="C1437" s="2" t="s">
        <v>73</v>
      </c>
      <c r="E1437" s="2" t="str">
        <f>"FES1162594709"</f>
        <v>FES1162594709</v>
      </c>
      <c r="F1437" s="3">
        <v>43080</v>
      </c>
      <c r="G1437" s="2">
        <v>201806</v>
      </c>
      <c r="H1437" s="2" t="s">
        <v>74</v>
      </c>
      <c r="I1437" s="2" t="s">
        <v>75</v>
      </c>
      <c r="J1437" s="2" t="s">
        <v>97</v>
      </c>
      <c r="K1437" s="2" t="s">
        <v>77</v>
      </c>
      <c r="L1437" s="2" t="s">
        <v>115</v>
      </c>
      <c r="M1437" s="2" t="s">
        <v>116</v>
      </c>
      <c r="N1437" s="2" t="s">
        <v>1894</v>
      </c>
      <c r="O1437" s="2" t="s">
        <v>101</v>
      </c>
      <c r="P1437" s="2" t="str">
        <f>"21706065900                   "</f>
        <v xml:space="preserve">21706065900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5.03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1</v>
      </c>
      <c r="BJ1437" s="2">
        <v>0.2</v>
      </c>
      <c r="BK1437" s="2">
        <v>1</v>
      </c>
      <c r="BL1437" s="2">
        <v>35.89</v>
      </c>
      <c r="BM1437" s="2">
        <v>5.0199999999999996</v>
      </c>
      <c r="BN1437" s="2">
        <v>40.909999999999997</v>
      </c>
      <c r="BO1437" s="2">
        <v>40.909999999999997</v>
      </c>
      <c r="BQ1437" s="2" t="s">
        <v>102</v>
      </c>
      <c r="BR1437" s="2" t="s">
        <v>103</v>
      </c>
      <c r="BS1437" s="3">
        <v>43081</v>
      </c>
      <c r="BT1437" s="4">
        <v>0.3756944444444445</v>
      </c>
      <c r="BU1437" s="2" t="s">
        <v>1895</v>
      </c>
      <c r="BV1437" s="2" t="s">
        <v>85</v>
      </c>
      <c r="BY1437" s="2">
        <v>1200</v>
      </c>
      <c r="CA1437" s="2" t="s">
        <v>386</v>
      </c>
      <c r="CC1437" s="2" t="s">
        <v>116</v>
      </c>
      <c r="CD1437" s="2">
        <v>1459</v>
      </c>
      <c r="CE1437" s="2" t="s">
        <v>120</v>
      </c>
      <c r="CF1437" s="3">
        <v>43083</v>
      </c>
      <c r="CI1437" s="2">
        <v>1</v>
      </c>
      <c r="CJ1437" s="2">
        <v>1</v>
      </c>
      <c r="CK1437" s="2">
        <v>22</v>
      </c>
      <c r="CL1437" s="2" t="s">
        <v>89</v>
      </c>
    </row>
    <row r="1438" spans="1:90">
      <c r="A1438" s="2" t="s">
        <v>71</v>
      </c>
      <c r="B1438" s="2" t="s">
        <v>72</v>
      </c>
      <c r="C1438" s="2" t="s">
        <v>73</v>
      </c>
      <c r="E1438" s="2" t="str">
        <f>"FES1162594930"</f>
        <v>FES1162594930</v>
      </c>
      <c r="F1438" s="3">
        <v>43080</v>
      </c>
      <c r="G1438" s="2">
        <v>201806</v>
      </c>
      <c r="H1438" s="2" t="s">
        <v>74</v>
      </c>
      <c r="I1438" s="2" t="s">
        <v>75</v>
      </c>
      <c r="J1438" s="2" t="s">
        <v>97</v>
      </c>
      <c r="K1438" s="2" t="s">
        <v>77</v>
      </c>
      <c r="L1438" s="2" t="s">
        <v>106</v>
      </c>
      <c r="M1438" s="2" t="s">
        <v>107</v>
      </c>
      <c r="N1438" s="2" t="s">
        <v>108</v>
      </c>
      <c r="O1438" s="2" t="s">
        <v>101</v>
      </c>
      <c r="P1438" s="2" t="str">
        <f>"2170606838                    "</f>
        <v xml:space="preserve">2170606838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5.03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1</v>
      </c>
      <c r="BJ1438" s="2">
        <v>0.2</v>
      </c>
      <c r="BK1438" s="2">
        <v>1</v>
      </c>
      <c r="BL1438" s="2">
        <v>35.89</v>
      </c>
      <c r="BM1438" s="2">
        <v>5.0199999999999996</v>
      </c>
      <c r="BN1438" s="2">
        <v>40.909999999999997</v>
      </c>
      <c r="BO1438" s="2">
        <v>40.909999999999997</v>
      </c>
      <c r="BQ1438" s="2" t="s">
        <v>82</v>
      </c>
      <c r="BR1438" s="2" t="s">
        <v>103</v>
      </c>
      <c r="BS1438" s="3">
        <v>43081</v>
      </c>
      <c r="BT1438" s="4">
        <v>0.40416666666666662</v>
      </c>
      <c r="BU1438" s="2" t="s">
        <v>369</v>
      </c>
      <c r="BV1438" s="2" t="s">
        <v>85</v>
      </c>
      <c r="BY1438" s="2">
        <v>1200</v>
      </c>
      <c r="CA1438" s="2" t="s">
        <v>110</v>
      </c>
      <c r="CC1438" s="2" t="s">
        <v>107</v>
      </c>
      <c r="CD1438" s="2">
        <v>2094</v>
      </c>
      <c r="CE1438" s="2" t="s">
        <v>120</v>
      </c>
      <c r="CF1438" s="3">
        <v>43082</v>
      </c>
      <c r="CI1438" s="2">
        <v>1</v>
      </c>
      <c r="CJ1438" s="2">
        <v>1</v>
      </c>
      <c r="CK1438" s="2">
        <v>22</v>
      </c>
      <c r="CL1438" s="2" t="s">
        <v>89</v>
      </c>
    </row>
    <row r="1439" spans="1:90">
      <c r="A1439" s="2" t="s">
        <v>71</v>
      </c>
      <c r="B1439" s="2" t="s">
        <v>72</v>
      </c>
      <c r="C1439" s="2" t="s">
        <v>73</v>
      </c>
      <c r="E1439" s="2" t="str">
        <f>"FES1162594705"</f>
        <v>FES1162594705</v>
      </c>
      <c r="F1439" s="3">
        <v>43080</v>
      </c>
      <c r="G1439" s="2">
        <v>201806</v>
      </c>
      <c r="H1439" s="2" t="s">
        <v>74</v>
      </c>
      <c r="I1439" s="2" t="s">
        <v>75</v>
      </c>
      <c r="J1439" s="2" t="s">
        <v>97</v>
      </c>
      <c r="K1439" s="2" t="s">
        <v>77</v>
      </c>
      <c r="L1439" s="2" t="s">
        <v>212</v>
      </c>
      <c r="M1439" s="2" t="s">
        <v>212</v>
      </c>
      <c r="N1439" s="2" t="s">
        <v>1263</v>
      </c>
      <c r="O1439" s="2" t="s">
        <v>101</v>
      </c>
      <c r="P1439" s="2" t="str">
        <f>"2170606576                    "</f>
        <v xml:space="preserve">2170606576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6.43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1.2</v>
      </c>
      <c r="BJ1439" s="2">
        <v>1.7</v>
      </c>
      <c r="BK1439" s="2">
        <v>2</v>
      </c>
      <c r="BL1439" s="2">
        <v>45.93</v>
      </c>
      <c r="BM1439" s="2">
        <v>6.43</v>
      </c>
      <c r="BN1439" s="2">
        <v>52.36</v>
      </c>
      <c r="BO1439" s="2">
        <v>52.36</v>
      </c>
      <c r="BQ1439" s="2" t="s">
        <v>82</v>
      </c>
      <c r="BR1439" s="2" t="s">
        <v>103</v>
      </c>
      <c r="BS1439" s="3">
        <v>43081</v>
      </c>
      <c r="BT1439" s="4">
        <v>0.61249999999999993</v>
      </c>
      <c r="BU1439" s="2" t="s">
        <v>1759</v>
      </c>
      <c r="BV1439" s="2" t="s">
        <v>89</v>
      </c>
      <c r="BW1439" s="2" t="s">
        <v>313</v>
      </c>
      <c r="BX1439" s="2" t="s">
        <v>368</v>
      </c>
      <c r="BY1439" s="2">
        <v>8436.1200000000008</v>
      </c>
      <c r="CC1439" s="2" t="s">
        <v>212</v>
      </c>
      <c r="CD1439" s="2">
        <v>7646</v>
      </c>
      <c r="CE1439" s="2" t="s">
        <v>95</v>
      </c>
      <c r="CF1439" s="3">
        <v>43082</v>
      </c>
      <c r="CI1439" s="2">
        <v>1</v>
      </c>
      <c r="CJ1439" s="2">
        <v>1</v>
      </c>
      <c r="CK1439" s="2">
        <v>21</v>
      </c>
      <c r="CL1439" s="2" t="s">
        <v>89</v>
      </c>
    </row>
    <row r="1440" spans="1:90">
      <c r="A1440" s="2" t="s">
        <v>71</v>
      </c>
      <c r="B1440" s="2" t="s">
        <v>72</v>
      </c>
      <c r="C1440" s="2" t="s">
        <v>73</v>
      </c>
      <c r="E1440" s="2" t="str">
        <f>"FES1162594942"</f>
        <v>FES1162594942</v>
      </c>
      <c r="F1440" s="3">
        <v>43080</v>
      </c>
      <c r="G1440" s="2">
        <v>201806</v>
      </c>
      <c r="H1440" s="2" t="s">
        <v>74</v>
      </c>
      <c r="I1440" s="2" t="s">
        <v>75</v>
      </c>
      <c r="J1440" s="2" t="s">
        <v>97</v>
      </c>
      <c r="K1440" s="2" t="s">
        <v>77</v>
      </c>
      <c r="L1440" s="2" t="s">
        <v>253</v>
      </c>
      <c r="M1440" s="2" t="s">
        <v>254</v>
      </c>
      <c r="N1440" s="2" t="s">
        <v>773</v>
      </c>
      <c r="O1440" s="2" t="s">
        <v>81</v>
      </c>
      <c r="P1440" s="2" t="str">
        <f>"2170606855                    "</f>
        <v xml:space="preserve">2170606855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13.8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2</v>
      </c>
      <c r="BI1440" s="2">
        <v>22.1</v>
      </c>
      <c r="BJ1440" s="2">
        <v>13</v>
      </c>
      <c r="BK1440" s="2">
        <v>23</v>
      </c>
      <c r="BL1440" s="2">
        <v>103.49</v>
      </c>
      <c r="BM1440" s="2">
        <v>14.49</v>
      </c>
      <c r="BN1440" s="2">
        <v>117.98</v>
      </c>
      <c r="BO1440" s="2">
        <v>117.98</v>
      </c>
      <c r="BQ1440" s="2" t="s">
        <v>82</v>
      </c>
      <c r="BR1440" s="2" t="s">
        <v>103</v>
      </c>
      <c r="BS1440" s="3">
        <v>43081</v>
      </c>
      <c r="BT1440" s="4">
        <v>0.41180555555555554</v>
      </c>
      <c r="BU1440" s="2" t="s">
        <v>1830</v>
      </c>
      <c r="BV1440" s="2" t="s">
        <v>85</v>
      </c>
      <c r="BY1440" s="2">
        <v>64825.36</v>
      </c>
      <c r="CA1440" s="2" t="s">
        <v>257</v>
      </c>
      <c r="CC1440" s="2" t="s">
        <v>254</v>
      </c>
      <c r="CD1440" s="2">
        <v>1911</v>
      </c>
      <c r="CE1440" s="2" t="s">
        <v>87</v>
      </c>
      <c r="CF1440" s="3">
        <v>43082</v>
      </c>
      <c r="CI1440" s="2">
        <v>1</v>
      </c>
      <c r="CJ1440" s="2">
        <v>1</v>
      </c>
      <c r="CK1440" s="2" t="s">
        <v>289</v>
      </c>
      <c r="CL1440" s="2" t="s">
        <v>89</v>
      </c>
    </row>
    <row r="1441" spans="1:90">
      <c r="A1441" s="2" t="s">
        <v>71</v>
      </c>
      <c r="B1441" s="2" t="s">
        <v>72</v>
      </c>
      <c r="C1441" s="2" t="s">
        <v>73</v>
      </c>
      <c r="E1441" s="2" t="str">
        <f>"FES1162594892"</f>
        <v>FES1162594892</v>
      </c>
      <c r="F1441" s="3">
        <v>43080</v>
      </c>
      <c r="G1441" s="2">
        <v>201806</v>
      </c>
      <c r="H1441" s="2" t="s">
        <v>74</v>
      </c>
      <c r="I1441" s="2" t="s">
        <v>75</v>
      </c>
      <c r="J1441" s="2" t="s">
        <v>97</v>
      </c>
      <c r="K1441" s="2" t="s">
        <v>77</v>
      </c>
      <c r="L1441" s="2" t="s">
        <v>136</v>
      </c>
      <c r="M1441" s="2" t="s">
        <v>137</v>
      </c>
      <c r="N1441" s="2" t="s">
        <v>178</v>
      </c>
      <c r="O1441" s="2" t="s">
        <v>81</v>
      </c>
      <c r="P1441" s="2" t="str">
        <f>"2170606789                    "</f>
        <v xml:space="preserve">2170606789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17.68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23</v>
      </c>
      <c r="BJ1441" s="2">
        <v>9.1999999999999993</v>
      </c>
      <c r="BK1441" s="2">
        <v>23</v>
      </c>
      <c r="BL1441" s="2">
        <v>131.22</v>
      </c>
      <c r="BM1441" s="2">
        <v>18.37</v>
      </c>
      <c r="BN1441" s="2">
        <v>149.59</v>
      </c>
      <c r="BO1441" s="2">
        <v>149.59</v>
      </c>
      <c r="BQ1441" s="2" t="s">
        <v>102</v>
      </c>
      <c r="BR1441" s="2" t="s">
        <v>103</v>
      </c>
      <c r="BS1441" s="3">
        <v>43082</v>
      </c>
      <c r="BT1441" s="4">
        <v>0.3125</v>
      </c>
      <c r="BU1441" s="2" t="s">
        <v>179</v>
      </c>
      <c r="BV1441" s="2" t="s">
        <v>85</v>
      </c>
      <c r="BY1441" s="2">
        <v>46146.239999999998</v>
      </c>
      <c r="CA1441" s="2" t="s">
        <v>180</v>
      </c>
      <c r="CC1441" s="2" t="s">
        <v>137</v>
      </c>
      <c r="CD1441" s="2">
        <v>6001</v>
      </c>
      <c r="CE1441" s="2" t="s">
        <v>95</v>
      </c>
      <c r="CF1441" s="3">
        <v>43084</v>
      </c>
      <c r="CI1441" s="2">
        <v>2</v>
      </c>
      <c r="CJ1441" s="2">
        <v>2</v>
      </c>
      <c r="CK1441" s="2" t="s">
        <v>271</v>
      </c>
      <c r="CL1441" s="2" t="s">
        <v>89</v>
      </c>
    </row>
    <row r="1442" spans="1:90">
      <c r="A1442" s="2" t="s">
        <v>71</v>
      </c>
      <c r="B1442" s="2" t="s">
        <v>72</v>
      </c>
      <c r="C1442" s="2" t="s">
        <v>73</v>
      </c>
      <c r="E1442" s="2" t="str">
        <f>"019911034482"</f>
        <v>019911034482</v>
      </c>
      <c r="F1442" s="3">
        <v>43080</v>
      </c>
      <c r="G1442" s="2">
        <v>201806</v>
      </c>
      <c r="H1442" s="2" t="s">
        <v>106</v>
      </c>
      <c r="I1442" s="2" t="s">
        <v>107</v>
      </c>
      <c r="J1442" s="2" t="s">
        <v>487</v>
      </c>
      <c r="K1442" s="2" t="s">
        <v>77</v>
      </c>
      <c r="L1442" s="2" t="s">
        <v>74</v>
      </c>
      <c r="M1442" s="2" t="s">
        <v>75</v>
      </c>
      <c r="N1442" s="2" t="s">
        <v>76</v>
      </c>
      <c r="O1442" s="2" t="s">
        <v>81</v>
      </c>
      <c r="P1442" s="2" t="str">
        <f>"Y                             "</f>
        <v xml:space="preserve">Y         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9.0500000000000007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0.3</v>
      </c>
      <c r="BJ1442" s="2">
        <v>1.6</v>
      </c>
      <c r="BK1442" s="2">
        <v>2</v>
      </c>
      <c r="BL1442" s="2">
        <v>69.599999999999994</v>
      </c>
      <c r="BM1442" s="2">
        <v>9.74</v>
      </c>
      <c r="BN1442" s="2">
        <v>79.34</v>
      </c>
      <c r="BO1442" s="2">
        <v>79.34</v>
      </c>
      <c r="BQ1442" s="2" t="s">
        <v>373</v>
      </c>
      <c r="BR1442" s="2" t="s">
        <v>1896</v>
      </c>
      <c r="BS1442" s="3">
        <v>43082</v>
      </c>
      <c r="BT1442" s="4">
        <v>0.36041666666666666</v>
      </c>
      <c r="BU1442" s="2" t="s">
        <v>1897</v>
      </c>
      <c r="BV1442" s="2" t="s">
        <v>89</v>
      </c>
      <c r="BY1442" s="2">
        <v>7967.96</v>
      </c>
      <c r="CA1442" s="2" t="s">
        <v>293</v>
      </c>
      <c r="CC1442" s="2" t="s">
        <v>75</v>
      </c>
      <c r="CD1442" s="2">
        <v>1600</v>
      </c>
      <c r="CE1442" s="2" t="s">
        <v>95</v>
      </c>
      <c r="CF1442" s="3">
        <v>43087</v>
      </c>
      <c r="CI1442" s="2">
        <v>1</v>
      </c>
      <c r="CJ1442" s="2">
        <v>2</v>
      </c>
      <c r="CK1442" s="2" t="s">
        <v>96</v>
      </c>
      <c r="CL1442" s="2" t="s">
        <v>89</v>
      </c>
    </row>
    <row r="1443" spans="1:90">
      <c r="A1443" s="2" t="s">
        <v>71</v>
      </c>
      <c r="B1443" s="2" t="s">
        <v>72</v>
      </c>
      <c r="C1443" s="2" t="s">
        <v>73</v>
      </c>
      <c r="E1443" s="2" t="str">
        <f>"089901251249"</f>
        <v>089901251249</v>
      </c>
      <c r="F1443" s="3">
        <v>43080</v>
      </c>
      <c r="G1443" s="2">
        <v>201806</v>
      </c>
      <c r="H1443" s="2" t="s">
        <v>440</v>
      </c>
      <c r="I1443" s="2" t="s">
        <v>441</v>
      </c>
      <c r="J1443" s="2" t="s">
        <v>1898</v>
      </c>
      <c r="K1443" s="2" t="s">
        <v>77</v>
      </c>
      <c r="L1443" s="2" t="s">
        <v>74</v>
      </c>
      <c r="M1443" s="2" t="s">
        <v>75</v>
      </c>
      <c r="N1443" s="2" t="s">
        <v>76</v>
      </c>
      <c r="O1443" s="2" t="s">
        <v>81</v>
      </c>
      <c r="P1443" s="2" t="str">
        <f>"17062701                      "</f>
        <v xml:space="preserve">17062701  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9.0500000000000007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</v>
      </c>
      <c r="BJ1443" s="2">
        <v>0.2</v>
      </c>
      <c r="BK1443" s="2">
        <v>1</v>
      </c>
      <c r="BL1443" s="2">
        <v>69.599999999999994</v>
      </c>
      <c r="BM1443" s="2">
        <v>9.74</v>
      </c>
      <c r="BN1443" s="2">
        <v>79.34</v>
      </c>
      <c r="BO1443" s="2">
        <v>79.34</v>
      </c>
      <c r="BQ1443" s="2" t="s">
        <v>83</v>
      </c>
      <c r="BR1443" s="2" t="s">
        <v>1899</v>
      </c>
      <c r="BS1443" s="3">
        <v>43082</v>
      </c>
      <c r="BT1443" s="4">
        <v>0.375</v>
      </c>
      <c r="BU1443" s="2" t="s">
        <v>1724</v>
      </c>
      <c r="BV1443" s="2" t="s">
        <v>89</v>
      </c>
      <c r="BW1443" s="2" t="s">
        <v>149</v>
      </c>
      <c r="BX1443" s="2" t="s">
        <v>157</v>
      </c>
      <c r="BY1443" s="2">
        <v>1200</v>
      </c>
      <c r="CC1443" s="2" t="s">
        <v>75</v>
      </c>
      <c r="CD1443" s="2">
        <v>1600</v>
      </c>
      <c r="CE1443" s="2" t="s">
        <v>1900</v>
      </c>
      <c r="CF1443" s="3">
        <v>43083</v>
      </c>
      <c r="CI1443" s="2">
        <v>1</v>
      </c>
      <c r="CJ1443" s="2">
        <v>2</v>
      </c>
      <c r="CK1443" s="2" t="s">
        <v>96</v>
      </c>
      <c r="CL1443" s="2" t="s">
        <v>89</v>
      </c>
    </row>
    <row r="1444" spans="1:90">
      <c r="A1444" s="2" t="s">
        <v>71</v>
      </c>
      <c r="B1444" s="2" t="s">
        <v>72</v>
      </c>
      <c r="C1444" s="2" t="s">
        <v>73</v>
      </c>
      <c r="E1444" s="2" t="str">
        <f>"FES1162595409"</f>
        <v>FES1162595409</v>
      </c>
      <c r="F1444" s="3">
        <v>43082</v>
      </c>
      <c r="G1444" s="2">
        <v>201806</v>
      </c>
      <c r="H1444" s="2" t="s">
        <v>74</v>
      </c>
      <c r="I1444" s="2" t="s">
        <v>75</v>
      </c>
      <c r="J1444" s="2" t="s">
        <v>97</v>
      </c>
      <c r="K1444" s="2" t="s">
        <v>77</v>
      </c>
      <c r="L1444" s="2" t="s">
        <v>125</v>
      </c>
      <c r="M1444" s="2" t="s">
        <v>126</v>
      </c>
      <c r="N1444" s="2" t="s">
        <v>856</v>
      </c>
      <c r="O1444" s="2" t="s">
        <v>101</v>
      </c>
      <c r="P1444" s="2" t="str">
        <f>"2170602823                    "</f>
        <v xml:space="preserve">2170602823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61.1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9.4</v>
      </c>
      <c r="BJ1444" s="2">
        <v>18.899999999999999</v>
      </c>
      <c r="BK1444" s="2">
        <v>19</v>
      </c>
      <c r="BL1444" s="2">
        <v>436.18</v>
      </c>
      <c r="BM1444" s="2">
        <v>61.07</v>
      </c>
      <c r="BN1444" s="2">
        <v>497.25</v>
      </c>
      <c r="BO1444" s="2">
        <v>497.25</v>
      </c>
      <c r="BQ1444" s="2" t="s">
        <v>82</v>
      </c>
      <c r="BR1444" s="2" t="s">
        <v>103</v>
      </c>
      <c r="BS1444" s="3">
        <v>43083</v>
      </c>
      <c r="BT1444" s="4">
        <v>0.33333333333333331</v>
      </c>
      <c r="BU1444" s="2" t="s">
        <v>857</v>
      </c>
      <c r="BV1444" s="2" t="s">
        <v>85</v>
      </c>
      <c r="BY1444" s="2">
        <v>94585.34</v>
      </c>
      <c r="CA1444" s="2" t="s">
        <v>135</v>
      </c>
      <c r="CC1444" s="2" t="s">
        <v>126</v>
      </c>
      <c r="CD1444" s="2">
        <v>4068</v>
      </c>
      <c r="CE1444" s="2" t="s">
        <v>95</v>
      </c>
      <c r="CF1444" s="3">
        <v>43084</v>
      </c>
      <c r="CI1444" s="2">
        <v>1</v>
      </c>
      <c r="CJ1444" s="2">
        <v>1</v>
      </c>
      <c r="CK1444" s="2">
        <v>21</v>
      </c>
      <c r="CL1444" s="2" t="s">
        <v>89</v>
      </c>
    </row>
    <row r="1445" spans="1:90">
      <c r="A1445" s="2" t="s">
        <v>71</v>
      </c>
      <c r="B1445" s="2" t="s">
        <v>72</v>
      </c>
      <c r="C1445" s="2" t="s">
        <v>73</v>
      </c>
      <c r="E1445" s="2" t="str">
        <f>"069908398339"</f>
        <v>069908398339</v>
      </c>
      <c r="F1445" s="3">
        <v>43075</v>
      </c>
      <c r="G1445" s="2">
        <v>201806</v>
      </c>
      <c r="H1445" s="2" t="s">
        <v>325</v>
      </c>
      <c r="I1445" s="2" t="s">
        <v>326</v>
      </c>
      <c r="J1445" s="2" t="s">
        <v>1901</v>
      </c>
      <c r="K1445" s="2" t="s">
        <v>77</v>
      </c>
      <c r="L1445" s="2" t="s">
        <v>74</v>
      </c>
      <c r="M1445" s="2" t="s">
        <v>75</v>
      </c>
      <c r="N1445" s="2" t="s">
        <v>76</v>
      </c>
      <c r="O1445" s="2" t="s">
        <v>81</v>
      </c>
      <c r="P1445" s="2" t="str">
        <f>"N A                           "</f>
        <v xml:space="preserve">N A       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9.66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16.8</v>
      </c>
      <c r="BJ1445" s="2">
        <v>2.8</v>
      </c>
      <c r="BK1445" s="2">
        <v>17</v>
      </c>
      <c r="BL1445" s="2">
        <v>73.930000000000007</v>
      </c>
      <c r="BM1445" s="2">
        <v>10.35</v>
      </c>
      <c r="BN1445" s="2">
        <v>84.28</v>
      </c>
      <c r="BO1445" s="2">
        <v>84.28</v>
      </c>
      <c r="BS1445" s="3">
        <v>43076</v>
      </c>
      <c r="BT1445" s="4">
        <v>0.4152777777777778</v>
      </c>
      <c r="BU1445" s="2" t="s">
        <v>1724</v>
      </c>
      <c r="BV1445" s="2" t="s">
        <v>85</v>
      </c>
      <c r="BY1445" s="2">
        <v>13750</v>
      </c>
      <c r="CC1445" s="2" t="s">
        <v>75</v>
      </c>
      <c r="CD1445" s="2">
        <v>1600</v>
      </c>
      <c r="CE1445" s="2" t="s">
        <v>87</v>
      </c>
      <c r="CF1445" s="3">
        <v>43081</v>
      </c>
      <c r="CI1445" s="2">
        <v>1</v>
      </c>
      <c r="CJ1445" s="2">
        <v>1</v>
      </c>
      <c r="CK1445" s="2" t="s">
        <v>1902</v>
      </c>
      <c r="CL1445" s="2" t="s">
        <v>89</v>
      </c>
    </row>
    <row r="1446" spans="1:90">
      <c r="A1446" s="2" t="s">
        <v>71</v>
      </c>
      <c r="B1446" s="2" t="s">
        <v>72</v>
      </c>
      <c r="C1446" s="2" t="s">
        <v>73</v>
      </c>
      <c r="E1446" s="2" t="str">
        <f>"FES1162594027"</f>
        <v>FES1162594027</v>
      </c>
      <c r="F1446" s="3">
        <v>43074</v>
      </c>
      <c r="G1446" s="2">
        <v>201806</v>
      </c>
      <c r="H1446" s="2" t="s">
        <v>74</v>
      </c>
      <c r="I1446" s="2" t="s">
        <v>75</v>
      </c>
      <c r="J1446" s="2" t="s">
        <v>97</v>
      </c>
      <c r="K1446" s="2" t="s">
        <v>77</v>
      </c>
      <c r="L1446" s="2" t="s">
        <v>106</v>
      </c>
      <c r="M1446" s="2" t="s">
        <v>107</v>
      </c>
      <c r="N1446" s="2" t="s">
        <v>338</v>
      </c>
      <c r="O1446" s="2" t="s">
        <v>81</v>
      </c>
      <c r="P1446" s="2" t="str">
        <f>"21706029                      "</f>
        <v xml:space="preserve">21706029  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15.92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45</v>
      </c>
      <c r="BJ1446" s="2">
        <v>42.7</v>
      </c>
      <c r="BK1446" s="2">
        <v>45</v>
      </c>
      <c r="BL1446" s="2">
        <v>132.27000000000001</v>
      </c>
      <c r="BM1446" s="2">
        <v>18.52</v>
      </c>
      <c r="BN1446" s="2">
        <v>150.79</v>
      </c>
      <c r="BO1446" s="2">
        <v>150.79</v>
      </c>
      <c r="BQ1446" s="2" t="s">
        <v>1485</v>
      </c>
      <c r="BR1446" s="2" t="s">
        <v>103</v>
      </c>
      <c r="BS1446" s="3">
        <v>43076</v>
      </c>
      <c r="BT1446" s="4">
        <v>0.53263888888888888</v>
      </c>
      <c r="BU1446" s="2" t="s">
        <v>1439</v>
      </c>
      <c r="BV1446" s="2" t="s">
        <v>89</v>
      </c>
      <c r="BW1446" s="2" t="s">
        <v>149</v>
      </c>
      <c r="BX1446" s="2" t="s">
        <v>276</v>
      </c>
      <c r="BY1446" s="2">
        <v>213528</v>
      </c>
      <c r="CC1446" s="2" t="s">
        <v>107</v>
      </c>
      <c r="CD1446" s="2">
        <v>2001</v>
      </c>
      <c r="CE1446" s="2" t="s">
        <v>87</v>
      </c>
      <c r="CF1446" s="3">
        <v>43081</v>
      </c>
      <c r="CI1446" s="2">
        <v>1</v>
      </c>
      <c r="CJ1446" s="2">
        <v>2</v>
      </c>
      <c r="CK1446" s="2" t="s">
        <v>96</v>
      </c>
      <c r="CL1446" s="2" t="s">
        <v>89</v>
      </c>
    </row>
    <row r="1447" spans="1:90">
      <c r="A1447" s="2" t="s">
        <v>71</v>
      </c>
      <c r="B1447" s="2" t="s">
        <v>72</v>
      </c>
      <c r="C1447" s="2" t="s">
        <v>73</v>
      </c>
      <c r="E1447" s="2" t="str">
        <f>"039902705165"</f>
        <v>039902705165</v>
      </c>
      <c r="F1447" s="3">
        <v>43074</v>
      </c>
      <c r="G1447" s="2">
        <v>201806</v>
      </c>
      <c r="H1447" s="2" t="s">
        <v>136</v>
      </c>
      <c r="I1447" s="2" t="s">
        <v>137</v>
      </c>
      <c r="J1447" s="2" t="s">
        <v>1903</v>
      </c>
      <c r="K1447" s="2" t="s">
        <v>77</v>
      </c>
      <c r="L1447" s="2" t="s">
        <v>74</v>
      </c>
      <c r="M1447" s="2" t="s">
        <v>75</v>
      </c>
      <c r="N1447" s="2" t="s">
        <v>76</v>
      </c>
      <c r="O1447" s="2" t="s">
        <v>81</v>
      </c>
      <c r="P1447" s="2" t="str">
        <f>"                              "</f>
        <v xml:space="preserve">          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11.56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1</v>
      </c>
      <c r="BJ1447" s="2">
        <v>1.3</v>
      </c>
      <c r="BK1447" s="2">
        <v>2</v>
      </c>
      <c r="BL1447" s="2">
        <v>97.42</v>
      </c>
      <c r="BM1447" s="2">
        <v>13.64</v>
      </c>
      <c r="BN1447" s="2">
        <v>111.06</v>
      </c>
      <c r="BO1447" s="2">
        <v>111.06</v>
      </c>
      <c r="BR1447" s="2" t="s">
        <v>1904</v>
      </c>
      <c r="BS1447" s="3">
        <v>43076</v>
      </c>
      <c r="BT1447" s="4">
        <v>0.4152777777777778</v>
      </c>
      <c r="BU1447" s="2" t="s">
        <v>1724</v>
      </c>
      <c r="BV1447" s="2" t="s">
        <v>85</v>
      </c>
      <c r="BY1447" s="2">
        <v>6720</v>
      </c>
      <c r="CC1447" s="2" t="s">
        <v>75</v>
      </c>
      <c r="CD1447" s="2">
        <v>1600</v>
      </c>
      <c r="CE1447" s="2" t="s">
        <v>87</v>
      </c>
      <c r="CF1447" s="3">
        <v>43081</v>
      </c>
      <c r="CI1447" s="2">
        <v>2</v>
      </c>
      <c r="CJ1447" s="2">
        <v>2</v>
      </c>
      <c r="CK1447" s="2" t="s">
        <v>271</v>
      </c>
      <c r="CL1447" s="2" t="s">
        <v>89</v>
      </c>
    </row>
    <row r="1448" spans="1:90">
      <c r="A1448" s="2" t="s">
        <v>71</v>
      </c>
      <c r="B1448" s="2" t="s">
        <v>72</v>
      </c>
      <c r="C1448" s="2" t="s">
        <v>73</v>
      </c>
      <c r="E1448" s="2" t="str">
        <f>"FES1162595284"</f>
        <v>FES1162595284</v>
      </c>
      <c r="F1448" s="3">
        <v>43081</v>
      </c>
      <c r="G1448" s="2">
        <v>201806</v>
      </c>
      <c r="H1448" s="2" t="s">
        <v>74</v>
      </c>
      <c r="I1448" s="2" t="s">
        <v>75</v>
      </c>
      <c r="J1448" s="2" t="s">
        <v>97</v>
      </c>
      <c r="K1448" s="2" t="s">
        <v>77</v>
      </c>
      <c r="L1448" s="2" t="s">
        <v>145</v>
      </c>
      <c r="M1448" s="2" t="s">
        <v>146</v>
      </c>
      <c r="N1448" s="2" t="s">
        <v>181</v>
      </c>
      <c r="O1448" s="2" t="s">
        <v>101</v>
      </c>
      <c r="P1448" s="2" t="str">
        <f>"2170607152                    "</f>
        <v xml:space="preserve">2170607152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6.43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1</v>
      </c>
      <c r="BJ1448" s="2">
        <v>0.2</v>
      </c>
      <c r="BK1448" s="2">
        <v>1</v>
      </c>
      <c r="BL1448" s="2">
        <v>45.93</v>
      </c>
      <c r="BM1448" s="2">
        <v>6.43</v>
      </c>
      <c r="BN1448" s="2">
        <v>52.36</v>
      </c>
      <c r="BO1448" s="2">
        <v>52.36</v>
      </c>
      <c r="BQ1448" s="2" t="s">
        <v>82</v>
      </c>
      <c r="BR1448" s="2" t="s">
        <v>103</v>
      </c>
      <c r="BS1448" s="3">
        <v>43082</v>
      </c>
      <c r="BT1448" s="4">
        <v>0.38125000000000003</v>
      </c>
      <c r="BU1448" s="2" t="s">
        <v>1905</v>
      </c>
      <c r="BV1448" s="2" t="s">
        <v>85</v>
      </c>
      <c r="BY1448" s="2">
        <v>1200</v>
      </c>
      <c r="BZ1448" s="2" t="s">
        <v>27</v>
      </c>
      <c r="CA1448" s="2" t="s">
        <v>183</v>
      </c>
      <c r="CC1448" s="2" t="s">
        <v>146</v>
      </c>
      <c r="CD1448" s="2">
        <v>5201</v>
      </c>
      <c r="CE1448" s="2" t="s">
        <v>383</v>
      </c>
      <c r="CF1448" s="3">
        <v>43087</v>
      </c>
      <c r="CI1448" s="2">
        <v>1</v>
      </c>
      <c r="CJ1448" s="2">
        <v>1</v>
      </c>
      <c r="CK1448" s="2">
        <v>21</v>
      </c>
      <c r="CL1448" s="2" t="s">
        <v>89</v>
      </c>
    </row>
    <row r="1449" spans="1:90">
      <c r="A1449" s="2" t="s">
        <v>71</v>
      </c>
      <c r="B1449" s="2" t="s">
        <v>72</v>
      </c>
      <c r="C1449" s="2" t="s">
        <v>73</v>
      </c>
      <c r="E1449" s="2" t="str">
        <f>"FES1162594796"</f>
        <v>FES1162594796</v>
      </c>
      <c r="F1449" s="3">
        <v>43081</v>
      </c>
      <c r="G1449" s="2">
        <v>201806</v>
      </c>
      <c r="H1449" s="2" t="s">
        <v>74</v>
      </c>
      <c r="I1449" s="2" t="s">
        <v>75</v>
      </c>
      <c r="J1449" s="2" t="s">
        <v>97</v>
      </c>
      <c r="K1449" s="2" t="s">
        <v>77</v>
      </c>
      <c r="L1449" s="2" t="s">
        <v>136</v>
      </c>
      <c r="M1449" s="2" t="s">
        <v>137</v>
      </c>
      <c r="N1449" s="2" t="s">
        <v>540</v>
      </c>
      <c r="O1449" s="2" t="s">
        <v>101</v>
      </c>
      <c r="P1449" s="2" t="str">
        <f>"2170605674                    "</f>
        <v xml:space="preserve">2170605674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6.43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1</v>
      </c>
      <c r="BJ1449" s="2">
        <v>0.2</v>
      </c>
      <c r="BK1449" s="2">
        <v>1</v>
      </c>
      <c r="BL1449" s="2">
        <v>45.93</v>
      </c>
      <c r="BM1449" s="2">
        <v>6.43</v>
      </c>
      <c r="BN1449" s="2">
        <v>52.36</v>
      </c>
      <c r="BO1449" s="2">
        <v>52.36</v>
      </c>
      <c r="BQ1449" s="2" t="s">
        <v>82</v>
      </c>
      <c r="BR1449" s="2" t="s">
        <v>103</v>
      </c>
      <c r="BS1449" s="3">
        <v>43082</v>
      </c>
      <c r="BT1449" s="4">
        <v>0.33055555555555555</v>
      </c>
      <c r="BU1449" s="2" t="s">
        <v>554</v>
      </c>
      <c r="BV1449" s="2" t="s">
        <v>85</v>
      </c>
      <c r="BY1449" s="2">
        <v>1200</v>
      </c>
      <c r="BZ1449" s="2" t="s">
        <v>27</v>
      </c>
      <c r="CA1449" s="2" t="s">
        <v>767</v>
      </c>
      <c r="CC1449" s="2" t="s">
        <v>137</v>
      </c>
      <c r="CD1449" s="2">
        <v>6045</v>
      </c>
      <c r="CE1449" s="2" t="s">
        <v>383</v>
      </c>
      <c r="CF1449" s="3">
        <v>43084</v>
      </c>
      <c r="CI1449" s="2">
        <v>1</v>
      </c>
      <c r="CJ1449" s="2">
        <v>1</v>
      </c>
      <c r="CK1449" s="2">
        <v>21</v>
      </c>
      <c r="CL1449" s="2" t="s">
        <v>89</v>
      </c>
    </row>
    <row r="1450" spans="1:90">
      <c r="A1450" s="2" t="s">
        <v>71</v>
      </c>
      <c r="B1450" s="2" t="s">
        <v>72</v>
      </c>
      <c r="C1450" s="2" t="s">
        <v>73</v>
      </c>
      <c r="E1450" s="2" t="str">
        <f>"RFES1162594323"</f>
        <v>RFES1162594323</v>
      </c>
      <c r="F1450" s="3">
        <v>43081</v>
      </c>
      <c r="G1450" s="2">
        <v>201806</v>
      </c>
      <c r="H1450" s="2" t="s">
        <v>162</v>
      </c>
      <c r="I1450" s="2" t="s">
        <v>163</v>
      </c>
      <c r="J1450" s="2" t="s">
        <v>1515</v>
      </c>
      <c r="K1450" s="2" t="s">
        <v>77</v>
      </c>
      <c r="L1450" s="2" t="s">
        <v>74</v>
      </c>
      <c r="M1450" s="2" t="s">
        <v>75</v>
      </c>
      <c r="N1450" s="2" t="s">
        <v>97</v>
      </c>
      <c r="O1450" s="2" t="s">
        <v>101</v>
      </c>
      <c r="P1450" s="2" t="str">
        <f>"2170602278                    "</f>
        <v xml:space="preserve">2170602278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5.03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</v>
      </c>
      <c r="BJ1450" s="2">
        <v>0.2</v>
      </c>
      <c r="BK1450" s="2">
        <v>1</v>
      </c>
      <c r="BL1450" s="2">
        <v>35.89</v>
      </c>
      <c r="BM1450" s="2">
        <v>5.0199999999999996</v>
      </c>
      <c r="BN1450" s="2">
        <v>40.909999999999997</v>
      </c>
      <c r="BO1450" s="2">
        <v>40.909999999999997</v>
      </c>
      <c r="BQ1450" s="2" t="s">
        <v>103</v>
      </c>
      <c r="BR1450" s="2" t="s">
        <v>82</v>
      </c>
      <c r="BS1450" s="3">
        <v>43083</v>
      </c>
      <c r="BT1450" s="4">
        <v>0.44305555555555554</v>
      </c>
      <c r="BU1450" s="2" t="s">
        <v>1724</v>
      </c>
      <c r="BV1450" s="2" t="s">
        <v>85</v>
      </c>
      <c r="BY1450" s="2">
        <v>1200</v>
      </c>
      <c r="CC1450" s="2" t="s">
        <v>75</v>
      </c>
      <c r="CD1450" s="2">
        <v>1600</v>
      </c>
      <c r="CE1450" s="2" t="s">
        <v>1906</v>
      </c>
      <c r="CF1450" s="3">
        <v>43084</v>
      </c>
      <c r="CI1450" s="2">
        <v>1</v>
      </c>
      <c r="CJ1450" s="2">
        <v>0</v>
      </c>
      <c r="CK1450" s="2">
        <v>22</v>
      </c>
      <c r="CL1450" s="2" t="s">
        <v>89</v>
      </c>
    </row>
    <row r="1451" spans="1:90">
      <c r="A1451" s="2" t="s">
        <v>71</v>
      </c>
      <c r="B1451" s="2" t="s">
        <v>72</v>
      </c>
      <c r="C1451" s="2" t="s">
        <v>73</v>
      </c>
      <c r="E1451" s="2" t="str">
        <f>"009936794705"</f>
        <v>009936794705</v>
      </c>
      <c r="F1451" s="3">
        <v>43081</v>
      </c>
      <c r="G1451" s="2">
        <v>201806</v>
      </c>
      <c r="H1451" s="2" t="s">
        <v>1487</v>
      </c>
      <c r="I1451" s="2" t="s">
        <v>1487</v>
      </c>
      <c r="J1451" s="2" t="s">
        <v>1907</v>
      </c>
      <c r="K1451" s="2" t="s">
        <v>77</v>
      </c>
      <c r="L1451" s="2" t="s">
        <v>74</v>
      </c>
      <c r="M1451" s="2" t="s">
        <v>75</v>
      </c>
      <c r="N1451" s="2" t="s">
        <v>76</v>
      </c>
      <c r="O1451" s="2" t="s">
        <v>101</v>
      </c>
      <c r="P1451" s="2" t="str">
        <f>"                              "</f>
        <v xml:space="preserve">          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6.43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45.93</v>
      </c>
      <c r="BM1451" s="2">
        <v>6.43</v>
      </c>
      <c r="BN1451" s="2">
        <v>52.36</v>
      </c>
      <c r="BO1451" s="2">
        <v>52.36</v>
      </c>
      <c r="BQ1451" s="2" t="s">
        <v>774</v>
      </c>
      <c r="BR1451" s="2" t="s">
        <v>1908</v>
      </c>
      <c r="BS1451" s="3">
        <v>43082</v>
      </c>
      <c r="BT1451" s="4">
        <v>0.375</v>
      </c>
      <c r="BU1451" s="2" t="s">
        <v>1909</v>
      </c>
      <c r="BV1451" s="2" t="s">
        <v>85</v>
      </c>
      <c r="BY1451" s="2">
        <v>1200</v>
      </c>
      <c r="BZ1451" s="2" t="s">
        <v>27</v>
      </c>
      <c r="CA1451" s="2" t="s">
        <v>366</v>
      </c>
      <c r="CC1451" s="2" t="s">
        <v>75</v>
      </c>
      <c r="CD1451" s="2">
        <v>1600</v>
      </c>
      <c r="CE1451" s="2" t="s">
        <v>95</v>
      </c>
      <c r="CF1451" s="3">
        <v>43083</v>
      </c>
      <c r="CI1451" s="2">
        <v>1</v>
      </c>
      <c r="CJ1451" s="2">
        <v>1</v>
      </c>
      <c r="CK1451" s="2">
        <v>21</v>
      </c>
      <c r="CL1451" s="2" t="s">
        <v>89</v>
      </c>
    </row>
    <row r="1452" spans="1:90">
      <c r="A1452" s="2" t="s">
        <v>71</v>
      </c>
      <c r="B1452" s="2" t="s">
        <v>72</v>
      </c>
      <c r="C1452" s="2" t="s">
        <v>73</v>
      </c>
      <c r="E1452" s="2" t="str">
        <f>"FES1162594614"</f>
        <v>FES1162594614</v>
      </c>
      <c r="F1452" s="3">
        <v>43081</v>
      </c>
      <c r="G1452" s="2">
        <v>201806</v>
      </c>
      <c r="H1452" s="2" t="s">
        <v>74</v>
      </c>
      <c r="I1452" s="2" t="s">
        <v>75</v>
      </c>
      <c r="J1452" s="2" t="s">
        <v>97</v>
      </c>
      <c r="K1452" s="2" t="s">
        <v>77</v>
      </c>
      <c r="L1452" s="2" t="s">
        <v>212</v>
      </c>
      <c r="M1452" s="2" t="s">
        <v>212</v>
      </c>
      <c r="N1452" s="2" t="s">
        <v>1677</v>
      </c>
      <c r="O1452" s="2" t="s">
        <v>101</v>
      </c>
      <c r="P1452" s="2" t="str">
        <f>"2170606333                    "</f>
        <v xml:space="preserve">2170606333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6.43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1</v>
      </c>
      <c r="BJ1452" s="2">
        <v>0.2</v>
      </c>
      <c r="BK1452" s="2">
        <v>1</v>
      </c>
      <c r="BL1452" s="2">
        <v>45.93</v>
      </c>
      <c r="BM1452" s="2">
        <v>6.43</v>
      </c>
      <c r="BN1452" s="2">
        <v>52.36</v>
      </c>
      <c r="BO1452" s="2">
        <v>52.36</v>
      </c>
      <c r="BQ1452" s="2" t="s">
        <v>82</v>
      </c>
      <c r="BR1452" s="2" t="s">
        <v>103</v>
      </c>
      <c r="BS1452" s="3">
        <v>43082</v>
      </c>
      <c r="BT1452" s="4">
        <v>0.55555555555555558</v>
      </c>
      <c r="BU1452" s="2" t="s">
        <v>1910</v>
      </c>
      <c r="BV1452" s="2" t="s">
        <v>85</v>
      </c>
      <c r="BY1452" s="2">
        <v>1200</v>
      </c>
      <c r="BZ1452" s="2" t="s">
        <v>27</v>
      </c>
      <c r="CC1452" s="2" t="s">
        <v>212</v>
      </c>
      <c r="CD1452" s="2">
        <v>7646</v>
      </c>
      <c r="CE1452" s="2" t="s">
        <v>383</v>
      </c>
      <c r="CF1452" s="3">
        <v>43083</v>
      </c>
      <c r="CI1452" s="2">
        <v>1</v>
      </c>
      <c r="CJ1452" s="2">
        <v>1</v>
      </c>
      <c r="CK1452" s="2">
        <v>21</v>
      </c>
      <c r="CL1452" s="2" t="s">
        <v>89</v>
      </c>
    </row>
    <row r="1453" spans="1:90">
      <c r="A1453" s="2" t="s">
        <v>71</v>
      </c>
      <c r="B1453" s="2" t="s">
        <v>72</v>
      </c>
      <c r="C1453" s="2" t="s">
        <v>73</v>
      </c>
      <c r="E1453" s="2" t="str">
        <f>"FES1162595164"</f>
        <v>FES1162595164</v>
      </c>
      <c r="F1453" s="3">
        <v>43081</v>
      </c>
      <c r="G1453" s="2">
        <v>201806</v>
      </c>
      <c r="H1453" s="2" t="s">
        <v>74</v>
      </c>
      <c r="I1453" s="2" t="s">
        <v>75</v>
      </c>
      <c r="J1453" s="2" t="s">
        <v>97</v>
      </c>
      <c r="K1453" s="2" t="s">
        <v>77</v>
      </c>
      <c r="L1453" s="2" t="s">
        <v>173</v>
      </c>
      <c r="M1453" s="2" t="s">
        <v>174</v>
      </c>
      <c r="N1453" s="2" t="s">
        <v>175</v>
      </c>
      <c r="O1453" s="2" t="s">
        <v>101</v>
      </c>
      <c r="P1453" s="2" t="str">
        <f>"2170607065                    "</f>
        <v xml:space="preserve">2170607065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6.43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2</v>
      </c>
      <c r="BJ1453" s="2">
        <v>0.2</v>
      </c>
      <c r="BK1453" s="2">
        <v>2</v>
      </c>
      <c r="BL1453" s="2">
        <v>45.93</v>
      </c>
      <c r="BM1453" s="2">
        <v>6.43</v>
      </c>
      <c r="BN1453" s="2">
        <v>52.36</v>
      </c>
      <c r="BO1453" s="2">
        <v>52.36</v>
      </c>
      <c r="BQ1453" s="2" t="s">
        <v>102</v>
      </c>
      <c r="BR1453" s="2" t="s">
        <v>103</v>
      </c>
      <c r="BS1453" s="3">
        <v>43082</v>
      </c>
      <c r="BT1453" s="4">
        <v>0.52708333333333335</v>
      </c>
      <c r="BU1453" s="2" t="s">
        <v>176</v>
      </c>
      <c r="BV1453" s="2" t="s">
        <v>89</v>
      </c>
      <c r="BW1453" s="2" t="s">
        <v>149</v>
      </c>
      <c r="BX1453" s="2" t="s">
        <v>368</v>
      </c>
      <c r="BY1453" s="2">
        <v>1200</v>
      </c>
      <c r="BZ1453" s="2" t="s">
        <v>27</v>
      </c>
      <c r="CA1453" s="2" t="s">
        <v>177</v>
      </c>
      <c r="CC1453" s="2" t="s">
        <v>174</v>
      </c>
      <c r="CD1453" s="2">
        <v>7405</v>
      </c>
      <c r="CE1453" s="2" t="s">
        <v>383</v>
      </c>
      <c r="CF1453" s="3">
        <v>43083</v>
      </c>
      <c r="CI1453" s="2">
        <v>1</v>
      </c>
      <c r="CJ1453" s="2">
        <v>1</v>
      </c>
      <c r="CK1453" s="2">
        <v>21</v>
      </c>
      <c r="CL1453" s="2" t="s">
        <v>89</v>
      </c>
    </row>
    <row r="1454" spans="1:90">
      <c r="A1454" s="2" t="s">
        <v>71</v>
      </c>
      <c r="B1454" s="2" t="s">
        <v>72</v>
      </c>
      <c r="C1454" s="2" t="s">
        <v>73</v>
      </c>
      <c r="E1454" s="2" t="str">
        <f>"FES1162594607"</f>
        <v>FES1162594607</v>
      </c>
      <c r="F1454" s="3">
        <v>43081</v>
      </c>
      <c r="G1454" s="2">
        <v>201806</v>
      </c>
      <c r="H1454" s="2" t="s">
        <v>74</v>
      </c>
      <c r="I1454" s="2" t="s">
        <v>75</v>
      </c>
      <c r="J1454" s="2" t="s">
        <v>97</v>
      </c>
      <c r="K1454" s="2" t="s">
        <v>77</v>
      </c>
      <c r="L1454" s="2" t="s">
        <v>173</v>
      </c>
      <c r="M1454" s="2" t="s">
        <v>174</v>
      </c>
      <c r="N1454" s="2" t="s">
        <v>1229</v>
      </c>
      <c r="O1454" s="2" t="s">
        <v>101</v>
      </c>
      <c r="P1454" s="2" t="str">
        <f>"2170606084                    "</f>
        <v xml:space="preserve">2170606084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6.43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</v>
      </c>
      <c r="BJ1454" s="2">
        <v>0.2</v>
      </c>
      <c r="BK1454" s="2">
        <v>1</v>
      </c>
      <c r="BL1454" s="2">
        <v>45.93</v>
      </c>
      <c r="BM1454" s="2">
        <v>6.43</v>
      </c>
      <c r="BN1454" s="2">
        <v>52.36</v>
      </c>
      <c r="BO1454" s="2">
        <v>52.36</v>
      </c>
      <c r="BQ1454" s="2" t="s">
        <v>229</v>
      </c>
      <c r="BR1454" s="2" t="s">
        <v>103</v>
      </c>
      <c r="BS1454" s="3">
        <v>43082</v>
      </c>
      <c r="BT1454" s="4">
        <v>0.3659722222222222</v>
      </c>
      <c r="BU1454" s="2" t="s">
        <v>1911</v>
      </c>
      <c r="BV1454" s="2" t="s">
        <v>85</v>
      </c>
      <c r="BY1454" s="2">
        <v>1200</v>
      </c>
      <c r="BZ1454" s="2" t="s">
        <v>27</v>
      </c>
      <c r="CA1454" s="2" t="s">
        <v>1389</v>
      </c>
      <c r="CC1454" s="2" t="s">
        <v>174</v>
      </c>
      <c r="CD1454" s="2">
        <v>7460</v>
      </c>
      <c r="CE1454" s="2" t="s">
        <v>383</v>
      </c>
      <c r="CF1454" s="3">
        <v>43083</v>
      </c>
      <c r="CI1454" s="2">
        <v>1</v>
      </c>
      <c r="CJ1454" s="2">
        <v>1</v>
      </c>
      <c r="CK1454" s="2">
        <v>21</v>
      </c>
      <c r="CL1454" s="2" t="s">
        <v>89</v>
      </c>
    </row>
    <row r="1455" spans="1:90">
      <c r="A1455" s="2" t="s">
        <v>71</v>
      </c>
      <c r="B1455" s="2" t="s">
        <v>72</v>
      </c>
      <c r="C1455" s="2" t="s">
        <v>73</v>
      </c>
      <c r="E1455" s="2" t="str">
        <f>"FES1162594837"</f>
        <v>FES1162594837</v>
      </c>
      <c r="F1455" s="3">
        <v>43081</v>
      </c>
      <c r="G1455" s="2">
        <v>201806</v>
      </c>
      <c r="H1455" s="2" t="s">
        <v>74</v>
      </c>
      <c r="I1455" s="2" t="s">
        <v>75</v>
      </c>
      <c r="J1455" s="2" t="s">
        <v>97</v>
      </c>
      <c r="K1455" s="2" t="s">
        <v>77</v>
      </c>
      <c r="L1455" s="2" t="s">
        <v>136</v>
      </c>
      <c r="M1455" s="2" t="s">
        <v>137</v>
      </c>
      <c r="N1455" s="2" t="s">
        <v>1652</v>
      </c>
      <c r="O1455" s="2" t="s">
        <v>908</v>
      </c>
      <c r="P1455" s="2" t="str">
        <f>"2170606727                    "</f>
        <v xml:space="preserve">2170606727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412.74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170.14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16</v>
      </c>
      <c r="BJ1455" s="2">
        <v>31.6</v>
      </c>
      <c r="BK1455" s="2">
        <v>32</v>
      </c>
      <c r="BL1455" s="2">
        <v>1214.58</v>
      </c>
      <c r="BM1455" s="2">
        <v>170.04</v>
      </c>
      <c r="BN1455" s="2">
        <v>1384.62</v>
      </c>
      <c r="BO1455" s="2">
        <v>1384.62</v>
      </c>
      <c r="BP1455" s="2" t="s">
        <v>908</v>
      </c>
      <c r="BQ1455" s="2" t="s">
        <v>1912</v>
      </c>
      <c r="BR1455" s="2" t="s">
        <v>103</v>
      </c>
      <c r="BS1455" s="3">
        <v>43081</v>
      </c>
      <c r="BT1455" s="4">
        <v>0.59375</v>
      </c>
      <c r="BU1455" s="2" t="s">
        <v>1913</v>
      </c>
      <c r="BV1455" s="2" t="s">
        <v>85</v>
      </c>
      <c r="BY1455" s="2">
        <v>157920</v>
      </c>
      <c r="BZ1455" s="2" t="s">
        <v>911</v>
      </c>
      <c r="CC1455" s="2" t="s">
        <v>137</v>
      </c>
      <c r="CD1455" s="2">
        <v>6001</v>
      </c>
      <c r="CE1455" s="2" t="s">
        <v>288</v>
      </c>
      <c r="CF1455" s="3">
        <v>43083</v>
      </c>
      <c r="CI1455" s="2">
        <v>0</v>
      </c>
      <c r="CJ1455" s="2">
        <v>0</v>
      </c>
      <c r="CK1455" s="2">
        <v>21</v>
      </c>
      <c r="CL1455" s="2" t="s">
        <v>89</v>
      </c>
    </row>
    <row r="1456" spans="1:90">
      <c r="A1456" s="2" t="s">
        <v>71</v>
      </c>
      <c r="B1456" s="2" t="s">
        <v>72</v>
      </c>
      <c r="C1456" s="2" t="s">
        <v>73</v>
      </c>
      <c r="E1456" s="2" t="str">
        <f>"FES1162594656"</f>
        <v>FES1162594656</v>
      </c>
      <c r="F1456" s="3">
        <v>43081</v>
      </c>
      <c r="G1456" s="2">
        <v>201806</v>
      </c>
      <c r="H1456" s="2" t="s">
        <v>74</v>
      </c>
      <c r="I1456" s="2" t="s">
        <v>75</v>
      </c>
      <c r="J1456" s="2" t="s">
        <v>97</v>
      </c>
      <c r="K1456" s="2" t="s">
        <v>77</v>
      </c>
      <c r="L1456" s="2" t="s">
        <v>136</v>
      </c>
      <c r="M1456" s="2" t="s">
        <v>137</v>
      </c>
      <c r="N1456" s="2" t="s">
        <v>1652</v>
      </c>
      <c r="O1456" s="2" t="s">
        <v>908</v>
      </c>
      <c r="P1456" s="2" t="str">
        <f>"217060509                     "</f>
        <v xml:space="preserve">217060509 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412.74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73.67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1</v>
      </c>
      <c r="BJ1456" s="2">
        <v>0.2</v>
      </c>
      <c r="BK1456" s="2">
        <v>1</v>
      </c>
      <c r="BL1456" s="2">
        <v>525.91</v>
      </c>
      <c r="BM1456" s="2">
        <v>73.63</v>
      </c>
      <c r="BN1456" s="2">
        <v>599.54</v>
      </c>
      <c r="BO1456" s="2">
        <v>599.54</v>
      </c>
      <c r="BP1456" s="2" t="s">
        <v>908</v>
      </c>
      <c r="BQ1456" s="2" t="s">
        <v>1914</v>
      </c>
      <c r="BR1456" s="2" t="s">
        <v>103</v>
      </c>
      <c r="BS1456" s="3">
        <v>43081</v>
      </c>
      <c r="BT1456" s="4">
        <v>0.59375</v>
      </c>
      <c r="BU1456" s="2" t="s">
        <v>1915</v>
      </c>
      <c r="BV1456" s="2" t="s">
        <v>85</v>
      </c>
      <c r="BY1456" s="2">
        <v>1200</v>
      </c>
      <c r="BZ1456" s="2" t="s">
        <v>911</v>
      </c>
      <c r="CC1456" s="2" t="s">
        <v>137</v>
      </c>
      <c r="CD1456" s="2">
        <v>6001</v>
      </c>
      <c r="CE1456" s="2" t="s">
        <v>383</v>
      </c>
      <c r="CF1456" s="3">
        <v>43083</v>
      </c>
      <c r="CI1456" s="2">
        <v>0</v>
      </c>
      <c r="CJ1456" s="2">
        <v>0</v>
      </c>
      <c r="CK1456" s="2">
        <v>21</v>
      </c>
      <c r="CL1456" s="2" t="s">
        <v>89</v>
      </c>
    </row>
    <row r="1457" spans="1:90">
      <c r="A1457" s="2" t="s">
        <v>71</v>
      </c>
      <c r="B1457" s="2" t="s">
        <v>72</v>
      </c>
      <c r="C1457" s="2" t="s">
        <v>73</v>
      </c>
      <c r="E1457" s="2" t="str">
        <f>"FES1162595188"</f>
        <v>FES1162595188</v>
      </c>
      <c r="F1457" s="3">
        <v>43081</v>
      </c>
      <c r="G1457" s="2">
        <v>201806</v>
      </c>
      <c r="H1457" s="2" t="s">
        <v>74</v>
      </c>
      <c r="I1457" s="2" t="s">
        <v>75</v>
      </c>
      <c r="J1457" s="2" t="s">
        <v>97</v>
      </c>
      <c r="K1457" s="2" t="s">
        <v>77</v>
      </c>
      <c r="L1457" s="2" t="s">
        <v>173</v>
      </c>
      <c r="M1457" s="2" t="s">
        <v>174</v>
      </c>
      <c r="N1457" s="2" t="s">
        <v>1916</v>
      </c>
      <c r="O1457" s="2" t="s">
        <v>101</v>
      </c>
      <c r="P1457" s="2" t="str">
        <f>"2170606232                    "</f>
        <v xml:space="preserve">2170606232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6.43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1</v>
      </c>
      <c r="BJ1457" s="2">
        <v>0.2</v>
      </c>
      <c r="BK1457" s="2">
        <v>1</v>
      </c>
      <c r="BL1457" s="2">
        <v>45.93</v>
      </c>
      <c r="BM1457" s="2">
        <v>6.43</v>
      </c>
      <c r="BN1457" s="2">
        <v>52.36</v>
      </c>
      <c r="BO1457" s="2">
        <v>52.36</v>
      </c>
      <c r="BQ1457" s="2" t="s">
        <v>82</v>
      </c>
      <c r="BR1457" s="2" t="s">
        <v>103</v>
      </c>
      <c r="BS1457" s="3">
        <v>43082</v>
      </c>
      <c r="BT1457" s="4">
        <v>0.47569444444444442</v>
      </c>
      <c r="BU1457" s="2" t="s">
        <v>1917</v>
      </c>
      <c r="BV1457" s="2" t="s">
        <v>89</v>
      </c>
      <c r="BW1457" s="2" t="s">
        <v>149</v>
      </c>
      <c r="BX1457" s="2" t="s">
        <v>368</v>
      </c>
      <c r="BY1457" s="2">
        <v>1200</v>
      </c>
      <c r="BZ1457" s="2" t="s">
        <v>27</v>
      </c>
      <c r="CA1457" s="2" t="s">
        <v>537</v>
      </c>
      <c r="CC1457" s="2" t="s">
        <v>174</v>
      </c>
      <c r="CD1457" s="2">
        <v>7500</v>
      </c>
      <c r="CE1457" s="2" t="s">
        <v>383</v>
      </c>
      <c r="CF1457" s="3">
        <v>43083</v>
      </c>
      <c r="CI1457" s="2">
        <v>1</v>
      </c>
      <c r="CJ1457" s="2">
        <v>1</v>
      </c>
      <c r="CK1457" s="2">
        <v>21</v>
      </c>
      <c r="CL1457" s="2" t="s">
        <v>89</v>
      </c>
    </row>
    <row r="1458" spans="1:90">
      <c r="A1458" s="2" t="s">
        <v>71</v>
      </c>
      <c r="B1458" s="2" t="s">
        <v>72</v>
      </c>
      <c r="C1458" s="2" t="s">
        <v>73</v>
      </c>
      <c r="E1458" s="2" t="str">
        <f>"FES1162595066"</f>
        <v>FES1162595066</v>
      </c>
      <c r="F1458" s="3">
        <v>43081</v>
      </c>
      <c r="G1458" s="2">
        <v>201806</v>
      </c>
      <c r="H1458" s="2" t="s">
        <v>74</v>
      </c>
      <c r="I1458" s="2" t="s">
        <v>75</v>
      </c>
      <c r="J1458" s="2" t="s">
        <v>97</v>
      </c>
      <c r="K1458" s="2" t="s">
        <v>77</v>
      </c>
      <c r="L1458" s="2" t="s">
        <v>173</v>
      </c>
      <c r="M1458" s="2" t="s">
        <v>174</v>
      </c>
      <c r="N1458" s="2" t="s">
        <v>175</v>
      </c>
      <c r="O1458" s="2" t="s">
        <v>101</v>
      </c>
      <c r="P1458" s="2" t="str">
        <f>"2170606991                    "</f>
        <v xml:space="preserve">2170606991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6.43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1</v>
      </c>
      <c r="BJ1458" s="2">
        <v>0.2</v>
      </c>
      <c r="BK1458" s="2">
        <v>1</v>
      </c>
      <c r="BL1458" s="2">
        <v>45.93</v>
      </c>
      <c r="BM1458" s="2">
        <v>6.43</v>
      </c>
      <c r="BN1458" s="2">
        <v>52.36</v>
      </c>
      <c r="BO1458" s="2">
        <v>52.36</v>
      </c>
      <c r="BQ1458" s="2" t="s">
        <v>102</v>
      </c>
      <c r="BR1458" s="2" t="s">
        <v>103</v>
      </c>
      <c r="BS1458" s="3">
        <v>43082</v>
      </c>
      <c r="BT1458" s="4">
        <v>0.52708333333333335</v>
      </c>
      <c r="BU1458" s="2" t="s">
        <v>176</v>
      </c>
      <c r="BV1458" s="2" t="s">
        <v>89</v>
      </c>
      <c r="BW1458" s="2" t="s">
        <v>149</v>
      </c>
      <c r="BX1458" s="2" t="s">
        <v>368</v>
      </c>
      <c r="BY1458" s="2">
        <v>1200</v>
      </c>
      <c r="BZ1458" s="2" t="s">
        <v>27</v>
      </c>
      <c r="CA1458" s="2" t="s">
        <v>1918</v>
      </c>
      <c r="CC1458" s="2" t="s">
        <v>174</v>
      </c>
      <c r="CD1458" s="2">
        <v>7405</v>
      </c>
      <c r="CE1458" s="2" t="s">
        <v>383</v>
      </c>
      <c r="CF1458" s="3">
        <v>43083</v>
      </c>
      <c r="CI1458" s="2">
        <v>1</v>
      </c>
      <c r="CJ1458" s="2">
        <v>1</v>
      </c>
      <c r="CK1458" s="2">
        <v>21</v>
      </c>
      <c r="CL1458" s="2" t="s">
        <v>89</v>
      </c>
    </row>
    <row r="1459" spans="1:90">
      <c r="A1459" s="2" t="s">
        <v>71</v>
      </c>
      <c r="B1459" s="2" t="s">
        <v>72</v>
      </c>
      <c r="C1459" s="2" t="s">
        <v>73</v>
      </c>
      <c r="E1459" s="2" t="str">
        <f>"FES1162595143"</f>
        <v>FES1162595143</v>
      </c>
      <c r="F1459" s="3">
        <v>43081</v>
      </c>
      <c r="G1459" s="2">
        <v>201806</v>
      </c>
      <c r="H1459" s="2" t="s">
        <v>74</v>
      </c>
      <c r="I1459" s="2" t="s">
        <v>75</v>
      </c>
      <c r="J1459" s="2" t="s">
        <v>97</v>
      </c>
      <c r="K1459" s="2" t="s">
        <v>77</v>
      </c>
      <c r="L1459" s="2" t="s">
        <v>173</v>
      </c>
      <c r="M1459" s="2" t="s">
        <v>174</v>
      </c>
      <c r="N1459" s="2" t="s">
        <v>876</v>
      </c>
      <c r="O1459" s="2" t="s">
        <v>101</v>
      </c>
      <c r="P1459" s="2" t="str">
        <f>"2170607051                    "</f>
        <v xml:space="preserve">2170607051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6.43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1</v>
      </c>
      <c r="BJ1459" s="2">
        <v>0.2</v>
      </c>
      <c r="BK1459" s="2">
        <v>1</v>
      </c>
      <c r="BL1459" s="2">
        <v>45.93</v>
      </c>
      <c r="BM1459" s="2">
        <v>6.43</v>
      </c>
      <c r="BN1459" s="2">
        <v>52.36</v>
      </c>
      <c r="BO1459" s="2">
        <v>52.36</v>
      </c>
      <c r="BQ1459" s="2" t="s">
        <v>128</v>
      </c>
      <c r="BR1459" s="2" t="s">
        <v>103</v>
      </c>
      <c r="BS1459" s="3">
        <v>43082</v>
      </c>
      <c r="BT1459" s="4">
        <v>0.42986111111111108</v>
      </c>
      <c r="BU1459" s="2" t="s">
        <v>877</v>
      </c>
      <c r="BV1459" s="2" t="s">
        <v>85</v>
      </c>
      <c r="BY1459" s="2">
        <v>1200</v>
      </c>
      <c r="BZ1459" s="2" t="s">
        <v>27</v>
      </c>
      <c r="CA1459" s="2" t="s">
        <v>1682</v>
      </c>
      <c r="CC1459" s="2" t="s">
        <v>174</v>
      </c>
      <c r="CD1459" s="2">
        <v>7441</v>
      </c>
      <c r="CE1459" s="2" t="s">
        <v>383</v>
      </c>
      <c r="CF1459" s="3">
        <v>43083</v>
      </c>
      <c r="CI1459" s="2">
        <v>1</v>
      </c>
      <c r="CJ1459" s="2">
        <v>1</v>
      </c>
      <c r="CK1459" s="2">
        <v>21</v>
      </c>
      <c r="CL1459" s="2" t="s">
        <v>89</v>
      </c>
    </row>
    <row r="1460" spans="1:90">
      <c r="A1460" s="2" t="s">
        <v>71</v>
      </c>
      <c r="B1460" s="2" t="s">
        <v>72</v>
      </c>
      <c r="C1460" s="2" t="s">
        <v>73</v>
      </c>
      <c r="E1460" s="2" t="str">
        <f>"FES1162595142"</f>
        <v>FES1162595142</v>
      </c>
      <c r="F1460" s="3">
        <v>43081</v>
      </c>
      <c r="G1460" s="2">
        <v>201806</v>
      </c>
      <c r="H1460" s="2" t="s">
        <v>74</v>
      </c>
      <c r="I1460" s="2" t="s">
        <v>75</v>
      </c>
      <c r="J1460" s="2" t="s">
        <v>97</v>
      </c>
      <c r="K1460" s="2" t="s">
        <v>77</v>
      </c>
      <c r="L1460" s="2" t="s">
        <v>173</v>
      </c>
      <c r="M1460" s="2" t="s">
        <v>174</v>
      </c>
      <c r="N1460" s="2" t="s">
        <v>876</v>
      </c>
      <c r="O1460" s="2" t="s">
        <v>101</v>
      </c>
      <c r="P1460" s="2" t="str">
        <f>"2170607049                    "</f>
        <v xml:space="preserve">2170607049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6.43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</v>
      </c>
      <c r="BJ1460" s="2">
        <v>0.2</v>
      </c>
      <c r="BK1460" s="2">
        <v>1</v>
      </c>
      <c r="BL1460" s="2">
        <v>45.93</v>
      </c>
      <c r="BM1460" s="2">
        <v>6.43</v>
      </c>
      <c r="BN1460" s="2">
        <v>52.36</v>
      </c>
      <c r="BO1460" s="2">
        <v>52.36</v>
      </c>
      <c r="BQ1460" s="2" t="s">
        <v>128</v>
      </c>
      <c r="BR1460" s="2" t="s">
        <v>103</v>
      </c>
      <c r="BS1460" s="3">
        <v>43082</v>
      </c>
      <c r="BT1460" s="4">
        <v>0.42986111111111108</v>
      </c>
      <c r="BU1460" s="2" t="s">
        <v>877</v>
      </c>
      <c r="BV1460" s="2" t="s">
        <v>85</v>
      </c>
      <c r="BY1460" s="2">
        <v>1200</v>
      </c>
      <c r="BZ1460" s="2" t="s">
        <v>27</v>
      </c>
      <c r="CA1460" s="2" t="s">
        <v>1682</v>
      </c>
      <c r="CC1460" s="2" t="s">
        <v>174</v>
      </c>
      <c r="CD1460" s="2">
        <v>7441</v>
      </c>
      <c r="CE1460" s="2" t="s">
        <v>383</v>
      </c>
      <c r="CF1460" s="3">
        <v>43083</v>
      </c>
      <c r="CI1460" s="2">
        <v>1</v>
      </c>
      <c r="CJ1460" s="2">
        <v>1</v>
      </c>
      <c r="CK1460" s="2">
        <v>21</v>
      </c>
      <c r="CL1460" s="2" t="s">
        <v>89</v>
      </c>
    </row>
    <row r="1461" spans="1:90">
      <c r="A1461" s="2" t="s">
        <v>71</v>
      </c>
      <c r="B1461" s="2" t="s">
        <v>72</v>
      </c>
      <c r="C1461" s="2" t="s">
        <v>73</v>
      </c>
      <c r="E1461" s="2" t="str">
        <f>"FES1162594593"</f>
        <v>FES1162594593</v>
      </c>
      <c r="F1461" s="3">
        <v>43081</v>
      </c>
      <c r="G1461" s="2">
        <v>201806</v>
      </c>
      <c r="H1461" s="2" t="s">
        <v>74</v>
      </c>
      <c r="I1461" s="2" t="s">
        <v>75</v>
      </c>
      <c r="J1461" s="2" t="s">
        <v>97</v>
      </c>
      <c r="K1461" s="2" t="s">
        <v>77</v>
      </c>
      <c r="L1461" s="2" t="s">
        <v>212</v>
      </c>
      <c r="M1461" s="2" t="s">
        <v>212</v>
      </c>
      <c r="N1461" s="2" t="s">
        <v>1919</v>
      </c>
      <c r="O1461" s="2" t="s">
        <v>101</v>
      </c>
      <c r="P1461" s="2" t="str">
        <f>"2170604875                    "</f>
        <v xml:space="preserve">2170604875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6.43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1</v>
      </c>
      <c r="BJ1461" s="2">
        <v>0.2</v>
      </c>
      <c r="BK1461" s="2">
        <v>1</v>
      </c>
      <c r="BL1461" s="2">
        <v>45.93</v>
      </c>
      <c r="BM1461" s="2">
        <v>6.43</v>
      </c>
      <c r="BN1461" s="2">
        <v>52.36</v>
      </c>
      <c r="BO1461" s="2">
        <v>52.36</v>
      </c>
      <c r="BQ1461" s="2" t="s">
        <v>102</v>
      </c>
      <c r="BR1461" s="2" t="s">
        <v>103</v>
      </c>
      <c r="BS1461" s="3">
        <v>43082</v>
      </c>
      <c r="BT1461" s="4">
        <v>0.48541666666666666</v>
      </c>
      <c r="BU1461" s="2" t="s">
        <v>1920</v>
      </c>
      <c r="BV1461" s="2" t="s">
        <v>85</v>
      </c>
      <c r="BY1461" s="2">
        <v>1200</v>
      </c>
      <c r="BZ1461" s="2" t="s">
        <v>27</v>
      </c>
      <c r="CA1461" s="2" t="s">
        <v>936</v>
      </c>
      <c r="CC1461" s="2" t="s">
        <v>212</v>
      </c>
      <c r="CD1461" s="2">
        <v>7646</v>
      </c>
      <c r="CE1461" s="2" t="s">
        <v>383</v>
      </c>
      <c r="CF1461" s="3">
        <v>43083</v>
      </c>
      <c r="CI1461" s="2">
        <v>1</v>
      </c>
      <c r="CJ1461" s="2">
        <v>1</v>
      </c>
      <c r="CK1461" s="2">
        <v>21</v>
      </c>
      <c r="CL1461" s="2" t="s">
        <v>89</v>
      </c>
    </row>
    <row r="1462" spans="1:90">
      <c r="A1462" s="2" t="s">
        <v>71</v>
      </c>
      <c r="B1462" s="2" t="s">
        <v>72</v>
      </c>
      <c r="C1462" s="2" t="s">
        <v>73</v>
      </c>
      <c r="E1462" s="2" t="str">
        <f>"FES1162595197"</f>
        <v>FES1162595197</v>
      </c>
      <c r="F1462" s="3">
        <v>43081</v>
      </c>
      <c r="G1462" s="2">
        <v>201806</v>
      </c>
      <c r="H1462" s="2" t="s">
        <v>74</v>
      </c>
      <c r="I1462" s="2" t="s">
        <v>75</v>
      </c>
      <c r="J1462" s="2" t="s">
        <v>97</v>
      </c>
      <c r="K1462" s="2" t="s">
        <v>77</v>
      </c>
      <c r="L1462" s="2" t="s">
        <v>173</v>
      </c>
      <c r="M1462" s="2" t="s">
        <v>174</v>
      </c>
      <c r="N1462" s="2" t="s">
        <v>802</v>
      </c>
      <c r="O1462" s="2" t="s">
        <v>101</v>
      </c>
      <c r="P1462" s="2" t="str">
        <f>"2170607093                    "</f>
        <v xml:space="preserve">2170607093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6.43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</v>
      </c>
      <c r="BJ1462" s="2">
        <v>0.2</v>
      </c>
      <c r="BK1462" s="2">
        <v>1</v>
      </c>
      <c r="BL1462" s="2">
        <v>45.93</v>
      </c>
      <c r="BM1462" s="2">
        <v>6.43</v>
      </c>
      <c r="BN1462" s="2">
        <v>52.36</v>
      </c>
      <c r="BO1462" s="2">
        <v>52.36</v>
      </c>
      <c r="BQ1462" s="2" t="s">
        <v>102</v>
      </c>
      <c r="BR1462" s="2" t="s">
        <v>103</v>
      </c>
      <c r="BS1462" s="3">
        <v>43082</v>
      </c>
      <c r="BT1462" s="4">
        <v>0.42222222222222222</v>
      </c>
      <c r="BU1462" s="2" t="s">
        <v>1921</v>
      </c>
      <c r="BV1462" s="2" t="s">
        <v>85</v>
      </c>
      <c r="BY1462" s="2">
        <v>1200</v>
      </c>
      <c r="BZ1462" s="2" t="s">
        <v>27</v>
      </c>
      <c r="CA1462" s="2" t="s">
        <v>395</v>
      </c>
      <c r="CC1462" s="2" t="s">
        <v>174</v>
      </c>
      <c r="CD1462" s="2">
        <v>7441</v>
      </c>
      <c r="CE1462" s="2" t="s">
        <v>383</v>
      </c>
      <c r="CF1462" s="3">
        <v>43083</v>
      </c>
      <c r="CI1462" s="2">
        <v>1</v>
      </c>
      <c r="CJ1462" s="2">
        <v>1</v>
      </c>
      <c r="CK1462" s="2">
        <v>21</v>
      </c>
      <c r="CL1462" s="2" t="s">
        <v>89</v>
      </c>
    </row>
    <row r="1463" spans="1:90">
      <c r="A1463" s="2" t="s">
        <v>71</v>
      </c>
      <c r="B1463" s="2" t="s">
        <v>72</v>
      </c>
      <c r="C1463" s="2" t="s">
        <v>73</v>
      </c>
      <c r="E1463" s="2" t="str">
        <f>"FES1162594999"</f>
        <v>FES1162594999</v>
      </c>
      <c r="F1463" s="3">
        <v>43081</v>
      </c>
      <c r="G1463" s="2">
        <v>201806</v>
      </c>
      <c r="H1463" s="2" t="s">
        <v>74</v>
      </c>
      <c r="I1463" s="2" t="s">
        <v>75</v>
      </c>
      <c r="J1463" s="2" t="s">
        <v>97</v>
      </c>
      <c r="K1463" s="2" t="s">
        <v>77</v>
      </c>
      <c r="L1463" s="2" t="s">
        <v>173</v>
      </c>
      <c r="M1463" s="2" t="s">
        <v>174</v>
      </c>
      <c r="N1463" s="2" t="s">
        <v>1039</v>
      </c>
      <c r="O1463" s="2" t="s">
        <v>101</v>
      </c>
      <c r="P1463" s="2" t="str">
        <f>"2170606915                    "</f>
        <v xml:space="preserve">2170606915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6.43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0.2</v>
      </c>
      <c r="BK1463" s="2">
        <v>1</v>
      </c>
      <c r="BL1463" s="2">
        <v>45.93</v>
      </c>
      <c r="BM1463" s="2">
        <v>6.43</v>
      </c>
      <c r="BN1463" s="2">
        <v>52.36</v>
      </c>
      <c r="BO1463" s="2">
        <v>52.36</v>
      </c>
      <c r="BQ1463" s="2" t="s">
        <v>102</v>
      </c>
      <c r="BR1463" s="2" t="s">
        <v>103</v>
      </c>
      <c r="BS1463" s="3">
        <v>43082</v>
      </c>
      <c r="BT1463" s="4">
        <v>0.37916666666666665</v>
      </c>
      <c r="BU1463" s="2" t="s">
        <v>1922</v>
      </c>
      <c r="BV1463" s="2" t="s">
        <v>85</v>
      </c>
      <c r="BY1463" s="2">
        <v>1200</v>
      </c>
      <c r="BZ1463" s="2" t="s">
        <v>27</v>
      </c>
      <c r="CA1463" s="2" t="s">
        <v>1923</v>
      </c>
      <c r="CC1463" s="2" t="s">
        <v>174</v>
      </c>
      <c r="CD1463" s="2">
        <v>7530</v>
      </c>
      <c r="CE1463" s="2" t="s">
        <v>383</v>
      </c>
      <c r="CF1463" s="3">
        <v>43083</v>
      </c>
      <c r="CI1463" s="2">
        <v>1</v>
      </c>
      <c r="CJ1463" s="2">
        <v>1</v>
      </c>
      <c r="CK1463" s="2">
        <v>21</v>
      </c>
      <c r="CL1463" s="2" t="s">
        <v>89</v>
      </c>
    </row>
    <row r="1464" spans="1:90">
      <c r="A1464" s="2" t="s">
        <v>71</v>
      </c>
      <c r="B1464" s="2" t="s">
        <v>72</v>
      </c>
      <c r="C1464" s="2" t="s">
        <v>73</v>
      </c>
      <c r="E1464" s="2" t="str">
        <f>"FES1162594983"</f>
        <v>FES1162594983</v>
      </c>
      <c r="F1464" s="3">
        <v>43081</v>
      </c>
      <c r="G1464" s="2">
        <v>201806</v>
      </c>
      <c r="H1464" s="2" t="s">
        <v>74</v>
      </c>
      <c r="I1464" s="2" t="s">
        <v>75</v>
      </c>
      <c r="J1464" s="2" t="s">
        <v>97</v>
      </c>
      <c r="K1464" s="2" t="s">
        <v>77</v>
      </c>
      <c r="L1464" s="2" t="s">
        <v>173</v>
      </c>
      <c r="M1464" s="2" t="s">
        <v>174</v>
      </c>
      <c r="N1464" s="2" t="s">
        <v>1924</v>
      </c>
      <c r="O1464" s="2" t="s">
        <v>101</v>
      </c>
      <c r="P1464" s="2" t="str">
        <f>"2170606886                    "</f>
        <v xml:space="preserve">2170606886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6.43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0.2</v>
      </c>
      <c r="BK1464" s="2">
        <v>1</v>
      </c>
      <c r="BL1464" s="2">
        <v>45.93</v>
      </c>
      <c r="BM1464" s="2">
        <v>6.43</v>
      </c>
      <c r="BN1464" s="2">
        <v>52.36</v>
      </c>
      <c r="BO1464" s="2">
        <v>52.36</v>
      </c>
      <c r="BQ1464" s="2" t="s">
        <v>82</v>
      </c>
      <c r="BR1464" s="2" t="s">
        <v>103</v>
      </c>
      <c r="BS1464" s="3">
        <v>43082</v>
      </c>
      <c r="BT1464" s="4">
        <v>0.53402777777777777</v>
      </c>
      <c r="BU1464" s="2" t="s">
        <v>1925</v>
      </c>
      <c r="BV1464" s="2" t="s">
        <v>89</v>
      </c>
      <c r="BW1464" s="2" t="s">
        <v>149</v>
      </c>
      <c r="BX1464" s="2" t="s">
        <v>368</v>
      </c>
      <c r="BY1464" s="2">
        <v>1200</v>
      </c>
      <c r="BZ1464" s="2" t="s">
        <v>27</v>
      </c>
      <c r="CA1464" s="2" t="s">
        <v>360</v>
      </c>
      <c r="CC1464" s="2" t="s">
        <v>174</v>
      </c>
      <c r="CD1464" s="2">
        <v>7405</v>
      </c>
      <c r="CE1464" s="2" t="s">
        <v>383</v>
      </c>
      <c r="CF1464" s="3">
        <v>43083</v>
      </c>
      <c r="CI1464" s="2">
        <v>1</v>
      </c>
      <c r="CJ1464" s="2">
        <v>1</v>
      </c>
      <c r="CK1464" s="2">
        <v>21</v>
      </c>
      <c r="CL1464" s="2" t="s">
        <v>89</v>
      </c>
    </row>
    <row r="1465" spans="1:90">
      <c r="A1465" s="2" t="s">
        <v>71</v>
      </c>
      <c r="B1465" s="2" t="s">
        <v>72</v>
      </c>
      <c r="C1465" s="2" t="s">
        <v>73</v>
      </c>
      <c r="E1465" s="2" t="str">
        <f>"FES1162595209"</f>
        <v>FES1162595209</v>
      </c>
      <c r="F1465" s="3">
        <v>43081</v>
      </c>
      <c r="G1465" s="2">
        <v>201806</v>
      </c>
      <c r="H1465" s="2" t="s">
        <v>74</v>
      </c>
      <c r="I1465" s="2" t="s">
        <v>75</v>
      </c>
      <c r="J1465" s="2" t="s">
        <v>97</v>
      </c>
      <c r="K1465" s="2" t="s">
        <v>77</v>
      </c>
      <c r="L1465" s="2" t="s">
        <v>173</v>
      </c>
      <c r="M1465" s="2" t="s">
        <v>174</v>
      </c>
      <c r="N1465" s="2" t="s">
        <v>1926</v>
      </c>
      <c r="O1465" s="2" t="s">
        <v>101</v>
      </c>
      <c r="P1465" s="2" t="str">
        <f>"2170607072                    "</f>
        <v xml:space="preserve">2170607072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6.43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</v>
      </c>
      <c r="BJ1465" s="2">
        <v>0.2</v>
      </c>
      <c r="BK1465" s="2">
        <v>1</v>
      </c>
      <c r="BL1465" s="2">
        <v>45.93</v>
      </c>
      <c r="BM1465" s="2">
        <v>6.43</v>
      </c>
      <c r="BN1465" s="2">
        <v>52.36</v>
      </c>
      <c r="BO1465" s="2">
        <v>52.36</v>
      </c>
      <c r="BQ1465" s="2" t="s">
        <v>102</v>
      </c>
      <c r="BR1465" s="2" t="s">
        <v>103</v>
      </c>
      <c r="BS1465" s="3">
        <v>43082</v>
      </c>
      <c r="BT1465" s="4">
        <v>0.4381944444444445</v>
      </c>
      <c r="BU1465" s="2" t="s">
        <v>1927</v>
      </c>
      <c r="BV1465" s="2" t="s">
        <v>85</v>
      </c>
      <c r="BY1465" s="2">
        <v>1200</v>
      </c>
      <c r="BZ1465" s="2" t="s">
        <v>27</v>
      </c>
      <c r="CA1465" s="2" t="s">
        <v>1682</v>
      </c>
      <c r="CC1465" s="2" t="s">
        <v>174</v>
      </c>
      <c r="CD1465" s="2">
        <v>7441</v>
      </c>
      <c r="CE1465" s="2" t="s">
        <v>383</v>
      </c>
      <c r="CF1465" s="3">
        <v>43083</v>
      </c>
      <c r="CI1465" s="2">
        <v>1</v>
      </c>
      <c r="CJ1465" s="2">
        <v>1</v>
      </c>
      <c r="CK1465" s="2">
        <v>21</v>
      </c>
      <c r="CL1465" s="2" t="s">
        <v>89</v>
      </c>
    </row>
    <row r="1466" spans="1:90">
      <c r="A1466" s="2" t="s">
        <v>71</v>
      </c>
      <c r="B1466" s="2" t="s">
        <v>72</v>
      </c>
      <c r="C1466" s="2" t="s">
        <v>73</v>
      </c>
      <c r="E1466" s="2" t="str">
        <f>"FES1162595187"</f>
        <v>FES1162595187</v>
      </c>
      <c r="F1466" s="3">
        <v>43081</v>
      </c>
      <c r="G1466" s="2">
        <v>201806</v>
      </c>
      <c r="H1466" s="2" t="s">
        <v>74</v>
      </c>
      <c r="I1466" s="2" t="s">
        <v>75</v>
      </c>
      <c r="J1466" s="2" t="s">
        <v>97</v>
      </c>
      <c r="K1466" s="2" t="s">
        <v>77</v>
      </c>
      <c r="L1466" s="2" t="s">
        <v>173</v>
      </c>
      <c r="M1466" s="2" t="s">
        <v>174</v>
      </c>
      <c r="N1466" s="2" t="s">
        <v>1928</v>
      </c>
      <c r="O1466" s="2" t="s">
        <v>101</v>
      </c>
      <c r="P1466" s="2" t="str">
        <f>"2170606215                    "</f>
        <v xml:space="preserve">2170606215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6.43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</v>
      </c>
      <c r="BJ1466" s="2">
        <v>0.2</v>
      </c>
      <c r="BK1466" s="2">
        <v>1</v>
      </c>
      <c r="BL1466" s="2">
        <v>45.93</v>
      </c>
      <c r="BM1466" s="2">
        <v>6.43</v>
      </c>
      <c r="BN1466" s="2">
        <v>52.36</v>
      </c>
      <c r="BO1466" s="2">
        <v>52.36</v>
      </c>
      <c r="BQ1466" s="2" t="s">
        <v>82</v>
      </c>
      <c r="BR1466" s="2" t="s">
        <v>103</v>
      </c>
      <c r="BS1466" s="3">
        <v>43082</v>
      </c>
      <c r="BT1466" s="4">
        <v>0.47569444444444442</v>
      </c>
      <c r="BU1466" s="2" t="s">
        <v>1917</v>
      </c>
      <c r="BV1466" s="2" t="s">
        <v>89</v>
      </c>
      <c r="BW1466" s="2" t="s">
        <v>149</v>
      </c>
      <c r="BX1466" s="2" t="s">
        <v>368</v>
      </c>
      <c r="BY1466" s="2">
        <v>1200</v>
      </c>
      <c r="BZ1466" s="2" t="s">
        <v>27</v>
      </c>
      <c r="CA1466" s="2" t="s">
        <v>1929</v>
      </c>
      <c r="CC1466" s="2" t="s">
        <v>174</v>
      </c>
      <c r="CD1466" s="2">
        <v>7500</v>
      </c>
      <c r="CE1466" s="2" t="s">
        <v>383</v>
      </c>
      <c r="CF1466" s="3">
        <v>43083</v>
      </c>
      <c r="CI1466" s="2">
        <v>1</v>
      </c>
      <c r="CJ1466" s="2">
        <v>1</v>
      </c>
      <c r="CK1466" s="2">
        <v>21</v>
      </c>
      <c r="CL1466" s="2" t="s">
        <v>89</v>
      </c>
    </row>
    <row r="1467" spans="1:90">
      <c r="A1467" s="2" t="s">
        <v>71</v>
      </c>
      <c r="B1467" s="2" t="s">
        <v>72</v>
      </c>
      <c r="C1467" s="2" t="s">
        <v>73</v>
      </c>
      <c r="E1467" s="2" t="str">
        <f>"FES1162595217"</f>
        <v>FES1162595217</v>
      </c>
      <c r="F1467" s="3">
        <v>43081</v>
      </c>
      <c r="G1467" s="2">
        <v>201806</v>
      </c>
      <c r="H1467" s="2" t="s">
        <v>74</v>
      </c>
      <c r="I1467" s="2" t="s">
        <v>75</v>
      </c>
      <c r="J1467" s="2" t="s">
        <v>97</v>
      </c>
      <c r="K1467" s="2" t="s">
        <v>77</v>
      </c>
      <c r="L1467" s="2" t="s">
        <v>173</v>
      </c>
      <c r="M1467" s="2" t="s">
        <v>174</v>
      </c>
      <c r="N1467" s="2" t="s">
        <v>349</v>
      </c>
      <c r="O1467" s="2" t="s">
        <v>101</v>
      </c>
      <c r="P1467" s="2" t="str">
        <f>"2170607112                    "</f>
        <v xml:space="preserve">2170607112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6.43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1</v>
      </c>
      <c r="BJ1467" s="2">
        <v>0.2</v>
      </c>
      <c r="BK1467" s="2">
        <v>1</v>
      </c>
      <c r="BL1467" s="2">
        <v>45.93</v>
      </c>
      <c r="BM1467" s="2">
        <v>6.43</v>
      </c>
      <c r="BN1467" s="2">
        <v>52.36</v>
      </c>
      <c r="BO1467" s="2">
        <v>52.36</v>
      </c>
      <c r="BQ1467" s="2" t="s">
        <v>82</v>
      </c>
      <c r="BR1467" s="2" t="s">
        <v>103</v>
      </c>
      <c r="BS1467" s="3">
        <v>43082</v>
      </c>
      <c r="BT1467" s="4">
        <v>0.41666666666666669</v>
      </c>
      <c r="BU1467" s="2" t="s">
        <v>880</v>
      </c>
      <c r="BV1467" s="2" t="s">
        <v>85</v>
      </c>
      <c r="BY1467" s="2">
        <v>1200</v>
      </c>
      <c r="BZ1467" s="2" t="s">
        <v>27</v>
      </c>
      <c r="CA1467" s="2" t="s">
        <v>1713</v>
      </c>
      <c r="CC1467" s="2" t="s">
        <v>174</v>
      </c>
      <c r="CD1467" s="2">
        <v>7800</v>
      </c>
      <c r="CE1467" s="2" t="s">
        <v>383</v>
      </c>
      <c r="CF1467" s="3">
        <v>43082</v>
      </c>
      <c r="CI1467" s="2">
        <v>1</v>
      </c>
      <c r="CJ1467" s="2">
        <v>1</v>
      </c>
      <c r="CK1467" s="2">
        <v>21</v>
      </c>
      <c r="CL1467" s="2" t="s">
        <v>89</v>
      </c>
    </row>
    <row r="1468" spans="1:90">
      <c r="A1468" s="2" t="s">
        <v>71</v>
      </c>
      <c r="B1468" s="2" t="s">
        <v>72</v>
      </c>
      <c r="C1468" s="2" t="s">
        <v>73</v>
      </c>
      <c r="E1468" s="2" t="str">
        <f>"FES1162594578"</f>
        <v>FES1162594578</v>
      </c>
      <c r="F1468" s="3">
        <v>43081</v>
      </c>
      <c r="G1468" s="2">
        <v>201806</v>
      </c>
      <c r="H1468" s="2" t="s">
        <v>74</v>
      </c>
      <c r="I1468" s="2" t="s">
        <v>75</v>
      </c>
      <c r="J1468" s="2" t="s">
        <v>97</v>
      </c>
      <c r="K1468" s="2" t="s">
        <v>77</v>
      </c>
      <c r="L1468" s="2" t="s">
        <v>173</v>
      </c>
      <c r="M1468" s="2" t="s">
        <v>174</v>
      </c>
      <c r="N1468" s="2" t="s">
        <v>175</v>
      </c>
      <c r="O1468" s="2" t="s">
        <v>101</v>
      </c>
      <c r="P1468" s="2" t="str">
        <f>"2170603387                    "</f>
        <v xml:space="preserve">2170603387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6.43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</v>
      </c>
      <c r="BJ1468" s="2">
        <v>0.2</v>
      </c>
      <c r="BK1468" s="2">
        <v>1</v>
      </c>
      <c r="BL1468" s="2">
        <v>45.93</v>
      </c>
      <c r="BM1468" s="2">
        <v>6.43</v>
      </c>
      <c r="BN1468" s="2">
        <v>52.36</v>
      </c>
      <c r="BO1468" s="2">
        <v>52.36</v>
      </c>
      <c r="BQ1468" s="2" t="s">
        <v>102</v>
      </c>
      <c r="BR1468" s="2" t="s">
        <v>103</v>
      </c>
      <c r="BS1468" s="3">
        <v>43082</v>
      </c>
      <c r="BT1468" s="4">
        <v>0.52638888888888891</v>
      </c>
      <c r="BU1468" s="2" t="s">
        <v>176</v>
      </c>
      <c r="BV1468" s="2" t="s">
        <v>89</v>
      </c>
      <c r="BW1468" s="2" t="s">
        <v>149</v>
      </c>
      <c r="BX1468" s="2" t="s">
        <v>368</v>
      </c>
      <c r="BY1468" s="2">
        <v>1200</v>
      </c>
      <c r="BZ1468" s="2" t="s">
        <v>27</v>
      </c>
      <c r="CA1468" s="2" t="s">
        <v>177</v>
      </c>
      <c r="CC1468" s="2" t="s">
        <v>174</v>
      </c>
      <c r="CD1468" s="2">
        <v>7405</v>
      </c>
      <c r="CE1468" s="2" t="s">
        <v>383</v>
      </c>
      <c r="CF1468" s="3">
        <v>43083</v>
      </c>
      <c r="CI1468" s="2">
        <v>1</v>
      </c>
      <c r="CJ1468" s="2">
        <v>1</v>
      </c>
      <c r="CK1468" s="2">
        <v>21</v>
      </c>
      <c r="CL1468" s="2" t="s">
        <v>89</v>
      </c>
    </row>
    <row r="1469" spans="1:90">
      <c r="A1469" s="2" t="s">
        <v>71</v>
      </c>
      <c r="B1469" s="2" t="s">
        <v>72</v>
      </c>
      <c r="C1469" s="2" t="s">
        <v>73</v>
      </c>
      <c r="E1469" s="2" t="str">
        <f>"FES1162594587"</f>
        <v>FES1162594587</v>
      </c>
      <c r="F1469" s="3">
        <v>43081</v>
      </c>
      <c r="G1469" s="2">
        <v>201806</v>
      </c>
      <c r="H1469" s="2" t="s">
        <v>74</v>
      </c>
      <c r="I1469" s="2" t="s">
        <v>75</v>
      </c>
      <c r="J1469" s="2" t="s">
        <v>97</v>
      </c>
      <c r="K1469" s="2" t="s">
        <v>77</v>
      </c>
      <c r="L1469" s="2" t="s">
        <v>173</v>
      </c>
      <c r="M1469" s="2" t="s">
        <v>174</v>
      </c>
      <c r="N1469" s="2" t="s">
        <v>1622</v>
      </c>
      <c r="O1469" s="2" t="s">
        <v>101</v>
      </c>
      <c r="P1469" s="2" t="str">
        <f>"2170603805                    "</f>
        <v xml:space="preserve">2170603805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6.43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1</v>
      </c>
      <c r="BJ1469" s="2">
        <v>0.2</v>
      </c>
      <c r="BK1469" s="2">
        <v>1</v>
      </c>
      <c r="BL1469" s="2">
        <v>45.93</v>
      </c>
      <c r="BM1469" s="2">
        <v>6.43</v>
      </c>
      <c r="BN1469" s="2">
        <v>52.36</v>
      </c>
      <c r="BO1469" s="2">
        <v>52.36</v>
      </c>
      <c r="BQ1469" s="2" t="s">
        <v>82</v>
      </c>
      <c r="BR1469" s="2" t="s">
        <v>103</v>
      </c>
      <c r="BS1469" s="3">
        <v>43082</v>
      </c>
      <c r="BT1469" s="4">
        <v>0.39583333333333331</v>
      </c>
      <c r="BU1469" s="2" t="s">
        <v>1930</v>
      </c>
      <c r="BV1469" s="2" t="s">
        <v>85</v>
      </c>
      <c r="BY1469" s="2">
        <v>1200</v>
      </c>
      <c r="BZ1469" s="2" t="s">
        <v>27</v>
      </c>
      <c r="CA1469" s="2" t="s">
        <v>1923</v>
      </c>
      <c r="CC1469" s="2" t="s">
        <v>174</v>
      </c>
      <c r="CD1469" s="2">
        <v>7530</v>
      </c>
      <c r="CE1469" s="2" t="s">
        <v>383</v>
      </c>
      <c r="CF1469" s="3">
        <v>43083</v>
      </c>
      <c r="CI1469" s="2">
        <v>1</v>
      </c>
      <c r="CJ1469" s="2">
        <v>1</v>
      </c>
      <c r="CK1469" s="2">
        <v>21</v>
      </c>
      <c r="CL1469" s="2" t="s">
        <v>89</v>
      </c>
    </row>
    <row r="1470" spans="1:90">
      <c r="A1470" s="2" t="s">
        <v>71</v>
      </c>
      <c r="B1470" s="2" t="s">
        <v>72</v>
      </c>
      <c r="C1470" s="2" t="s">
        <v>73</v>
      </c>
      <c r="E1470" s="2" t="str">
        <f>"FES1162595088"</f>
        <v>FES1162595088</v>
      </c>
      <c r="F1470" s="3">
        <v>43081</v>
      </c>
      <c r="G1470" s="2">
        <v>201806</v>
      </c>
      <c r="H1470" s="2" t="s">
        <v>74</v>
      </c>
      <c r="I1470" s="2" t="s">
        <v>75</v>
      </c>
      <c r="J1470" s="2" t="s">
        <v>97</v>
      </c>
      <c r="K1470" s="2" t="s">
        <v>77</v>
      </c>
      <c r="L1470" s="2" t="s">
        <v>173</v>
      </c>
      <c r="M1470" s="2" t="s">
        <v>174</v>
      </c>
      <c r="N1470" s="2" t="s">
        <v>1931</v>
      </c>
      <c r="O1470" s="2" t="s">
        <v>101</v>
      </c>
      <c r="P1470" s="2" t="str">
        <f>"2170606999                    "</f>
        <v xml:space="preserve">2170606999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6.43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1</v>
      </c>
      <c r="BJ1470" s="2">
        <v>0.2</v>
      </c>
      <c r="BK1470" s="2">
        <v>1</v>
      </c>
      <c r="BL1470" s="2">
        <v>45.93</v>
      </c>
      <c r="BM1470" s="2">
        <v>6.43</v>
      </c>
      <c r="BN1470" s="2">
        <v>52.36</v>
      </c>
      <c r="BO1470" s="2">
        <v>52.36</v>
      </c>
      <c r="BQ1470" s="2" t="s">
        <v>82</v>
      </c>
      <c r="BR1470" s="2" t="s">
        <v>103</v>
      </c>
      <c r="BS1470" s="3">
        <v>43082</v>
      </c>
      <c r="BT1470" s="4">
        <v>0.44513888888888892</v>
      </c>
      <c r="BU1470" s="2" t="s">
        <v>1932</v>
      </c>
      <c r="BV1470" s="2" t="s">
        <v>85</v>
      </c>
      <c r="BY1470" s="2">
        <v>1200</v>
      </c>
      <c r="BZ1470" s="2" t="s">
        <v>27</v>
      </c>
      <c r="CA1470" s="2" t="s">
        <v>216</v>
      </c>
      <c r="CC1470" s="2" t="s">
        <v>174</v>
      </c>
      <c r="CD1470" s="2">
        <v>7945</v>
      </c>
      <c r="CE1470" s="2" t="s">
        <v>383</v>
      </c>
      <c r="CF1470" s="3">
        <v>43083</v>
      </c>
      <c r="CI1470" s="2">
        <v>1</v>
      </c>
      <c r="CJ1470" s="2">
        <v>1</v>
      </c>
      <c r="CK1470" s="2">
        <v>21</v>
      </c>
      <c r="CL1470" s="2" t="s">
        <v>89</v>
      </c>
    </row>
    <row r="1471" spans="1:90">
      <c r="A1471" s="2" t="s">
        <v>71</v>
      </c>
      <c r="B1471" s="2" t="s">
        <v>72</v>
      </c>
      <c r="C1471" s="2" t="s">
        <v>73</v>
      </c>
      <c r="E1471" s="2" t="str">
        <f>"FES1162594783"</f>
        <v>FES1162594783</v>
      </c>
      <c r="F1471" s="3">
        <v>43081</v>
      </c>
      <c r="G1471" s="2">
        <v>201806</v>
      </c>
      <c r="H1471" s="2" t="s">
        <v>74</v>
      </c>
      <c r="I1471" s="2" t="s">
        <v>75</v>
      </c>
      <c r="J1471" s="2" t="s">
        <v>97</v>
      </c>
      <c r="K1471" s="2" t="s">
        <v>77</v>
      </c>
      <c r="L1471" s="2" t="s">
        <v>173</v>
      </c>
      <c r="M1471" s="2" t="s">
        <v>174</v>
      </c>
      <c r="N1471" s="2" t="s">
        <v>1039</v>
      </c>
      <c r="O1471" s="2" t="s">
        <v>101</v>
      </c>
      <c r="P1471" s="2" t="str">
        <f>"2170603382                    "</f>
        <v xml:space="preserve">2170603382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6.43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1</v>
      </c>
      <c r="BJ1471" s="2">
        <v>0.2</v>
      </c>
      <c r="BK1471" s="2">
        <v>1</v>
      </c>
      <c r="BL1471" s="2">
        <v>45.93</v>
      </c>
      <c r="BM1471" s="2">
        <v>6.43</v>
      </c>
      <c r="BN1471" s="2">
        <v>52.36</v>
      </c>
      <c r="BO1471" s="2">
        <v>52.36</v>
      </c>
      <c r="BQ1471" s="2" t="s">
        <v>82</v>
      </c>
      <c r="BR1471" s="2" t="s">
        <v>103</v>
      </c>
      <c r="BS1471" s="3">
        <v>43082</v>
      </c>
      <c r="BT1471" s="4">
        <v>0.37847222222222227</v>
      </c>
      <c r="BU1471" s="2" t="s">
        <v>1922</v>
      </c>
      <c r="BV1471" s="2" t="s">
        <v>85</v>
      </c>
      <c r="BY1471" s="2">
        <v>1200</v>
      </c>
      <c r="BZ1471" s="2" t="s">
        <v>27</v>
      </c>
      <c r="CA1471" s="2" t="s">
        <v>1923</v>
      </c>
      <c r="CC1471" s="2" t="s">
        <v>174</v>
      </c>
      <c r="CD1471" s="2">
        <v>7530</v>
      </c>
      <c r="CE1471" s="2" t="s">
        <v>383</v>
      </c>
      <c r="CF1471" s="3">
        <v>43083</v>
      </c>
      <c r="CI1471" s="2">
        <v>1</v>
      </c>
      <c r="CJ1471" s="2">
        <v>1</v>
      </c>
      <c r="CK1471" s="2">
        <v>21</v>
      </c>
      <c r="CL1471" s="2" t="s">
        <v>89</v>
      </c>
    </row>
    <row r="1472" spans="1:90">
      <c r="A1472" s="2" t="s">
        <v>71</v>
      </c>
      <c r="B1472" s="2" t="s">
        <v>72</v>
      </c>
      <c r="C1472" s="2" t="s">
        <v>73</v>
      </c>
      <c r="E1472" s="2" t="str">
        <f>"FES1162595045"</f>
        <v>FES1162595045</v>
      </c>
      <c r="F1472" s="3">
        <v>43081</v>
      </c>
      <c r="G1472" s="2">
        <v>201806</v>
      </c>
      <c r="H1472" s="2" t="s">
        <v>74</v>
      </c>
      <c r="I1472" s="2" t="s">
        <v>75</v>
      </c>
      <c r="J1472" s="2" t="s">
        <v>97</v>
      </c>
      <c r="K1472" s="2" t="s">
        <v>77</v>
      </c>
      <c r="L1472" s="2" t="s">
        <v>173</v>
      </c>
      <c r="M1472" s="2" t="s">
        <v>174</v>
      </c>
      <c r="N1472" s="2" t="s">
        <v>802</v>
      </c>
      <c r="O1472" s="2" t="s">
        <v>101</v>
      </c>
      <c r="P1472" s="2" t="str">
        <f>"2170606964                    "</f>
        <v xml:space="preserve">2170606964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8.0399999999999991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2</v>
      </c>
      <c r="BI1472" s="2">
        <v>2</v>
      </c>
      <c r="BJ1472" s="2">
        <v>2.2000000000000002</v>
      </c>
      <c r="BK1472" s="2">
        <v>2.5</v>
      </c>
      <c r="BL1472" s="2">
        <v>57.41</v>
      </c>
      <c r="BM1472" s="2">
        <v>8.0399999999999991</v>
      </c>
      <c r="BN1472" s="2">
        <v>65.45</v>
      </c>
      <c r="BO1472" s="2">
        <v>65.45</v>
      </c>
      <c r="BQ1472" s="2" t="s">
        <v>102</v>
      </c>
      <c r="BR1472" s="2" t="s">
        <v>103</v>
      </c>
      <c r="BS1472" s="3">
        <v>43082</v>
      </c>
      <c r="BT1472" s="4">
        <v>0.42222222222222222</v>
      </c>
      <c r="BU1472" s="2" t="s">
        <v>1933</v>
      </c>
      <c r="BV1472" s="2" t="s">
        <v>85</v>
      </c>
      <c r="BY1472" s="2">
        <v>11100</v>
      </c>
      <c r="BZ1472" s="2" t="s">
        <v>27</v>
      </c>
      <c r="CA1472" s="2" t="s">
        <v>395</v>
      </c>
      <c r="CC1472" s="2" t="s">
        <v>174</v>
      </c>
      <c r="CD1472" s="2">
        <v>7441</v>
      </c>
      <c r="CE1472" s="2" t="s">
        <v>120</v>
      </c>
      <c r="CF1472" s="3">
        <v>43083</v>
      </c>
      <c r="CI1472" s="2">
        <v>1</v>
      </c>
      <c r="CJ1472" s="2">
        <v>1</v>
      </c>
      <c r="CK1472" s="2">
        <v>21</v>
      </c>
      <c r="CL1472" s="2" t="s">
        <v>89</v>
      </c>
    </row>
    <row r="1473" spans="1:90">
      <c r="A1473" s="2" t="s">
        <v>71</v>
      </c>
      <c r="B1473" s="2" t="s">
        <v>72</v>
      </c>
      <c r="C1473" s="2" t="s">
        <v>73</v>
      </c>
      <c r="E1473" s="2" t="str">
        <f>"FES1162594577"</f>
        <v>FES1162594577</v>
      </c>
      <c r="F1473" s="3">
        <v>43081</v>
      </c>
      <c r="G1473" s="2">
        <v>201806</v>
      </c>
      <c r="H1473" s="2" t="s">
        <v>74</v>
      </c>
      <c r="I1473" s="2" t="s">
        <v>75</v>
      </c>
      <c r="J1473" s="2" t="s">
        <v>97</v>
      </c>
      <c r="K1473" s="2" t="s">
        <v>77</v>
      </c>
      <c r="L1473" s="2" t="s">
        <v>173</v>
      </c>
      <c r="M1473" s="2" t="s">
        <v>174</v>
      </c>
      <c r="N1473" s="2" t="s">
        <v>100</v>
      </c>
      <c r="O1473" s="2" t="s">
        <v>101</v>
      </c>
      <c r="P1473" s="2" t="str">
        <f>"2170603005                    "</f>
        <v xml:space="preserve">2170603005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6.43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2</v>
      </c>
      <c r="BJ1473" s="2">
        <v>2</v>
      </c>
      <c r="BK1473" s="2">
        <v>2</v>
      </c>
      <c r="BL1473" s="2">
        <v>45.93</v>
      </c>
      <c r="BM1473" s="2">
        <v>6.43</v>
      </c>
      <c r="BN1473" s="2">
        <v>52.36</v>
      </c>
      <c r="BO1473" s="2">
        <v>52.36</v>
      </c>
      <c r="BQ1473" s="2" t="s">
        <v>128</v>
      </c>
      <c r="BR1473" s="2" t="s">
        <v>103</v>
      </c>
      <c r="BS1473" s="3">
        <v>43082</v>
      </c>
      <c r="BT1473" s="4">
        <v>0.41666666666666669</v>
      </c>
      <c r="BU1473" s="2" t="s">
        <v>287</v>
      </c>
      <c r="BV1473" s="2" t="s">
        <v>85</v>
      </c>
      <c r="BY1473" s="2">
        <v>9900</v>
      </c>
      <c r="BZ1473" s="2" t="s">
        <v>27</v>
      </c>
      <c r="CC1473" s="2" t="s">
        <v>174</v>
      </c>
      <c r="CD1473" s="2">
        <v>7560</v>
      </c>
      <c r="CE1473" s="2" t="s">
        <v>288</v>
      </c>
      <c r="CF1473" s="3">
        <v>43083</v>
      </c>
      <c r="CI1473" s="2">
        <v>1</v>
      </c>
      <c r="CJ1473" s="2">
        <v>1</v>
      </c>
      <c r="CK1473" s="2">
        <v>21</v>
      </c>
      <c r="CL1473" s="2" t="s">
        <v>89</v>
      </c>
    </row>
    <row r="1474" spans="1:90">
      <c r="A1474" s="2" t="s">
        <v>71</v>
      </c>
      <c r="B1474" s="2" t="s">
        <v>72</v>
      </c>
      <c r="C1474" s="2" t="s">
        <v>73</v>
      </c>
      <c r="E1474" s="2" t="str">
        <f>"FES1162595122"</f>
        <v>FES1162595122</v>
      </c>
      <c r="F1474" s="3">
        <v>43081</v>
      </c>
      <c r="G1474" s="2">
        <v>201806</v>
      </c>
      <c r="H1474" s="2" t="s">
        <v>74</v>
      </c>
      <c r="I1474" s="2" t="s">
        <v>75</v>
      </c>
      <c r="J1474" s="2" t="s">
        <v>97</v>
      </c>
      <c r="K1474" s="2" t="s">
        <v>77</v>
      </c>
      <c r="L1474" s="2" t="s">
        <v>844</v>
      </c>
      <c r="M1474" s="2" t="s">
        <v>844</v>
      </c>
      <c r="N1474" s="2" t="s">
        <v>1451</v>
      </c>
      <c r="O1474" s="2" t="s">
        <v>101</v>
      </c>
      <c r="P1474" s="2" t="str">
        <f>"2170607025                    "</f>
        <v xml:space="preserve">2170607025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11.26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1.9</v>
      </c>
      <c r="BJ1474" s="2">
        <v>3.1</v>
      </c>
      <c r="BK1474" s="2">
        <v>3.5</v>
      </c>
      <c r="BL1474" s="2">
        <v>80.37</v>
      </c>
      <c r="BM1474" s="2">
        <v>11.25</v>
      </c>
      <c r="BN1474" s="2">
        <v>91.62</v>
      </c>
      <c r="BO1474" s="2">
        <v>91.62</v>
      </c>
      <c r="BQ1474" s="2" t="s">
        <v>82</v>
      </c>
      <c r="BR1474" s="2" t="s">
        <v>103</v>
      </c>
      <c r="BS1474" s="3">
        <v>43083</v>
      </c>
      <c r="BT1474" s="4">
        <v>0.44375000000000003</v>
      </c>
      <c r="BU1474" s="2" t="s">
        <v>1825</v>
      </c>
      <c r="BV1474" s="2" t="s">
        <v>85</v>
      </c>
      <c r="BY1474" s="2">
        <v>15381.7</v>
      </c>
      <c r="BZ1474" s="2" t="s">
        <v>27</v>
      </c>
      <c r="CA1474" s="2" t="s">
        <v>847</v>
      </c>
      <c r="CC1474" s="2" t="s">
        <v>844</v>
      </c>
      <c r="CD1474" s="2">
        <v>6835</v>
      </c>
      <c r="CE1474" s="2" t="s">
        <v>288</v>
      </c>
      <c r="CF1474" s="3">
        <v>43088</v>
      </c>
      <c r="CI1474" s="2">
        <v>3</v>
      </c>
      <c r="CJ1474" s="2">
        <v>2</v>
      </c>
      <c r="CK1474" s="2">
        <v>21</v>
      </c>
      <c r="CL1474" s="2" t="s">
        <v>89</v>
      </c>
    </row>
    <row r="1475" spans="1:90">
      <c r="A1475" s="2" t="s">
        <v>71</v>
      </c>
      <c r="B1475" s="2" t="s">
        <v>72</v>
      </c>
      <c r="C1475" s="2" t="s">
        <v>73</v>
      </c>
      <c r="E1475" s="2" t="str">
        <f>"FES1162595136"</f>
        <v>FES1162595136</v>
      </c>
      <c r="F1475" s="3">
        <v>43081</v>
      </c>
      <c r="G1475" s="2">
        <v>201806</v>
      </c>
      <c r="H1475" s="2" t="s">
        <v>74</v>
      </c>
      <c r="I1475" s="2" t="s">
        <v>75</v>
      </c>
      <c r="J1475" s="2" t="s">
        <v>97</v>
      </c>
      <c r="K1475" s="2" t="s">
        <v>77</v>
      </c>
      <c r="L1475" s="2" t="s">
        <v>173</v>
      </c>
      <c r="M1475" s="2" t="s">
        <v>174</v>
      </c>
      <c r="N1475" s="2" t="s">
        <v>433</v>
      </c>
      <c r="O1475" s="2" t="s">
        <v>101</v>
      </c>
      <c r="P1475" s="2" t="str">
        <f>"21706607007                   "</f>
        <v xml:space="preserve">21706607007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11.26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2</v>
      </c>
      <c r="BJ1475" s="2">
        <v>3.4</v>
      </c>
      <c r="BK1475" s="2">
        <v>3.5</v>
      </c>
      <c r="BL1475" s="2">
        <v>80.37</v>
      </c>
      <c r="BM1475" s="2">
        <v>11.25</v>
      </c>
      <c r="BN1475" s="2">
        <v>91.62</v>
      </c>
      <c r="BO1475" s="2">
        <v>91.62</v>
      </c>
      <c r="BQ1475" s="2" t="s">
        <v>102</v>
      </c>
      <c r="BR1475" s="2" t="s">
        <v>103</v>
      </c>
      <c r="BS1475" s="3">
        <v>43082</v>
      </c>
      <c r="BT1475" s="4">
        <v>0.52013888888888882</v>
      </c>
      <c r="BU1475" s="2" t="s">
        <v>434</v>
      </c>
      <c r="BV1475" s="2" t="s">
        <v>89</v>
      </c>
      <c r="BW1475" s="2" t="s">
        <v>149</v>
      </c>
      <c r="BX1475" s="2" t="s">
        <v>368</v>
      </c>
      <c r="BY1475" s="2">
        <v>17094</v>
      </c>
      <c r="BZ1475" s="2" t="s">
        <v>27</v>
      </c>
      <c r="CA1475" s="2" t="s">
        <v>177</v>
      </c>
      <c r="CC1475" s="2" t="s">
        <v>174</v>
      </c>
      <c r="CD1475" s="2">
        <v>7441</v>
      </c>
      <c r="CE1475" s="2" t="s">
        <v>288</v>
      </c>
      <c r="CF1475" s="3">
        <v>43083</v>
      </c>
      <c r="CI1475" s="2">
        <v>1</v>
      </c>
      <c r="CJ1475" s="2">
        <v>1</v>
      </c>
      <c r="CK1475" s="2">
        <v>21</v>
      </c>
      <c r="CL1475" s="2" t="s">
        <v>89</v>
      </c>
    </row>
    <row r="1476" spans="1:90">
      <c r="A1476" s="2" t="s">
        <v>71</v>
      </c>
      <c r="B1476" s="2" t="s">
        <v>72</v>
      </c>
      <c r="C1476" s="2" t="s">
        <v>73</v>
      </c>
      <c r="E1476" s="2" t="str">
        <f>"FES1162595134"</f>
        <v>FES1162595134</v>
      </c>
      <c r="F1476" s="3">
        <v>43081</v>
      </c>
      <c r="G1476" s="2">
        <v>201806</v>
      </c>
      <c r="H1476" s="2" t="s">
        <v>74</v>
      </c>
      <c r="I1476" s="2" t="s">
        <v>75</v>
      </c>
      <c r="J1476" s="2" t="s">
        <v>97</v>
      </c>
      <c r="K1476" s="2" t="s">
        <v>77</v>
      </c>
      <c r="L1476" s="2" t="s">
        <v>173</v>
      </c>
      <c r="M1476" s="2" t="s">
        <v>174</v>
      </c>
      <c r="N1476" s="2" t="s">
        <v>1934</v>
      </c>
      <c r="O1476" s="2" t="s">
        <v>101</v>
      </c>
      <c r="P1476" s="2" t="str">
        <f>"2170607039                    "</f>
        <v xml:space="preserve">2170607039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57.88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9</v>
      </c>
      <c r="BJ1476" s="2">
        <v>17.899999999999999</v>
      </c>
      <c r="BK1476" s="2">
        <v>18</v>
      </c>
      <c r="BL1476" s="2">
        <v>413.22</v>
      </c>
      <c r="BM1476" s="2">
        <v>57.85</v>
      </c>
      <c r="BN1476" s="2">
        <v>471.07</v>
      </c>
      <c r="BO1476" s="2">
        <v>471.07</v>
      </c>
      <c r="BQ1476" s="2" t="s">
        <v>82</v>
      </c>
      <c r="BR1476" s="2" t="s">
        <v>103</v>
      </c>
      <c r="BS1476" s="3">
        <v>43082</v>
      </c>
      <c r="BT1476" s="4">
        <v>0.43958333333333338</v>
      </c>
      <c r="BU1476" s="2" t="s">
        <v>1935</v>
      </c>
      <c r="BV1476" s="2" t="s">
        <v>85</v>
      </c>
      <c r="BY1476" s="2">
        <v>89366.03</v>
      </c>
      <c r="BZ1476" s="2" t="s">
        <v>27</v>
      </c>
      <c r="CA1476" s="2" t="s">
        <v>1389</v>
      </c>
      <c r="CC1476" s="2" t="s">
        <v>174</v>
      </c>
      <c r="CD1476" s="2">
        <v>7460</v>
      </c>
      <c r="CE1476" s="2" t="s">
        <v>288</v>
      </c>
      <c r="CF1476" s="3">
        <v>43083</v>
      </c>
      <c r="CI1476" s="2">
        <v>1</v>
      </c>
      <c r="CJ1476" s="2">
        <v>1</v>
      </c>
      <c r="CK1476" s="2">
        <v>21</v>
      </c>
      <c r="CL1476" s="2" t="s">
        <v>89</v>
      </c>
    </row>
    <row r="1477" spans="1:90">
      <c r="A1477" s="2" t="s">
        <v>71</v>
      </c>
      <c r="B1477" s="2" t="s">
        <v>72</v>
      </c>
      <c r="C1477" s="2" t="s">
        <v>73</v>
      </c>
      <c r="E1477" s="2" t="str">
        <f>"FES1162595150"</f>
        <v>FES1162595150</v>
      </c>
      <c r="F1477" s="3">
        <v>43081</v>
      </c>
      <c r="G1477" s="2">
        <v>201806</v>
      </c>
      <c r="H1477" s="2" t="s">
        <v>74</v>
      </c>
      <c r="I1477" s="2" t="s">
        <v>75</v>
      </c>
      <c r="J1477" s="2" t="s">
        <v>97</v>
      </c>
      <c r="K1477" s="2" t="s">
        <v>77</v>
      </c>
      <c r="L1477" s="2" t="s">
        <v>173</v>
      </c>
      <c r="M1477" s="2" t="s">
        <v>174</v>
      </c>
      <c r="N1477" s="2" t="s">
        <v>1936</v>
      </c>
      <c r="O1477" s="2" t="s">
        <v>101</v>
      </c>
      <c r="P1477" s="2" t="str">
        <f>"2170607055                    "</f>
        <v xml:space="preserve">2170607055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11.26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2</v>
      </c>
      <c r="BJ1477" s="2">
        <v>3.3</v>
      </c>
      <c r="BK1477" s="2">
        <v>3.5</v>
      </c>
      <c r="BL1477" s="2">
        <v>80.37</v>
      </c>
      <c r="BM1477" s="2">
        <v>11.25</v>
      </c>
      <c r="BN1477" s="2">
        <v>91.62</v>
      </c>
      <c r="BO1477" s="2">
        <v>91.62</v>
      </c>
      <c r="BQ1477" s="2" t="s">
        <v>82</v>
      </c>
      <c r="BR1477" s="2" t="s">
        <v>103</v>
      </c>
      <c r="BS1477" s="3">
        <v>43082</v>
      </c>
      <c r="BT1477" s="4">
        <v>0.4604166666666667</v>
      </c>
      <c r="BU1477" s="2" t="s">
        <v>1937</v>
      </c>
      <c r="BV1477" s="2" t="s">
        <v>89</v>
      </c>
      <c r="BW1477" s="2" t="s">
        <v>156</v>
      </c>
      <c r="BX1477" s="2" t="s">
        <v>839</v>
      </c>
      <c r="BY1477" s="2">
        <v>16428</v>
      </c>
      <c r="BZ1477" s="2" t="s">
        <v>27</v>
      </c>
      <c r="CA1477" s="2" t="s">
        <v>1389</v>
      </c>
      <c r="CC1477" s="2" t="s">
        <v>174</v>
      </c>
      <c r="CD1477" s="2">
        <v>7460</v>
      </c>
      <c r="CE1477" s="2" t="s">
        <v>288</v>
      </c>
      <c r="CF1477" s="3">
        <v>43083</v>
      </c>
      <c r="CI1477" s="2">
        <v>1</v>
      </c>
      <c r="CJ1477" s="2">
        <v>1</v>
      </c>
      <c r="CK1477" s="2">
        <v>21</v>
      </c>
      <c r="CL1477" s="2" t="s">
        <v>89</v>
      </c>
    </row>
    <row r="1478" spans="1:90">
      <c r="A1478" s="2" t="s">
        <v>71</v>
      </c>
      <c r="B1478" s="2" t="s">
        <v>72</v>
      </c>
      <c r="C1478" s="2" t="s">
        <v>73</v>
      </c>
      <c r="E1478" s="2" t="str">
        <f>"FES1162595182"</f>
        <v>FES1162595182</v>
      </c>
      <c r="F1478" s="3">
        <v>43081</v>
      </c>
      <c r="G1478" s="2">
        <v>201806</v>
      </c>
      <c r="H1478" s="2" t="s">
        <v>74</v>
      </c>
      <c r="I1478" s="2" t="s">
        <v>75</v>
      </c>
      <c r="J1478" s="2" t="s">
        <v>97</v>
      </c>
      <c r="K1478" s="2" t="s">
        <v>77</v>
      </c>
      <c r="L1478" s="2" t="s">
        <v>173</v>
      </c>
      <c r="M1478" s="2" t="s">
        <v>174</v>
      </c>
      <c r="N1478" s="2" t="s">
        <v>802</v>
      </c>
      <c r="O1478" s="2" t="s">
        <v>101</v>
      </c>
      <c r="P1478" s="2" t="str">
        <f>"2170607082                    "</f>
        <v xml:space="preserve">2170607082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28.94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3.4</v>
      </c>
      <c r="BJ1478" s="2">
        <v>9</v>
      </c>
      <c r="BK1478" s="2">
        <v>9</v>
      </c>
      <c r="BL1478" s="2">
        <v>206.62</v>
      </c>
      <c r="BM1478" s="2">
        <v>28.93</v>
      </c>
      <c r="BN1478" s="2">
        <v>235.55</v>
      </c>
      <c r="BO1478" s="2">
        <v>235.55</v>
      </c>
      <c r="BQ1478" s="2" t="s">
        <v>102</v>
      </c>
      <c r="BR1478" s="2" t="s">
        <v>103</v>
      </c>
      <c r="BS1478" s="3">
        <v>43082</v>
      </c>
      <c r="BT1478" s="4">
        <v>0.42222222222222222</v>
      </c>
      <c r="BU1478" s="2" t="s">
        <v>1933</v>
      </c>
      <c r="BV1478" s="2" t="s">
        <v>85</v>
      </c>
      <c r="BY1478" s="2">
        <v>44776.23</v>
      </c>
      <c r="BZ1478" s="2" t="s">
        <v>27</v>
      </c>
      <c r="CA1478" s="2" t="s">
        <v>395</v>
      </c>
      <c r="CC1478" s="2" t="s">
        <v>174</v>
      </c>
      <c r="CD1478" s="2">
        <v>7441</v>
      </c>
      <c r="CE1478" s="2" t="s">
        <v>288</v>
      </c>
      <c r="CF1478" s="3">
        <v>43083</v>
      </c>
      <c r="CI1478" s="2">
        <v>1</v>
      </c>
      <c r="CJ1478" s="2">
        <v>1</v>
      </c>
      <c r="CK1478" s="2">
        <v>21</v>
      </c>
      <c r="CL1478" s="2" t="s">
        <v>89</v>
      </c>
    </row>
    <row r="1479" spans="1:90">
      <c r="A1479" s="2" t="s">
        <v>71</v>
      </c>
      <c r="B1479" s="2" t="s">
        <v>72</v>
      </c>
      <c r="C1479" s="2" t="s">
        <v>73</v>
      </c>
      <c r="E1479" s="2" t="str">
        <f>"FES1162595069"</f>
        <v>FES1162595069</v>
      </c>
      <c r="F1479" s="3">
        <v>43081</v>
      </c>
      <c r="G1479" s="2">
        <v>201806</v>
      </c>
      <c r="H1479" s="2" t="s">
        <v>74</v>
      </c>
      <c r="I1479" s="2" t="s">
        <v>75</v>
      </c>
      <c r="J1479" s="2" t="s">
        <v>97</v>
      </c>
      <c r="K1479" s="2" t="s">
        <v>77</v>
      </c>
      <c r="L1479" s="2" t="s">
        <v>212</v>
      </c>
      <c r="M1479" s="2" t="s">
        <v>212</v>
      </c>
      <c r="N1479" s="2" t="s">
        <v>370</v>
      </c>
      <c r="O1479" s="2" t="s">
        <v>101</v>
      </c>
      <c r="P1479" s="2" t="str">
        <f>"2170600748                    "</f>
        <v xml:space="preserve">2170600748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43.41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13.4</v>
      </c>
      <c r="BJ1479" s="2">
        <v>3.9</v>
      </c>
      <c r="BK1479" s="2">
        <v>13.5</v>
      </c>
      <c r="BL1479" s="2">
        <v>309.92</v>
      </c>
      <c r="BM1479" s="2">
        <v>43.39</v>
      </c>
      <c r="BN1479" s="2">
        <v>353.31</v>
      </c>
      <c r="BO1479" s="2">
        <v>353.31</v>
      </c>
      <c r="BQ1479" s="2" t="s">
        <v>102</v>
      </c>
      <c r="BR1479" s="2" t="s">
        <v>103</v>
      </c>
      <c r="BS1479" s="3">
        <v>43082</v>
      </c>
      <c r="BT1479" s="4">
        <v>0.61805555555555558</v>
      </c>
      <c r="BU1479" s="2" t="s">
        <v>1938</v>
      </c>
      <c r="BW1479" s="2" t="s">
        <v>149</v>
      </c>
      <c r="BX1479" s="2" t="s">
        <v>368</v>
      </c>
      <c r="BY1479" s="2">
        <v>19728.330000000002</v>
      </c>
      <c r="BZ1479" s="2" t="s">
        <v>27</v>
      </c>
      <c r="CC1479" s="2" t="s">
        <v>212</v>
      </c>
      <c r="CD1479" s="2">
        <v>7646</v>
      </c>
      <c r="CE1479" s="2" t="s">
        <v>288</v>
      </c>
      <c r="CF1479" s="3">
        <v>43083</v>
      </c>
      <c r="CI1479" s="2">
        <v>0</v>
      </c>
      <c r="CJ1479" s="2">
        <v>0</v>
      </c>
      <c r="CK1479" s="2">
        <v>21</v>
      </c>
      <c r="CL1479" s="2" t="s">
        <v>89</v>
      </c>
    </row>
    <row r="1480" spans="1:90">
      <c r="A1480" s="2" t="s">
        <v>71</v>
      </c>
      <c r="B1480" s="2" t="s">
        <v>72</v>
      </c>
      <c r="C1480" s="2" t="s">
        <v>73</v>
      </c>
      <c r="E1480" s="2" t="str">
        <f>"FES1162594580"</f>
        <v>FES1162594580</v>
      </c>
      <c r="F1480" s="3">
        <v>43081</v>
      </c>
      <c r="G1480" s="2">
        <v>201806</v>
      </c>
      <c r="H1480" s="2" t="s">
        <v>74</v>
      </c>
      <c r="I1480" s="2" t="s">
        <v>75</v>
      </c>
      <c r="J1480" s="2" t="s">
        <v>97</v>
      </c>
      <c r="K1480" s="2" t="s">
        <v>77</v>
      </c>
      <c r="L1480" s="2" t="s">
        <v>173</v>
      </c>
      <c r="M1480" s="2" t="s">
        <v>174</v>
      </c>
      <c r="N1480" s="2" t="s">
        <v>175</v>
      </c>
      <c r="O1480" s="2" t="s">
        <v>101</v>
      </c>
      <c r="P1480" s="2" t="str">
        <f>"2170603553                    "</f>
        <v xml:space="preserve">2170603553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11.26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3.2</v>
      </c>
      <c r="BJ1480" s="2">
        <v>3.3</v>
      </c>
      <c r="BK1480" s="2">
        <v>3.5</v>
      </c>
      <c r="BL1480" s="2">
        <v>80.37</v>
      </c>
      <c r="BM1480" s="2">
        <v>11.25</v>
      </c>
      <c r="BN1480" s="2">
        <v>91.62</v>
      </c>
      <c r="BO1480" s="2">
        <v>91.62</v>
      </c>
      <c r="BQ1480" s="2" t="s">
        <v>102</v>
      </c>
      <c r="BR1480" s="2" t="s">
        <v>103</v>
      </c>
      <c r="BS1480" s="3">
        <v>43082</v>
      </c>
      <c r="BT1480" s="4">
        <v>0.52569444444444446</v>
      </c>
      <c r="BU1480" s="2" t="s">
        <v>176</v>
      </c>
      <c r="BV1480" s="2" t="s">
        <v>89</v>
      </c>
      <c r="BY1480" s="2">
        <v>16568.37</v>
      </c>
      <c r="BZ1480" s="2" t="s">
        <v>27</v>
      </c>
      <c r="CA1480" s="2" t="s">
        <v>177</v>
      </c>
      <c r="CC1480" s="2" t="s">
        <v>174</v>
      </c>
      <c r="CD1480" s="2">
        <v>7405</v>
      </c>
      <c r="CE1480" s="2" t="s">
        <v>288</v>
      </c>
      <c r="CF1480" s="3">
        <v>43083</v>
      </c>
      <c r="CI1480" s="2">
        <v>1</v>
      </c>
      <c r="CJ1480" s="2">
        <v>1</v>
      </c>
      <c r="CK1480" s="2">
        <v>21</v>
      </c>
      <c r="CL1480" s="2" t="s">
        <v>89</v>
      </c>
    </row>
    <row r="1481" spans="1:90">
      <c r="A1481" s="2" t="s">
        <v>71</v>
      </c>
      <c r="B1481" s="2" t="s">
        <v>72</v>
      </c>
      <c r="C1481" s="2" t="s">
        <v>73</v>
      </c>
      <c r="E1481" s="2" t="str">
        <f>"FES1162595092"</f>
        <v>FES1162595092</v>
      </c>
      <c r="F1481" s="3">
        <v>43081</v>
      </c>
      <c r="G1481" s="2">
        <v>201806</v>
      </c>
      <c r="H1481" s="2" t="s">
        <v>74</v>
      </c>
      <c r="I1481" s="2" t="s">
        <v>75</v>
      </c>
      <c r="J1481" s="2" t="s">
        <v>97</v>
      </c>
      <c r="K1481" s="2" t="s">
        <v>77</v>
      </c>
      <c r="L1481" s="2" t="s">
        <v>173</v>
      </c>
      <c r="M1481" s="2" t="s">
        <v>174</v>
      </c>
      <c r="N1481" s="2" t="s">
        <v>376</v>
      </c>
      <c r="O1481" s="2" t="s">
        <v>101</v>
      </c>
      <c r="P1481" s="2" t="str">
        <f>"2170601405                    "</f>
        <v xml:space="preserve">2170601405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6.43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1.3</v>
      </c>
      <c r="BJ1481" s="2">
        <v>1.2</v>
      </c>
      <c r="BK1481" s="2">
        <v>1.5</v>
      </c>
      <c r="BL1481" s="2">
        <v>45.93</v>
      </c>
      <c r="BM1481" s="2">
        <v>6.43</v>
      </c>
      <c r="BN1481" s="2">
        <v>52.36</v>
      </c>
      <c r="BO1481" s="2">
        <v>52.36</v>
      </c>
      <c r="BQ1481" s="2" t="s">
        <v>102</v>
      </c>
      <c r="BR1481" s="2" t="s">
        <v>103</v>
      </c>
      <c r="BS1481" s="3">
        <v>43082</v>
      </c>
      <c r="BT1481" s="4">
        <v>0.49305555555555558</v>
      </c>
      <c r="BU1481" s="2" t="s">
        <v>1202</v>
      </c>
      <c r="BV1481" s="2" t="s">
        <v>89</v>
      </c>
      <c r="BW1481" s="2" t="s">
        <v>149</v>
      </c>
      <c r="BX1481" s="2" t="s">
        <v>368</v>
      </c>
      <c r="BY1481" s="2">
        <v>5804.88</v>
      </c>
      <c r="BZ1481" s="2" t="s">
        <v>27</v>
      </c>
      <c r="CA1481" s="2" t="s">
        <v>378</v>
      </c>
      <c r="CC1481" s="2" t="s">
        <v>174</v>
      </c>
      <c r="CD1481" s="2">
        <v>7490</v>
      </c>
      <c r="CE1481" s="2" t="s">
        <v>288</v>
      </c>
      <c r="CF1481" s="3">
        <v>43083</v>
      </c>
      <c r="CI1481" s="2">
        <v>1</v>
      </c>
      <c r="CJ1481" s="2">
        <v>1</v>
      </c>
      <c r="CK1481" s="2">
        <v>21</v>
      </c>
      <c r="CL1481" s="2" t="s">
        <v>89</v>
      </c>
    </row>
    <row r="1482" spans="1:90">
      <c r="A1482" s="2" t="s">
        <v>71</v>
      </c>
      <c r="B1482" s="2" t="s">
        <v>72</v>
      </c>
      <c r="C1482" s="2" t="s">
        <v>73</v>
      </c>
      <c r="E1482" s="2" t="str">
        <f>"FES1162595061"</f>
        <v>FES1162595061</v>
      </c>
      <c r="F1482" s="3">
        <v>43081</v>
      </c>
      <c r="G1482" s="2">
        <v>201806</v>
      </c>
      <c r="H1482" s="2" t="s">
        <v>74</v>
      </c>
      <c r="I1482" s="2" t="s">
        <v>75</v>
      </c>
      <c r="J1482" s="2" t="s">
        <v>97</v>
      </c>
      <c r="K1482" s="2" t="s">
        <v>77</v>
      </c>
      <c r="L1482" s="2" t="s">
        <v>173</v>
      </c>
      <c r="M1482" s="2" t="s">
        <v>174</v>
      </c>
      <c r="N1482" s="2" t="s">
        <v>1939</v>
      </c>
      <c r="O1482" s="2" t="s">
        <v>101</v>
      </c>
      <c r="P1482" s="2" t="str">
        <f>"2170606983                    "</f>
        <v xml:space="preserve">2170606983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6.43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0.7</v>
      </c>
      <c r="BJ1482" s="2">
        <v>0.9</v>
      </c>
      <c r="BK1482" s="2">
        <v>1</v>
      </c>
      <c r="BL1482" s="2">
        <v>45.93</v>
      </c>
      <c r="BM1482" s="2">
        <v>6.43</v>
      </c>
      <c r="BN1482" s="2">
        <v>52.36</v>
      </c>
      <c r="BO1482" s="2">
        <v>52.36</v>
      </c>
      <c r="BQ1482" s="2" t="s">
        <v>102</v>
      </c>
      <c r="BR1482" s="2" t="s">
        <v>103</v>
      </c>
      <c r="BS1482" s="3">
        <v>43083</v>
      </c>
      <c r="BT1482" s="4">
        <v>0.41666666666666669</v>
      </c>
      <c r="BU1482" s="2" t="s">
        <v>1940</v>
      </c>
      <c r="BV1482" s="2" t="s">
        <v>89</v>
      </c>
      <c r="BW1482" s="2" t="s">
        <v>313</v>
      </c>
      <c r="BX1482" s="2" t="s">
        <v>368</v>
      </c>
      <c r="BY1482" s="2">
        <v>4574.1000000000004</v>
      </c>
      <c r="BZ1482" s="2" t="s">
        <v>27</v>
      </c>
      <c r="CA1482" s="2" t="s">
        <v>216</v>
      </c>
      <c r="CC1482" s="2" t="s">
        <v>174</v>
      </c>
      <c r="CD1482" s="2">
        <v>7945</v>
      </c>
      <c r="CE1482" s="2" t="s">
        <v>288</v>
      </c>
      <c r="CF1482" s="3">
        <v>43084</v>
      </c>
      <c r="CI1482" s="2">
        <v>1</v>
      </c>
      <c r="CJ1482" s="2">
        <v>2</v>
      </c>
      <c r="CK1482" s="2">
        <v>21</v>
      </c>
      <c r="CL1482" s="2" t="s">
        <v>89</v>
      </c>
    </row>
    <row r="1483" spans="1:90">
      <c r="A1483" s="2" t="s">
        <v>71</v>
      </c>
      <c r="B1483" s="2" t="s">
        <v>72</v>
      </c>
      <c r="C1483" s="2" t="s">
        <v>73</v>
      </c>
      <c r="E1483" s="2" t="str">
        <f>"FES1162595141"</f>
        <v>FES1162595141</v>
      </c>
      <c r="F1483" s="3">
        <v>43081</v>
      </c>
      <c r="G1483" s="2">
        <v>201806</v>
      </c>
      <c r="H1483" s="2" t="s">
        <v>74</v>
      </c>
      <c r="I1483" s="2" t="s">
        <v>75</v>
      </c>
      <c r="J1483" s="2" t="s">
        <v>97</v>
      </c>
      <c r="K1483" s="2" t="s">
        <v>77</v>
      </c>
      <c r="L1483" s="2" t="s">
        <v>173</v>
      </c>
      <c r="M1483" s="2" t="s">
        <v>174</v>
      </c>
      <c r="N1483" s="2" t="s">
        <v>876</v>
      </c>
      <c r="O1483" s="2" t="s">
        <v>101</v>
      </c>
      <c r="P1483" s="2" t="str">
        <f>"2170607047                    "</f>
        <v xml:space="preserve">2170607047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6.43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2</v>
      </c>
      <c r="BJ1483" s="2">
        <v>1.4</v>
      </c>
      <c r="BK1483" s="2">
        <v>2</v>
      </c>
      <c r="BL1483" s="2">
        <v>45.93</v>
      </c>
      <c r="BM1483" s="2">
        <v>6.43</v>
      </c>
      <c r="BN1483" s="2">
        <v>52.36</v>
      </c>
      <c r="BO1483" s="2">
        <v>52.36</v>
      </c>
      <c r="BQ1483" s="2" t="s">
        <v>128</v>
      </c>
      <c r="BR1483" s="2" t="s">
        <v>103</v>
      </c>
      <c r="BS1483" s="3">
        <v>43082</v>
      </c>
      <c r="BT1483" s="4">
        <v>0.42777777777777781</v>
      </c>
      <c r="BU1483" s="2" t="s">
        <v>877</v>
      </c>
      <c r="BV1483" s="2" t="s">
        <v>85</v>
      </c>
      <c r="BY1483" s="2">
        <v>7007.42</v>
      </c>
      <c r="BZ1483" s="2" t="s">
        <v>27</v>
      </c>
      <c r="CA1483" s="2" t="s">
        <v>1682</v>
      </c>
      <c r="CC1483" s="2" t="s">
        <v>174</v>
      </c>
      <c r="CD1483" s="2">
        <v>7441</v>
      </c>
      <c r="CE1483" s="2" t="s">
        <v>288</v>
      </c>
      <c r="CF1483" s="3">
        <v>43083</v>
      </c>
      <c r="CI1483" s="2">
        <v>1</v>
      </c>
      <c r="CJ1483" s="2">
        <v>1</v>
      </c>
      <c r="CK1483" s="2">
        <v>21</v>
      </c>
      <c r="CL1483" s="2" t="s">
        <v>89</v>
      </c>
    </row>
    <row r="1484" spans="1:90">
      <c r="A1484" s="2" t="s">
        <v>71</v>
      </c>
      <c r="B1484" s="2" t="s">
        <v>72</v>
      </c>
      <c r="C1484" s="2" t="s">
        <v>73</v>
      </c>
      <c r="E1484" s="2" t="str">
        <f>"FES1162595148"</f>
        <v>FES1162595148</v>
      </c>
      <c r="F1484" s="3">
        <v>43081</v>
      </c>
      <c r="G1484" s="2">
        <v>201806</v>
      </c>
      <c r="H1484" s="2" t="s">
        <v>74</v>
      </c>
      <c r="I1484" s="2" t="s">
        <v>75</v>
      </c>
      <c r="J1484" s="2" t="s">
        <v>97</v>
      </c>
      <c r="K1484" s="2" t="s">
        <v>77</v>
      </c>
      <c r="L1484" s="2" t="s">
        <v>173</v>
      </c>
      <c r="M1484" s="2" t="s">
        <v>174</v>
      </c>
      <c r="N1484" s="2" t="s">
        <v>433</v>
      </c>
      <c r="O1484" s="2" t="s">
        <v>101</v>
      </c>
      <c r="P1484" s="2" t="str">
        <f>"2170606721                    "</f>
        <v xml:space="preserve">2170606721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6.43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1.5</v>
      </c>
      <c r="BJ1484" s="2">
        <v>1.4</v>
      </c>
      <c r="BK1484" s="2">
        <v>1.5</v>
      </c>
      <c r="BL1484" s="2">
        <v>45.93</v>
      </c>
      <c r="BM1484" s="2">
        <v>6.43</v>
      </c>
      <c r="BN1484" s="2">
        <v>52.36</v>
      </c>
      <c r="BO1484" s="2">
        <v>52.36</v>
      </c>
      <c r="BQ1484" s="2" t="s">
        <v>102</v>
      </c>
      <c r="BR1484" s="2" t="s">
        <v>103</v>
      </c>
      <c r="BS1484" s="3">
        <v>43082</v>
      </c>
      <c r="BT1484" s="4">
        <v>0.41666666666666669</v>
      </c>
      <c r="BU1484" s="2" t="s">
        <v>434</v>
      </c>
      <c r="BV1484" s="2" t="s">
        <v>85</v>
      </c>
      <c r="BY1484" s="2">
        <v>6899.11</v>
      </c>
      <c r="BZ1484" s="2" t="s">
        <v>27</v>
      </c>
      <c r="CA1484" s="2" t="s">
        <v>177</v>
      </c>
      <c r="CC1484" s="2" t="s">
        <v>174</v>
      </c>
      <c r="CD1484" s="2">
        <v>7441</v>
      </c>
      <c r="CE1484" s="2" t="s">
        <v>288</v>
      </c>
      <c r="CF1484" s="3">
        <v>43083</v>
      </c>
      <c r="CI1484" s="2">
        <v>1</v>
      </c>
      <c r="CJ1484" s="2">
        <v>1</v>
      </c>
      <c r="CK1484" s="2">
        <v>21</v>
      </c>
      <c r="CL1484" s="2" t="s">
        <v>89</v>
      </c>
    </row>
    <row r="1485" spans="1:90">
      <c r="A1485" s="2" t="s">
        <v>71</v>
      </c>
      <c r="B1485" s="2" t="s">
        <v>72</v>
      </c>
      <c r="C1485" s="2" t="s">
        <v>73</v>
      </c>
      <c r="E1485" s="2" t="str">
        <f>"FES1162595149"</f>
        <v>FES1162595149</v>
      </c>
      <c r="F1485" s="3">
        <v>43081</v>
      </c>
      <c r="G1485" s="2">
        <v>201806</v>
      </c>
      <c r="H1485" s="2" t="s">
        <v>74</v>
      </c>
      <c r="I1485" s="2" t="s">
        <v>75</v>
      </c>
      <c r="J1485" s="2" t="s">
        <v>97</v>
      </c>
      <c r="K1485" s="2" t="s">
        <v>77</v>
      </c>
      <c r="L1485" s="2" t="s">
        <v>173</v>
      </c>
      <c r="M1485" s="2" t="s">
        <v>174</v>
      </c>
      <c r="N1485" s="2" t="s">
        <v>232</v>
      </c>
      <c r="O1485" s="2" t="s">
        <v>101</v>
      </c>
      <c r="P1485" s="2" t="str">
        <f>"2170607054                    "</f>
        <v xml:space="preserve">2170607054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6.43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1</v>
      </c>
      <c r="BJ1485" s="2">
        <v>1.6</v>
      </c>
      <c r="BK1485" s="2">
        <v>2</v>
      </c>
      <c r="BL1485" s="2">
        <v>45.93</v>
      </c>
      <c r="BM1485" s="2">
        <v>6.43</v>
      </c>
      <c r="BN1485" s="2">
        <v>52.36</v>
      </c>
      <c r="BO1485" s="2">
        <v>52.36</v>
      </c>
      <c r="BQ1485" s="2" t="s">
        <v>102</v>
      </c>
      <c r="BR1485" s="2" t="s">
        <v>103</v>
      </c>
      <c r="BS1485" s="3">
        <v>43082</v>
      </c>
      <c r="BT1485" s="4">
        <v>0.4055555555555555</v>
      </c>
      <c r="BU1485" s="2" t="s">
        <v>1941</v>
      </c>
      <c r="BV1485" s="2" t="s">
        <v>85</v>
      </c>
      <c r="BY1485" s="2">
        <v>8021.65</v>
      </c>
      <c r="BZ1485" s="2" t="s">
        <v>27</v>
      </c>
      <c r="CA1485" s="2" t="s">
        <v>1923</v>
      </c>
      <c r="CC1485" s="2" t="s">
        <v>174</v>
      </c>
      <c r="CD1485" s="2">
        <v>7530</v>
      </c>
      <c r="CE1485" s="2" t="s">
        <v>288</v>
      </c>
      <c r="CF1485" s="3">
        <v>43083</v>
      </c>
      <c r="CI1485" s="2">
        <v>1</v>
      </c>
      <c r="CJ1485" s="2">
        <v>1</v>
      </c>
      <c r="CK1485" s="2">
        <v>21</v>
      </c>
      <c r="CL1485" s="2" t="s">
        <v>89</v>
      </c>
    </row>
    <row r="1486" spans="1:90">
      <c r="A1486" s="2" t="s">
        <v>71</v>
      </c>
      <c r="B1486" s="2" t="s">
        <v>72</v>
      </c>
      <c r="C1486" s="2" t="s">
        <v>73</v>
      </c>
      <c r="E1486" s="2" t="str">
        <f>"FES1162595221"</f>
        <v>FES1162595221</v>
      </c>
      <c r="F1486" s="3">
        <v>43081</v>
      </c>
      <c r="G1486" s="2">
        <v>201806</v>
      </c>
      <c r="H1486" s="2" t="s">
        <v>74</v>
      </c>
      <c r="I1486" s="2" t="s">
        <v>75</v>
      </c>
      <c r="J1486" s="2" t="s">
        <v>97</v>
      </c>
      <c r="K1486" s="2" t="s">
        <v>77</v>
      </c>
      <c r="L1486" s="2" t="s">
        <v>136</v>
      </c>
      <c r="M1486" s="2" t="s">
        <v>137</v>
      </c>
      <c r="N1486" s="2" t="s">
        <v>580</v>
      </c>
      <c r="O1486" s="2" t="s">
        <v>101</v>
      </c>
      <c r="P1486" s="2" t="str">
        <f>"2170606621                    "</f>
        <v xml:space="preserve">2170606621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6.43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1</v>
      </c>
      <c r="BJ1486" s="2">
        <v>1.7</v>
      </c>
      <c r="BK1486" s="2">
        <v>2</v>
      </c>
      <c r="BL1486" s="2">
        <v>45.93</v>
      </c>
      <c r="BM1486" s="2">
        <v>6.43</v>
      </c>
      <c r="BN1486" s="2">
        <v>52.36</v>
      </c>
      <c r="BO1486" s="2">
        <v>52.36</v>
      </c>
      <c r="BQ1486" s="2" t="s">
        <v>102</v>
      </c>
      <c r="BR1486" s="2" t="s">
        <v>103</v>
      </c>
      <c r="BS1486" s="3">
        <v>43082</v>
      </c>
      <c r="BT1486" s="4">
        <v>0.3263888888888889</v>
      </c>
      <c r="BU1486" s="2" t="s">
        <v>1751</v>
      </c>
      <c r="BV1486" s="2" t="s">
        <v>85</v>
      </c>
      <c r="BY1486" s="2">
        <v>8597.5400000000009</v>
      </c>
      <c r="BZ1486" s="2" t="s">
        <v>27</v>
      </c>
      <c r="CA1486" s="2" t="s">
        <v>180</v>
      </c>
      <c r="CC1486" s="2" t="s">
        <v>137</v>
      </c>
      <c r="CD1486" s="2">
        <v>6001</v>
      </c>
      <c r="CE1486" s="2" t="s">
        <v>288</v>
      </c>
      <c r="CF1486" s="3">
        <v>43084</v>
      </c>
      <c r="CI1486" s="2">
        <v>1</v>
      </c>
      <c r="CJ1486" s="2">
        <v>1</v>
      </c>
      <c r="CK1486" s="2">
        <v>21</v>
      </c>
      <c r="CL1486" s="2" t="s">
        <v>89</v>
      </c>
    </row>
    <row r="1487" spans="1:90">
      <c r="A1487" s="2" t="s">
        <v>71</v>
      </c>
      <c r="B1487" s="2" t="s">
        <v>72</v>
      </c>
      <c r="C1487" s="2" t="s">
        <v>73</v>
      </c>
      <c r="E1487" s="2" t="str">
        <f>"FES1162595223"</f>
        <v>FES1162595223</v>
      </c>
      <c r="F1487" s="3">
        <v>43081</v>
      </c>
      <c r="G1487" s="2">
        <v>201806</v>
      </c>
      <c r="H1487" s="2" t="s">
        <v>74</v>
      </c>
      <c r="I1487" s="2" t="s">
        <v>75</v>
      </c>
      <c r="J1487" s="2" t="s">
        <v>97</v>
      </c>
      <c r="K1487" s="2" t="s">
        <v>77</v>
      </c>
      <c r="L1487" s="2" t="s">
        <v>136</v>
      </c>
      <c r="M1487" s="2" t="s">
        <v>137</v>
      </c>
      <c r="N1487" s="2" t="s">
        <v>974</v>
      </c>
      <c r="O1487" s="2" t="s">
        <v>101</v>
      </c>
      <c r="P1487" s="2" t="str">
        <f>"2170606430                    "</f>
        <v xml:space="preserve">2170606430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11.26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3.2</v>
      </c>
      <c r="BJ1487" s="2">
        <v>2.1</v>
      </c>
      <c r="BK1487" s="2">
        <v>3.5</v>
      </c>
      <c r="BL1487" s="2">
        <v>80.37</v>
      </c>
      <c r="BM1487" s="2">
        <v>11.25</v>
      </c>
      <c r="BN1487" s="2">
        <v>91.62</v>
      </c>
      <c r="BO1487" s="2">
        <v>91.62</v>
      </c>
      <c r="BQ1487" s="2" t="s">
        <v>82</v>
      </c>
      <c r="BR1487" s="2" t="s">
        <v>103</v>
      </c>
      <c r="BS1487" s="3">
        <v>43082</v>
      </c>
      <c r="BT1487" s="4">
        <v>0.34027777777777773</v>
      </c>
      <c r="BU1487" s="2" t="s">
        <v>692</v>
      </c>
      <c r="BV1487" s="2" t="s">
        <v>85</v>
      </c>
      <c r="BY1487" s="2">
        <v>10325.85</v>
      </c>
      <c r="BZ1487" s="2" t="s">
        <v>27</v>
      </c>
      <c r="CA1487" s="2" t="s">
        <v>140</v>
      </c>
      <c r="CC1487" s="2" t="s">
        <v>137</v>
      </c>
      <c r="CD1487" s="2">
        <v>6001</v>
      </c>
      <c r="CE1487" s="2" t="s">
        <v>288</v>
      </c>
      <c r="CF1487" s="3">
        <v>43084</v>
      </c>
      <c r="CI1487" s="2">
        <v>1</v>
      </c>
      <c r="CJ1487" s="2">
        <v>1</v>
      </c>
      <c r="CK1487" s="2">
        <v>21</v>
      </c>
      <c r="CL1487" s="2" t="s">
        <v>89</v>
      </c>
    </row>
    <row r="1488" spans="1:90">
      <c r="A1488" s="2" t="s">
        <v>71</v>
      </c>
      <c r="B1488" s="2" t="s">
        <v>72</v>
      </c>
      <c r="C1488" s="2" t="s">
        <v>73</v>
      </c>
      <c r="E1488" s="2" t="str">
        <f>"FES1162594600"</f>
        <v>FES1162594600</v>
      </c>
      <c r="F1488" s="3">
        <v>43081</v>
      </c>
      <c r="G1488" s="2">
        <v>201806</v>
      </c>
      <c r="H1488" s="2" t="s">
        <v>74</v>
      </c>
      <c r="I1488" s="2" t="s">
        <v>75</v>
      </c>
      <c r="J1488" s="2" t="s">
        <v>97</v>
      </c>
      <c r="K1488" s="2" t="s">
        <v>77</v>
      </c>
      <c r="L1488" s="2" t="s">
        <v>145</v>
      </c>
      <c r="M1488" s="2" t="s">
        <v>146</v>
      </c>
      <c r="N1488" s="2" t="s">
        <v>922</v>
      </c>
      <c r="O1488" s="2" t="s">
        <v>101</v>
      </c>
      <c r="P1488" s="2" t="str">
        <f>"2170605689                    "</f>
        <v xml:space="preserve">2170605689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30.55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4.7</v>
      </c>
      <c r="BJ1488" s="2">
        <v>9.1999999999999993</v>
      </c>
      <c r="BK1488" s="2">
        <v>9.5</v>
      </c>
      <c r="BL1488" s="2">
        <v>218.1</v>
      </c>
      <c r="BM1488" s="2">
        <v>30.53</v>
      </c>
      <c r="BN1488" s="2">
        <v>248.63</v>
      </c>
      <c r="BO1488" s="2">
        <v>248.63</v>
      </c>
      <c r="BQ1488" s="2" t="s">
        <v>102</v>
      </c>
      <c r="BR1488" s="2" t="s">
        <v>103</v>
      </c>
      <c r="BS1488" s="3">
        <v>43082</v>
      </c>
      <c r="BT1488" s="4">
        <v>0.48819444444444443</v>
      </c>
      <c r="BU1488" s="2" t="s">
        <v>1942</v>
      </c>
      <c r="BV1488" s="2" t="s">
        <v>89</v>
      </c>
      <c r="BW1488" s="2" t="s">
        <v>149</v>
      </c>
      <c r="BX1488" s="2" t="s">
        <v>150</v>
      </c>
      <c r="BY1488" s="2">
        <v>45994</v>
      </c>
      <c r="BZ1488" s="2" t="s">
        <v>27</v>
      </c>
      <c r="CA1488" s="2" t="s">
        <v>183</v>
      </c>
      <c r="CC1488" s="2" t="s">
        <v>146</v>
      </c>
      <c r="CD1488" s="2">
        <v>5201</v>
      </c>
      <c r="CE1488" s="2" t="s">
        <v>288</v>
      </c>
      <c r="CF1488" s="3">
        <v>43087</v>
      </c>
      <c r="CI1488" s="2">
        <v>1</v>
      </c>
      <c r="CJ1488" s="2">
        <v>1</v>
      </c>
      <c r="CK1488" s="2">
        <v>21</v>
      </c>
      <c r="CL1488" s="2" t="s">
        <v>89</v>
      </c>
    </row>
    <row r="1489" spans="1:90">
      <c r="A1489" s="2" t="s">
        <v>71</v>
      </c>
      <c r="B1489" s="2" t="s">
        <v>72</v>
      </c>
      <c r="C1489" s="2" t="s">
        <v>73</v>
      </c>
      <c r="E1489" s="2" t="str">
        <f>"FES1162594661"</f>
        <v>FES1162594661</v>
      </c>
      <c r="F1489" s="3">
        <v>43081</v>
      </c>
      <c r="G1489" s="2">
        <v>201806</v>
      </c>
      <c r="H1489" s="2" t="s">
        <v>74</v>
      </c>
      <c r="I1489" s="2" t="s">
        <v>75</v>
      </c>
      <c r="J1489" s="2" t="s">
        <v>97</v>
      </c>
      <c r="K1489" s="2" t="s">
        <v>77</v>
      </c>
      <c r="L1489" s="2" t="s">
        <v>145</v>
      </c>
      <c r="M1489" s="2" t="s">
        <v>146</v>
      </c>
      <c r="N1489" s="2" t="s">
        <v>753</v>
      </c>
      <c r="O1489" s="2" t="s">
        <v>101</v>
      </c>
      <c r="P1489" s="2" t="str">
        <f>"2170606519                    "</f>
        <v xml:space="preserve">2170606519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27.34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4</v>
      </c>
      <c r="BJ1489" s="2">
        <v>8.1999999999999993</v>
      </c>
      <c r="BK1489" s="2">
        <v>8.5</v>
      </c>
      <c r="BL1489" s="2">
        <v>195.15</v>
      </c>
      <c r="BM1489" s="2">
        <v>27.32</v>
      </c>
      <c r="BN1489" s="2">
        <v>222.47</v>
      </c>
      <c r="BO1489" s="2">
        <v>222.47</v>
      </c>
      <c r="BQ1489" s="2" t="s">
        <v>82</v>
      </c>
      <c r="BR1489" s="2" t="s">
        <v>103</v>
      </c>
      <c r="BS1489" s="3">
        <v>43082</v>
      </c>
      <c r="BT1489" s="4">
        <v>0.39583333333333331</v>
      </c>
      <c r="BU1489" s="2" t="s">
        <v>1579</v>
      </c>
      <c r="BV1489" s="2" t="s">
        <v>85</v>
      </c>
      <c r="BY1489" s="2">
        <v>41106</v>
      </c>
      <c r="BZ1489" s="2" t="s">
        <v>27</v>
      </c>
      <c r="CA1489" s="2" t="s">
        <v>754</v>
      </c>
      <c r="CC1489" s="2" t="s">
        <v>146</v>
      </c>
      <c r="CD1489" s="2">
        <v>5201</v>
      </c>
      <c r="CE1489" s="2" t="s">
        <v>288</v>
      </c>
      <c r="CF1489" s="3">
        <v>43087</v>
      </c>
      <c r="CI1489" s="2">
        <v>1</v>
      </c>
      <c r="CJ1489" s="2">
        <v>1</v>
      </c>
      <c r="CK1489" s="2">
        <v>21</v>
      </c>
      <c r="CL1489" s="2" t="s">
        <v>89</v>
      </c>
    </row>
    <row r="1490" spans="1:90">
      <c r="A1490" s="2" t="s">
        <v>71</v>
      </c>
      <c r="B1490" s="2" t="s">
        <v>72</v>
      </c>
      <c r="C1490" s="2" t="s">
        <v>73</v>
      </c>
      <c r="E1490" s="2" t="str">
        <f>"FES1162595198"</f>
        <v>FES1162595198</v>
      </c>
      <c r="F1490" s="3">
        <v>43081</v>
      </c>
      <c r="G1490" s="2">
        <v>201806</v>
      </c>
      <c r="H1490" s="2" t="s">
        <v>74</v>
      </c>
      <c r="I1490" s="2" t="s">
        <v>75</v>
      </c>
      <c r="J1490" s="2" t="s">
        <v>97</v>
      </c>
      <c r="K1490" s="2" t="s">
        <v>77</v>
      </c>
      <c r="L1490" s="2" t="s">
        <v>835</v>
      </c>
      <c r="M1490" s="2" t="s">
        <v>836</v>
      </c>
      <c r="N1490" s="2" t="s">
        <v>837</v>
      </c>
      <c r="O1490" s="2" t="s">
        <v>101</v>
      </c>
      <c r="P1490" s="2" t="str">
        <f>"2170607094                    "</f>
        <v xml:space="preserve">2170607094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12.47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1.7</v>
      </c>
      <c r="BJ1490" s="2">
        <v>1.6</v>
      </c>
      <c r="BK1490" s="2">
        <v>2</v>
      </c>
      <c r="BL1490" s="2">
        <v>89</v>
      </c>
      <c r="BM1490" s="2">
        <v>12.46</v>
      </c>
      <c r="BN1490" s="2">
        <v>101.46</v>
      </c>
      <c r="BO1490" s="2">
        <v>101.46</v>
      </c>
      <c r="BQ1490" s="2" t="s">
        <v>102</v>
      </c>
      <c r="BR1490" s="2" t="s">
        <v>103</v>
      </c>
      <c r="BS1490" s="3">
        <v>43082</v>
      </c>
      <c r="BT1490" s="4">
        <v>0.66180555555555554</v>
      </c>
      <c r="BU1490" s="2" t="s">
        <v>998</v>
      </c>
      <c r="BV1490" s="2" t="s">
        <v>89</v>
      </c>
      <c r="BW1490" s="2" t="s">
        <v>156</v>
      </c>
      <c r="BX1490" s="2" t="s">
        <v>839</v>
      </c>
      <c r="BY1490" s="2">
        <v>8144.46</v>
      </c>
      <c r="BZ1490" s="2" t="s">
        <v>27</v>
      </c>
      <c r="CA1490" s="2" t="s">
        <v>840</v>
      </c>
      <c r="CC1490" s="2" t="s">
        <v>836</v>
      </c>
      <c r="CD1490" s="2">
        <v>7349</v>
      </c>
      <c r="CE1490" s="2" t="s">
        <v>288</v>
      </c>
      <c r="CF1490" s="3">
        <v>43082</v>
      </c>
      <c r="CI1490" s="2">
        <v>1</v>
      </c>
      <c r="CJ1490" s="2">
        <v>1</v>
      </c>
      <c r="CK1490" s="2">
        <v>23</v>
      </c>
      <c r="CL1490" s="2" t="s">
        <v>89</v>
      </c>
    </row>
    <row r="1491" spans="1:90">
      <c r="A1491" s="2" t="s">
        <v>71</v>
      </c>
      <c r="B1491" s="2" t="s">
        <v>72</v>
      </c>
      <c r="C1491" s="2" t="s">
        <v>73</v>
      </c>
      <c r="E1491" s="2" t="str">
        <f>"FES1162594988"</f>
        <v>FES1162594988</v>
      </c>
      <c r="F1491" s="3">
        <v>43081</v>
      </c>
      <c r="G1491" s="2">
        <v>201806</v>
      </c>
      <c r="H1491" s="2" t="s">
        <v>74</v>
      </c>
      <c r="I1491" s="2" t="s">
        <v>75</v>
      </c>
      <c r="J1491" s="2" t="s">
        <v>97</v>
      </c>
      <c r="K1491" s="2" t="s">
        <v>77</v>
      </c>
      <c r="L1491" s="2" t="s">
        <v>173</v>
      </c>
      <c r="M1491" s="2" t="s">
        <v>174</v>
      </c>
      <c r="N1491" s="2" t="s">
        <v>175</v>
      </c>
      <c r="O1491" s="2" t="s">
        <v>101</v>
      </c>
      <c r="P1491" s="2" t="str">
        <f>"2170606895                    "</f>
        <v xml:space="preserve">2170606895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6.43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</v>
      </c>
      <c r="BJ1491" s="2">
        <v>0.2</v>
      </c>
      <c r="BK1491" s="2">
        <v>1</v>
      </c>
      <c r="BL1491" s="2">
        <v>45.93</v>
      </c>
      <c r="BM1491" s="2">
        <v>6.43</v>
      </c>
      <c r="BN1491" s="2">
        <v>52.36</v>
      </c>
      <c r="BO1491" s="2">
        <v>52.36</v>
      </c>
      <c r="BQ1491" s="2" t="s">
        <v>102</v>
      </c>
      <c r="BR1491" s="2" t="s">
        <v>103</v>
      </c>
      <c r="BS1491" s="3">
        <v>43082</v>
      </c>
      <c r="BT1491" s="4">
        <v>0.52777777777777779</v>
      </c>
      <c r="BU1491" s="2" t="s">
        <v>176</v>
      </c>
      <c r="BV1491" s="2" t="s">
        <v>89</v>
      </c>
      <c r="BW1491" s="2" t="s">
        <v>149</v>
      </c>
      <c r="BX1491" s="2" t="s">
        <v>368</v>
      </c>
      <c r="BY1491" s="2">
        <v>1200</v>
      </c>
      <c r="BZ1491" s="2" t="s">
        <v>27</v>
      </c>
      <c r="CA1491" s="2" t="s">
        <v>177</v>
      </c>
      <c r="CC1491" s="2" t="s">
        <v>174</v>
      </c>
      <c r="CD1491" s="2">
        <v>7405</v>
      </c>
      <c r="CE1491" s="2" t="s">
        <v>383</v>
      </c>
      <c r="CF1491" s="3">
        <v>43083</v>
      </c>
      <c r="CI1491" s="2">
        <v>1</v>
      </c>
      <c r="CJ1491" s="2">
        <v>1</v>
      </c>
      <c r="CK1491" s="2">
        <v>21</v>
      </c>
      <c r="CL1491" s="2" t="s">
        <v>89</v>
      </c>
    </row>
    <row r="1492" spans="1:90">
      <c r="A1492" s="2" t="s">
        <v>71</v>
      </c>
      <c r="B1492" s="2" t="s">
        <v>72</v>
      </c>
      <c r="C1492" s="2" t="s">
        <v>73</v>
      </c>
      <c r="E1492" s="2" t="str">
        <f>"FES1162594911"</f>
        <v>FES1162594911</v>
      </c>
      <c r="F1492" s="3">
        <v>43081</v>
      </c>
      <c r="G1492" s="2">
        <v>201806</v>
      </c>
      <c r="H1492" s="2" t="s">
        <v>74</v>
      </c>
      <c r="I1492" s="2" t="s">
        <v>75</v>
      </c>
      <c r="J1492" s="2" t="s">
        <v>97</v>
      </c>
      <c r="K1492" s="2" t="s">
        <v>77</v>
      </c>
      <c r="L1492" s="2" t="s">
        <v>136</v>
      </c>
      <c r="M1492" s="2" t="s">
        <v>137</v>
      </c>
      <c r="N1492" s="2" t="s">
        <v>1331</v>
      </c>
      <c r="O1492" s="2" t="s">
        <v>101</v>
      </c>
      <c r="P1492" s="2" t="str">
        <f>"2170606810                    "</f>
        <v xml:space="preserve">2170606810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6.43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1</v>
      </c>
      <c r="BJ1492" s="2">
        <v>0.2</v>
      </c>
      <c r="BK1492" s="2">
        <v>1</v>
      </c>
      <c r="BL1492" s="2">
        <v>45.93</v>
      </c>
      <c r="BM1492" s="2">
        <v>6.43</v>
      </c>
      <c r="BN1492" s="2">
        <v>52.36</v>
      </c>
      <c r="BO1492" s="2">
        <v>52.36</v>
      </c>
      <c r="BQ1492" s="2" t="s">
        <v>82</v>
      </c>
      <c r="BR1492" s="2" t="s">
        <v>103</v>
      </c>
      <c r="BS1492" s="3">
        <v>43082</v>
      </c>
      <c r="BT1492" s="4">
        <v>0.47916666666666669</v>
      </c>
      <c r="BU1492" s="2" t="s">
        <v>1943</v>
      </c>
      <c r="BV1492" s="2" t="s">
        <v>89</v>
      </c>
      <c r="BW1492" s="2" t="s">
        <v>313</v>
      </c>
      <c r="BX1492" s="2" t="s">
        <v>314</v>
      </c>
      <c r="BY1492" s="2">
        <v>1200</v>
      </c>
      <c r="BZ1492" s="2" t="s">
        <v>27</v>
      </c>
      <c r="CA1492" s="2" t="s">
        <v>1335</v>
      </c>
      <c r="CC1492" s="2" t="s">
        <v>137</v>
      </c>
      <c r="CD1492" s="2">
        <v>6001</v>
      </c>
      <c r="CE1492" s="2" t="s">
        <v>383</v>
      </c>
      <c r="CF1492" s="3">
        <v>43084</v>
      </c>
      <c r="CI1492" s="2">
        <v>1</v>
      </c>
      <c r="CJ1492" s="2">
        <v>1</v>
      </c>
      <c r="CK1492" s="2">
        <v>21</v>
      </c>
      <c r="CL1492" s="2" t="s">
        <v>89</v>
      </c>
    </row>
    <row r="1493" spans="1:90">
      <c r="A1493" s="2" t="s">
        <v>71</v>
      </c>
      <c r="B1493" s="2" t="s">
        <v>72</v>
      </c>
      <c r="C1493" s="2" t="s">
        <v>73</v>
      </c>
      <c r="E1493" s="2" t="str">
        <f>"FES1162595125"</f>
        <v>FES1162595125</v>
      </c>
      <c r="F1493" s="3">
        <v>43081</v>
      </c>
      <c r="G1493" s="2">
        <v>201806</v>
      </c>
      <c r="H1493" s="2" t="s">
        <v>74</v>
      </c>
      <c r="I1493" s="2" t="s">
        <v>75</v>
      </c>
      <c r="J1493" s="2" t="s">
        <v>97</v>
      </c>
      <c r="K1493" s="2" t="s">
        <v>77</v>
      </c>
      <c r="L1493" s="2" t="s">
        <v>136</v>
      </c>
      <c r="M1493" s="2" t="s">
        <v>137</v>
      </c>
      <c r="N1493" s="2" t="s">
        <v>1580</v>
      </c>
      <c r="O1493" s="2" t="s">
        <v>101</v>
      </c>
      <c r="P1493" s="2" t="str">
        <f>"2170598984                    "</f>
        <v xml:space="preserve">2170598984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6.43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1</v>
      </c>
      <c r="BJ1493" s="2">
        <v>0.2</v>
      </c>
      <c r="BK1493" s="2">
        <v>1</v>
      </c>
      <c r="BL1493" s="2">
        <v>45.93</v>
      </c>
      <c r="BM1493" s="2">
        <v>6.43</v>
      </c>
      <c r="BN1493" s="2">
        <v>52.36</v>
      </c>
      <c r="BO1493" s="2">
        <v>52.36</v>
      </c>
      <c r="BQ1493" s="2" t="s">
        <v>82</v>
      </c>
      <c r="BR1493" s="2" t="s">
        <v>103</v>
      </c>
      <c r="BS1493" s="3">
        <v>43082</v>
      </c>
      <c r="BT1493" s="4">
        <v>0.40625</v>
      </c>
      <c r="BU1493" s="2" t="s">
        <v>1944</v>
      </c>
      <c r="BV1493" s="2" t="s">
        <v>85</v>
      </c>
      <c r="BY1493" s="2">
        <v>1200</v>
      </c>
      <c r="BZ1493" s="2" t="s">
        <v>27</v>
      </c>
      <c r="CC1493" s="2" t="s">
        <v>137</v>
      </c>
      <c r="CD1493" s="2">
        <v>6001</v>
      </c>
      <c r="CE1493" s="2" t="s">
        <v>383</v>
      </c>
      <c r="CF1493" s="3">
        <v>43084</v>
      </c>
      <c r="CI1493" s="2">
        <v>1</v>
      </c>
      <c r="CJ1493" s="2">
        <v>1</v>
      </c>
      <c r="CK1493" s="2">
        <v>21</v>
      </c>
      <c r="CL1493" s="2" t="s">
        <v>89</v>
      </c>
    </row>
    <row r="1494" spans="1:90">
      <c r="A1494" s="2" t="s">
        <v>71</v>
      </c>
      <c r="B1494" s="2" t="s">
        <v>72</v>
      </c>
      <c r="C1494" s="2" t="s">
        <v>73</v>
      </c>
      <c r="E1494" s="2" t="str">
        <f>"FES1162594976"</f>
        <v>FES1162594976</v>
      </c>
      <c r="F1494" s="3">
        <v>43081</v>
      </c>
      <c r="G1494" s="2">
        <v>201806</v>
      </c>
      <c r="H1494" s="2" t="s">
        <v>74</v>
      </c>
      <c r="I1494" s="2" t="s">
        <v>75</v>
      </c>
      <c r="J1494" s="2" t="s">
        <v>97</v>
      </c>
      <c r="K1494" s="2" t="s">
        <v>77</v>
      </c>
      <c r="L1494" s="2" t="s">
        <v>136</v>
      </c>
      <c r="M1494" s="2" t="s">
        <v>137</v>
      </c>
      <c r="N1494" s="2" t="s">
        <v>660</v>
      </c>
      <c r="O1494" s="2" t="s">
        <v>101</v>
      </c>
      <c r="P1494" s="2" t="str">
        <f>"2170606867                    "</f>
        <v xml:space="preserve">2170606867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6.43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2</v>
      </c>
      <c r="BJ1494" s="2">
        <v>0.2</v>
      </c>
      <c r="BK1494" s="2">
        <v>2</v>
      </c>
      <c r="BL1494" s="2">
        <v>45.93</v>
      </c>
      <c r="BM1494" s="2">
        <v>6.43</v>
      </c>
      <c r="BN1494" s="2">
        <v>52.36</v>
      </c>
      <c r="BO1494" s="2">
        <v>52.36</v>
      </c>
      <c r="BQ1494" s="2" t="s">
        <v>82</v>
      </c>
      <c r="BR1494" s="2" t="s">
        <v>103</v>
      </c>
      <c r="BS1494" s="3">
        <v>43082</v>
      </c>
      <c r="BT1494" s="4">
        <v>0.42222222222222222</v>
      </c>
      <c r="BU1494" s="2" t="s">
        <v>1945</v>
      </c>
      <c r="BV1494" s="2" t="s">
        <v>85</v>
      </c>
      <c r="BY1494" s="2">
        <v>1200</v>
      </c>
      <c r="BZ1494" s="2" t="s">
        <v>27</v>
      </c>
      <c r="CC1494" s="2" t="s">
        <v>137</v>
      </c>
      <c r="CD1494" s="2">
        <v>6001</v>
      </c>
      <c r="CE1494" s="2" t="s">
        <v>383</v>
      </c>
      <c r="CF1494" s="3">
        <v>43084</v>
      </c>
      <c r="CI1494" s="2">
        <v>1</v>
      </c>
      <c r="CJ1494" s="2">
        <v>1</v>
      </c>
      <c r="CK1494" s="2">
        <v>21</v>
      </c>
      <c r="CL1494" s="2" t="s">
        <v>89</v>
      </c>
    </row>
    <row r="1495" spans="1:90">
      <c r="A1495" s="2" t="s">
        <v>71</v>
      </c>
      <c r="B1495" s="2" t="s">
        <v>72</v>
      </c>
      <c r="C1495" s="2" t="s">
        <v>73</v>
      </c>
      <c r="E1495" s="2" t="str">
        <f>"FES1162594711"</f>
        <v>FES1162594711</v>
      </c>
      <c r="F1495" s="3">
        <v>43081</v>
      </c>
      <c r="G1495" s="2">
        <v>201806</v>
      </c>
      <c r="H1495" s="2" t="s">
        <v>74</v>
      </c>
      <c r="I1495" s="2" t="s">
        <v>75</v>
      </c>
      <c r="J1495" s="2" t="s">
        <v>97</v>
      </c>
      <c r="K1495" s="2" t="s">
        <v>77</v>
      </c>
      <c r="L1495" s="2" t="s">
        <v>136</v>
      </c>
      <c r="M1495" s="2" t="s">
        <v>137</v>
      </c>
      <c r="N1495" s="2" t="s">
        <v>580</v>
      </c>
      <c r="O1495" s="2" t="s">
        <v>101</v>
      </c>
      <c r="P1495" s="2" t="str">
        <f>"2170606594                    "</f>
        <v xml:space="preserve">2170606594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12.87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4</v>
      </c>
      <c r="BJ1495" s="2">
        <v>0.2</v>
      </c>
      <c r="BK1495" s="2">
        <v>4</v>
      </c>
      <c r="BL1495" s="2">
        <v>91.85</v>
      </c>
      <c r="BM1495" s="2">
        <v>12.86</v>
      </c>
      <c r="BN1495" s="2">
        <v>104.71</v>
      </c>
      <c r="BO1495" s="2">
        <v>104.71</v>
      </c>
      <c r="BQ1495" s="2" t="s">
        <v>102</v>
      </c>
      <c r="BR1495" s="2" t="s">
        <v>103</v>
      </c>
      <c r="BS1495" s="3">
        <v>43082</v>
      </c>
      <c r="BT1495" s="4">
        <v>0.3263888888888889</v>
      </c>
      <c r="BU1495" s="2" t="s">
        <v>1751</v>
      </c>
      <c r="BV1495" s="2" t="s">
        <v>85</v>
      </c>
      <c r="BY1495" s="2">
        <v>1200</v>
      </c>
      <c r="BZ1495" s="2" t="s">
        <v>27</v>
      </c>
      <c r="CA1495" s="2" t="s">
        <v>180</v>
      </c>
      <c r="CC1495" s="2" t="s">
        <v>137</v>
      </c>
      <c r="CD1495" s="2">
        <v>6001</v>
      </c>
      <c r="CE1495" s="2" t="s">
        <v>383</v>
      </c>
      <c r="CF1495" s="3">
        <v>43084</v>
      </c>
      <c r="CI1495" s="2">
        <v>1</v>
      </c>
      <c r="CJ1495" s="2">
        <v>1</v>
      </c>
      <c r="CK1495" s="2">
        <v>21</v>
      </c>
      <c r="CL1495" s="2" t="s">
        <v>89</v>
      </c>
    </row>
    <row r="1496" spans="1:90">
      <c r="A1496" s="2" t="s">
        <v>71</v>
      </c>
      <c r="B1496" s="2" t="s">
        <v>72</v>
      </c>
      <c r="C1496" s="2" t="s">
        <v>73</v>
      </c>
      <c r="E1496" s="2" t="str">
        <f>"FES1162594754"</f>
        <v>FES1162594754</v>
      </c>
      <c r="F1496" s="3">
        <v>43081</v>
      </c>
      <c r="G1496" s="2">
        <v>201806</v>
      </c>
      <c r="H1496" s="2" t="s">
        <v>74</v>
      </c>
      <c r="I1496" s="2" t="s">
        <v>75</v>
      </c>
      <c r="J1496" s="2" t="s">
        <v>97</v>
      </c>
      <c r="K1496" s="2" t="s">
        <v>77</v>
      </c>
      <c r="L1496" s="2" t="s">
        <v>136</v>
      </c>
      <c r="M1496" s="2" t="s">
        <v>137</v>
      </c>
      <c r="N1496" s="2" t="s">
        <v>178</v>
      </c>
      <c r="O1496" s="2" t="s">
        <v>101</v>
      </c>
      <c r="P1496" s="2" t="str">
        <f>"2170606641                    "</f>
        <v xml:space="preserve">2170606641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6.43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1</v>
      </c>
      <c r="BJ1496" s="2">
        <v>0.2</v>
      </c>
      <c r="BK1496" s="2">
        <v>1</v>
      </c>
      <c r="BL1496" s="2">
        <v>45.93</v>
      </c>
      <c r="BM1496" s="2">
        <v>6.43</v>
      </c>
      <c r="BN1496" s="2">
        <v>52.36</v>
      </c>
      <c r="BO1496" s="2">
        <v>52.36</v>
      </c>
      <c r="BQ1496" s="2" t="s">
        <v>102</v>
      </c>
      <c r="BR1496" s="2" t="s">
        <v>103</v>
      </c>
      <c r="BS1496" s="3">
        <v>43082</v>
      </c>
      <c r="BT1496" s="4">
        <v>0.3125</v>
      </c>
      <c r="BU1496" s="2" t="s">
        <v>179</v>
      </c>
      <c r="BV1496" s="2" t="s">
        <v>85</v>
      </c>
      <c r="BY1496" s="2">
        <v>1200</v>
      </c>
      <c r="BZ1496" s="2" t="s">
        <v>27</v>
      </c>
      <c r="CA1496" s="2" t="s">
        <v>180</v>
      </c>
      <c r="CC1496" s="2" t="s">
        <v>137</v>
      </c>
      <c r="CD1496" s="2">
        <v>6001</v>
      </c>
      <c r="CE1496" s="2" t="s">
        <v>383</v>
      </c>
      <c r="CF1496" s="3">
        <v>43084</v>
      </c>
      <c r="CI1496" s="2">
        <v>1</v>
      </c>
      <c r="CJ1496" s="2">
        <v>1</v>
      </c>
      <c r="CK1496" s="2">
        <v>21</v>
      </c>
      <c r="CL1496" s="2" t="s">
        <v>89</v>
      </c>
    </row>
    <row r="1497" spans="1:90">
      <c r="A1497" s="2" t="s">
        <v>71</v>
      </c>
      <c r="B1497" s="2" t="s">
        <v>72</v>
      </c>
      <c r="C1497" s="2" t="s">
        <v>73</v>
      </c>
      <c r="E1497" s="2" t="str">
        <f>"FES1162594978"</f>
        <v>FES1162594978</v>
      </c>
      <c r="F1497" s="3">
        <v>43081</v>
      </c>
      <c r="G1497" s="2">
        <v>201806</v>
      </c>
      <c r="H1497" s="2" t="s">
        <v>74</v>
      </c>
      <c r="I1497" s="2" t="s">
        <v>75</v>
      </c>
      <c r="J1497" s="2" t="s">
        <v>97</v>
      </c>
      <c r="K1497" s="2" t="s">
        <v>77</v>
      </c>
      <c r="L1497" s="2" t="s">
        <v>682</v>
      </c>
      <c r="M1497" s="2" t="s">
        <v>683</v>
      </c>
      <c r="N1497" s="2" t="s">
        <v>684</v>
      </c>
      <c r="O1497" s="2" t="s">
        <v>101</v>
      </c>
      <c r="P1497" s="2" t="str">
        <f>"2170606874                    "</f>
        <v xml:space="preserve">2170606874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12.47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1</v>
      </c>
      <c r="BJ1497" s="2">
        <v>0.2</v>
      </c>
      <c r="BK1497" s="2">
        <v>1</v>
      </c>
      <c r="BL1497" s="2">
        <v>89</v>
      </c>
      <c r="BM1497" s="2">
        <v>12.46</v>
      </c>
      <c r="BN1497" s="2">
        <v>101.46</v>
      </c>
      <c r="BO1497" s="2">
        <v>101.46</v>
      </c>
      <c r="BQ1497" s="2" t="s">
        <v>128</v>
      </c>
      <c r="BR1497" s="2" t="s">
        <v>103</v>
      </c>
      <c r="BS1497" s="3">
        <v>43082</v>
      </c>
      <c r="BT1497" s="4">
        <v>0.57291666666666663</v>
      </c>
      <c r="BU1497" s="2" t="s">
        <v>846</v>
      </c>
      <c r="BV1497" s="2" t="s">
        <v>85</v>
      </c>
      <c r="BY1497" s="2">
        <v>1200</v>
      </c>
      <c r="BZ1497" s="2" t="s">
        <v>27</v>
      </c>
      <c r="CA1497" s="2" t="s">
        <v>1946</v>
      </c>
      <c r="CC1497" s="2" t="s">
        <v>683</v>
      </c>
      <c r="CD1497" s="2">
        <v>6300</v>
      </c>
      <c r="CE1497" s="2" t="s">
        <v>383</v>
      </c>
      <c r="CF1497" s="3">
        <v>43084</v>
      </c>
      <c r="CI1497" s="2">
        <v>3</v>
      </c>
      <c r="CJ1497" s="2">
        <v>1</v>
      </c>
      <c r="CK1497" s="2">
        <v>23</v>
      </c>
      <c r="CL1497" s="2" t="s">
        <v>89</v>
      </c>
    </row>
    <row r="1498" spans="1:90">
      <c r="A1498" s="2" t="s">
        <v>71</v>
      </c>
      <c r="B1498" s="2" t="s">
        <v>72</v>
      </c>
      <c r="C1498" s="2" t="s">
        <v>73</v>
      </c>
      <c r="E1498" s="2" t="str">
        <f>"FES1162595137"</f>
        <v>FES1162595137</v>
      </c>
      <c r="F1498" s="3">
        <v>43081</v>
      </c>
      <c r="G1498" s="2">
        <v>201806</v>
      </c>
      <c r="H1498" s="2" t="s">
        <v>74</v>
      </c>
      <c r="I1498" s="2" t="s">
        <v>75</v>
      </c>
      <c r="J1498" s="2" t="s">
        <v>97</v>
      </c>
      <c r="K1498" s="2" t="s">
        <v>77</v>
      </c>
      <c r="L1498" s="2" t="s">
        <v>173</v>
      </c>
      <c r="M1498" s="2" t="s">
        <v>174</v>
      </c>
      <c r="N1498" s="2" t="s">
        <v>433</v>
      </c>
      <c r="O1498" s="2" t="s">
        <v>101</v>
      </c>
      <c r="P1498" s="2" t="str">
        <f>"2170607013                    "</f>
        <v xml:space="preserve">2170607013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6.43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1</v>
      </c>
      <c r="BJ1498" s="2">
        <v>0.2</v>
      </c>
      <c r="BK1498" s="2">
        <v>1</v>
      </c>
      <c r="BL1498" s="2">
        <v>45.93</v>
      </c>
      <c r="BM1498" s="2">
        <v>6.43</v>
      </c>
      <c r="BN1498" s="2">
        <v>52.36</v>
      </c>
      <c r="BO1498" s="2">
        <v>52.36</v>
      </c>
      <c r="BQ1498" s="2" t="s">
        <v>102</v>
      </c>
      <c r="BR1498" s="2" t="s">
        <v>103</v>
      </c>
      <c r="BS1498" s="3">
        <v>43082</v>
      </c>
      <c r="BT1498" s="4">
        <v>0.41666666666666669</v>
      </c>
      <c r="BU1498" s="2" t="s">
        <v>434</v>
      </c>
      <c r="BV1498" s="2" t="s">
        <v>85</v>
      </c>
      <c r="BY1498" s="2">
        <v>1200</v>
      </c>
      <c r="BZ1498" s="2" t="s">
        <v>27</v>
      </c>
      <c r="CA1498" s="2" t="s">
        <v>177</v>
      </c>
      <c r="CC1498" s="2" t="s">
        <v>174</v>
      </c>
      <c r="CD1498" s="2">
        <v>7441</v>
      </c>
      <c r="CE1498" s="2" t="s">
        <v>383</v>
      </c>
      <c r="CF1498" s="3">
        <v>43083</v>
      </c>
      <c r="CI1498" s="2">
        <v>1</v>
      </c>
      <c r="CJ1498" s="2">
        <v>1</v>
      </c>
      <c r="CK1498" s="2">
        <v>21</v>
      </c>
      <c r="CL1498" s="2" t="s">
        <v>89</v>
      </c>
    </row>
    <row r="1499" spans="1:90">
      <c r="A1499" s="2" t="s">
        <v>71</v>
      </c>
      <c r="B1499" s="2" t="s">
        <v>72</v>
      </c>
      <c r="C1499" s="2" t="s">
        <v>73</v>
      </c>
      <c r="E1499" s="2" t="str">
        <f>"FES1162595109"</f>
        <v>FES1162595109</v>
      </c>
      <c r="F1499" s="3">
        <v>43081</v>
      </c>
      <c r="G1499" s="2">
        <v>201806</v>
      </c>
      <c r="H1499" s="2" t="s">
        <v>74</v>
      </c>
      <c r="I1499" s="2" t="s">
        <v>75</v>
      </c>
      <c r="J1499" s="2" t="s">
        <v>97</v>
      </c>
      <c r="K1499" s="2" t="s">
        <v>77</v>
      </c>
      <c r="L1499" s="2" t="s">
        <v>173</v>
      </c>
      <c r="M1499" s="2" t="s">
        <v>174</v>
      </c>
      <c r="N1499" s="2" t="s">
        <v>1757</v>
      </c>
      <c r="O1499" s="2" t="s">
        <v>101</v>
      </c>
      <c r="P1499" s="2" t="str">
        <f>"2170607010                    "</f>
        <v xml:space="preserve">2170607010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6.43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1</v>
      </c>
      <c r="BJ1499" s="2">
        <v>0.2</v>
      </c>
      <c r="BK1499" s="2">
        <v>1</v>
      </c>
      <c r="BL1499" s="2">
        <v>45.93</v>
      </c>
      <c r="BM1499" s="2">
        <v>6.43</v>
      </c>
      <c r="BN1499" s="2">
        <v>52.36</v>
      </c>
      <c r="BO1499" s="2">
        <v>52.36</v>
      </c>
      <c r="BQ1499" s="2" t="s">
        <v>128</v>
      </c>
      <c r="BR1499" s="2" t="s">
        <v>103</v>
      </c>
      <c r="BS1499" s="3">
        <v>43082</v>
      </c>
      <c r="BT1499" s="4">
        <v>0.41666666666666669</v>
      </c>
      <c r="BU1499" s="2" t="s">
        <v>1758</v>
      </c>
      <c r="BV1499" s="2" t="s">
        <v>85</v>
      </c>
      <c r="BY1499" s="2">
        <v>1200</v>
      </c>
      <c r="BZ1499" s="2" t="s">
        <v>27</v>
      </c>
      <c r="CA1499" s="2" t="s">
        <v>395</v>
      </c>
      <c r="CC1499" s="2" t="s">
        <v>174</v>
      </c>
      <c r="CD1499" s="2">
        <v>7441</v>
      </c>
      <c r="CE1499" s="2" t="s">
        <v>383</v>
      </c>
      <c r="CF1499" s="3">
        <v>43082</v>
      </c>
      <c r="CI1499" s="2">
        <v>1</v>
      </c>
      <c r="CJ1499" s="2">
        <v>1</v>
      </c>
      <c r="CK1499" s="2">
        <v>21</v>
      </c>
      <c r="CL1499" s="2" t="s">
        <v>89</v>
      </c>
    </row>
    <row r="1500" spans="1:90">
      <c r="A1500" s="2" t="s">
        <v>71</v>
      </c>
      <c r="B1500" s="2" t="s">
        <v>72</v>
      </c>
      <c r="C1500" s="2" t="s">
        <v>73</v>
      </c>
      <c r="E1500" s="2" t="str">
        <f>"FES1162595212"</f>
        <v>FES1162595212</v>
      </c>
      <c r="F1500" s="3">
        <v>43081</v>
      </c>
      <c r="G1500" s="2">
        <v>201806</v>
      </c>
      <c r="H1500" s="2" t="s">
        <v>74</v>
      </c>
      <c r="I1500" s="2" t="s">
        <v>75</v>
      </c>
      <c r="J1500" s="2" t="s">
        <v>97</v>
      </c>
      <c r="K1500" s="2" t="s">
        <v>77</v>
      </c>
      <c r="L1500" s="2" t="s">
        <v>136</v>
      </c>
      <c r="M1500" s="2" t="s">
        <v>137</v>
      </c>
      <c r="N1500" s="2" t="s">
        <v>1732</v>
      </c>
      <c r="O1500" s="2" t="s">
        <v>101</v>
      </c>
      <c r="P1500" s="2" t="str">
        <f>"2170607106                    "</f>
        <v xml:space="preserve">2170607106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6.43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</v>
      </c>
      <c r="BJ1500" s="2">
        <v>0.2</v>
      </c>
      <c r="BK1500" s="2">
        <v>1</v>
      </c>
      <c r="BL1500" s="2">
        <v>45.93</v>
      </c>
      <c r="BM1500" s="2">
        <v>6.43</v>
      </c>
      <c r="BN1500" s="2">
        <v>52.36</v>
      </c>
      <c r="BO1500" s="2">
        <v>52.36</v>
      </c>
      <c r="BQ1500" s="2" t="s">
        <v>82</v>
      </c>
      <c r="BR1500" s="2" t="s">
        <v>103</v>
      </c>
      <c r="BS1500" s="3">
        <v>43082</v>
      </c>
      <c r="BT1500" s="4">
        <v>0.36458333333333331</v>
      </c>
      <c r="BU1500" s="2" t="s">
        <v>1947</v>
      </c>
      <c r="BV1500" s="2" t="s">
        <v>85</v>
      </c>
      <c r="BY1500" s="2">
        <v>1200</v>
      </c>
      <c r="BZ1500" s="2" t="s">
        <v>27</v>
      </c>
      <c r="CC1500" s="2" t="s">
        <v>137</v>
      </c>
      <c r="CD1500" s="2">
        <v>6001</v>
      </c>
      <c r="CE1500" s="2" t="s">
        <v>383</v>
      </c>
      <c r="CF1500" s="3">
        <v>43084</v>
      </c>
      <c r="CI1500" s="2">
        <v>1</v>
      </c>
      <c r="CJ1500" s="2">
        <v>1</v>
      </c>
      <c r="CK1500" s="2">
        <v>21</v>
      </c>
      <c r="CL1500" s="2" t="s">
        <v>89</v>
      </c>
    </row>
    <row r="1501" spans="1:90">
      <c r="A1501" s="2" t="s">
        <v>71</v>
      </c>
      <c r="B1501" s="2" t="s">
        <v>72</v>
      </c>
      <c r="C1501" s="2" t="s">
        <v>73</v>
      </c>
      <c r="E1501" s="2" t="str">
        <f>"FES1162595225"</f>
        <v>FES1162595225</v>
      </c>
      <c r="F1501" s="3">
        <v>43081</v>
      </c>
      <c r="G1501" s="2">
        <v>201806</v>
      </c>
      <c r="H1501" s="2" t="s">
        <v>74</v>
      </c>
      <c r="I1501" s="2" t="s">
        <v>75</v>
      </c>
      <c r="J1501" s="2" t="s">
        <v>97</v>
      </c>
      <c r="K1501" s="2" t="s">
        <v>77</v>
      </c>
      <c r="L1501" s="2" t="s">
        <v>115</v>
      </c>
      <c r="M1501" s="2" t="s">
        <v>116</v>
      </c>
      <c r="N1501" s="2" t="s">
        <v>1948</v>
      </c>
      <c r="O1501" s="2" t="s">
        <v>101</v>
      </c>
      <c r="P1501" s="2" t="str">
        <f>"2170607119                    "</f>
        <v xml:space="preserve">2170607119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5.03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0.2</v>
      </c>
      <c r="BK1501" s="2">
        <v>1</v>
      </c>
      <c r="BL1501" s="2">
        <v>35.89</v>
      </c>
      <c r="BM1501" s="2">
        <v>5.0199999999999996</v>
      </c>
      <c r="BN1501" s="2">
        <v>40.909999999999997</v>
      </c>
      <c r="BO1501" s="2">
        <v>40.909999999999997</v>
      </c>
      <c r="BQ1501" s="2" t="s">
        <v>82</v>
      </c>
      <c r="BR1501" s="2" t="s">
        <v>103</v>
      </c>
      <c r="BS1501" s="3">
        <v>43083</v>
      </c>
      <c r="BT1501" s="4">
        <v>0.35972222222222222</v>
      </c>
      <c r="BU1501" s="2" t="s">
        <v>1949</v>
      </c>
      <c r="BV1501" s="2" t="s">
        <v>89</v>
      </c>
      <c r="BW1501" s="2" t="s">
        <v>149</v>
      </c>
      <c r="BX1501" s="2" t="s">
        <v>456</v>
      </c>
      <c r="BY1501" s="2">
        <v>1200</v>
      </c>
      <c r="BZ1501" s="2" t="s">
        <v>27</v>
      </c>
      <c r="CA1501" s="2" t="s">
        <v>119</v>
      </c>
      <c r="CC1501" s="2" t="s">
        <v>116</v>
      </c>
      <c r="CD1501" s="2">
        <v>1459</v>
      </c>
      <c r="CE1501" s="2" t="s">
        <v>120</v>
      </c>
      <c r="CF1501" s="3">
        <v>43084</v>
      </c>
      <c r="CI1501" s="2">
        <v>1</v>
      </c>
      <c r="CJ1501" s="2">
        <v>2</v>
      </c>
      <c r="CK1501" s="2">
        <v>22</v>
      </c>
      <c r="CL1501" s="2" t="s">
        <v>89</v>
      </c>
    </row>
    <row r="1502" spans="1:90">
      <c r="A1502" s="2" t="s">
        <v>71</v>
      </c>
      <c r="B1502" s="2" t="s">
        <v>72</v>
      </c>
      <c r="C1502" s="2" t="s">
        <v>73</v>
      </c>
      <c r="E1502" s="2" t="str">
        <f>"FES1162595254"</f>
        <v>FES1162595254</v>
      </c>
      <c r="F1502" s="3">
        <v>43081</v>
      </c>
      <c r="G1502" s="2">
        <v>201806</v>
      </c>
      <c r="H1502" s="2" t="s">
        <v>74</v>
      </c>
      <c r="I1502" s="2" t="s">
        <v>75</v>
      </c>
      <c r="J1502" s="2" t="s">
        <v>97</v>
      </c>
      <c r="K1502" s="2" t="s">
        <v>77</v>
      </c>
      <c r="L1502" s="2" t="s">
        <v>152</v>
      </c>
      <c r="M1502" s="2" t="s">
        <v>153</v>
      </c>
      <c r="N1502" s="2" t="s">
        <v>603</v>
      </c>
      <c r="O1502" s="2" t="s">
        <v>101</v>
      </c>
      <c r="P1502" s="2" t="str">
        <f>"2170603105                    "</f>
        <v xml:space="preserve">2170603105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5.03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0.2</v>
      </c>
      <c r="BK1502" s="2">
        <v>1</v>
      </c>
      <c r="BL1502" s="2">
        <v>35.89</v>
      </c>
      <c r="BM1502" s="2">
        <v>5.0199999999999996</v>
      </c>
      <c r="BN1502" s="2">
        <v>40.909999999999997</v>
      </c>
      <c r="BO1502" s="2">
        <v>40.909999999999997</v>
      </c>
      <c r="BQ1502" s="2" t="s">
        <v>707</v>
      </c>
      <c r="BR1502" s="2" t="s">
        <v>103</v>
      </c>
      <c r="BS1502" s="3">
        <v>43082</v>
      </c>
      <c r="BT1502" s="4">
        <v>0.41666666666666669</v>
      </c>
      <c r="BU1502" s="2" t="s">
        <v>1950</v>
      </c>
      <c r="BV1502" s="2" t="s">
        <v>85</v>
      </c>
      <c r="BY1502" s="2">
        <v>1200</v>
      </c>
      <c r="BZ1502" s="2" t="s">
        <v>27</v>
      </c>
      <c r="CA1502" s="2" t="s">
        <v>1292</v>
      </c>
      <c r="CC1502" s="2" t="s">
        <v>153</v>
      </c>
      <c r="CD1502" s="2">
        <v>1422</v>
      </c>
      <c r="CE1502" s="2" t="s">
        <v>120</v>
      </c>
      <c r="CF1502" s="3">
        <v>43084</v>
      </c>
      <c r="CI1502" s="2">
        <v>1</v>
      </c>
      <c r="CJ1502" s="2">
        <v>1</v>
      </c>
      <c r="CK1502" s="2">
        <v>22</v>
      </c>
      <c r="CL1502" s="2" t="s">
        <v>89</v>
      </c>
    </row>
    <row r="1503" spans="1:90">
      <c r="A1503" s="2" t="s">
        <v>71</v>
      </c>
      <c r="B1503" s="2" t="s">
        <v>72</v>
      </c>
      <c r="C1503" s="2" t="s">
        <v>73</v>
      </c>
      <c r="E1503" s="2" t="str">
        <f>"FES1162595011"</f>
        <v>FES1162595011</v>
      </c>
      <c r="F1503" s="3">
        <v>43081</v>
      </c>
      <c r="G1503" s="2">
        <v>201806</v>
      </c>
      <c r="H1503" s="2" t="s">
        <v>74</v>
      </c>
      <c r="I1503" s="2" t="s">
        <v>75</v>
      </c>
      <c r="J1503" s="2" t="s">
        <v>97</v>
      </c>
      <c r="K1503" s="2" t="s">
        <v>77</v>
      </c>
      <c r="L1503" s="2" t="s">
        <v>74</v>
      </c>
      <c r="M1503" s="2" t="s">
        <v>75</v>
      </c>
      <c r="N1503" s="2" t="s">
        <v>204</v>
      </c>
      <c r="O1503" s="2" t="s">
        <v>101</v>
      </c>
      <c r="P1503" s="2" t="str">
        <f>"2170606932                    "</f>
        <v xml:space="preserve">2170606932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5.03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</v>
      </c>
      <c r="BJ1503" s="2">
        <v>0.2</v>
      </c>
      <c r="BK1503" s="2">
        <v>1</v>
      </c>
      <c r="BL1503" s="2">
        <v>35.89</v>
      </c>
      <c r="BM1503" s="2">
        <v>5.0199999999999996</v>
      </c>
      <c r="BN1503" s="2">
        <v>40.909999999999997</v>
      </c>
      <c r="BO1503" s="2">
        <v>40.909999999999997</v>
      </c>
      <c r="BQ1503" s="2" t="s">
        <v>102</v>
      </c>
      <c r="BR1503" s="2" t="s">
        <v>103</v>
      </c>
      <c r="BS1503" s="3">
        <v>43082</v>
      </c>
      <c r="BT1503" s="4">
        <v>0.32361111111111113</v>
      </c>
      <c r="BU1503" s="2" t="s">
        <v>205</v>
      </c>
      <c r="BV1503" s="2" t="s">
        <v>85</v>
      </c>
      <c r="BY1503" s="2">
        <v>1200</v>
      </c>
      <c r="BZ1503" s="2" t="s">
        <v>27</v>
      </c>
      <c r="CA1503" s="2" t="s">
        <v>206</v>
      </c>
      <c r="CC1503" s="2" t="s">
        <v>75</v>
      </c>
      <c r="CD1503" s="2">
        <v>1645</v>
      </c>
      <c r="CE1503" s="2" t="s">
        <v>120</v>
      </c>
      <c r="CF1503" s="3">
        <v>43083</v>
      </c>
      <c r="CI1503" s="2">
        <v>1</v>
      </c>
      <c r="CJ1503" s="2">
        <v>1</v>
      </c>
      <c r="CK1503" s="2">
        <v>22</v>
      </c>
      <c r="CL1503" s="2" t="s">
        <v>89</v>
      </c>
    </row>
    <row r="1504" spans="1:90">
      <c r="A1504" s="2" t="s">
        <v>71</v>
      </c>
      <c r="B1504" s="2" t="s">
        <v>72</v>
      </c>
      <c r="C1504" s="2" t="s">
        <v>73</v>
      </c>
      <c r="E1504" s="2" t="str">
        <f>"FES1162595214"</f>
        <v>FES1162595214</v>
      </c>
      <c r="F1504" s="3">
        <v>43081</v>
      </c>
      <c r="G1504" s="2">
        <v>201806</v>
      </c>
      <c r="H1504" s="2" t="s">
        <v>74</v>
      </c>
      <c r="I1504" s="2" t="s">
        <v>75</v>
      </c>
      <c r="J1504" s="2" t="s">
        <v>97</v>
      </c>
      <c r="K1504" s="2" t="s">
        <v>77</v>
      </c>
      <c r="L1504" s="2" t="s">
        <v>106</v>
      </c>
      <c r="M1504" s="2" t="s">
        <v>107</v>
      </c>
      <c r="N1504" s="2" t="s">
        <v>108</v>
      </c>
      <c r="O1504" s="2" t="s">
        <v>101</v>
      </c>
      <c r="P1504" s="2" t="str">
        <f>"2170607108                    "</f>
        <v xml:space="preserve">2170607108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5.03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35.89</v>
      </c>
      <c r="BM1504" s="2">
        <v>5.0199999999999996</v>
      </c>
      <c r="BN1504" s="2">
        <v>40.909999999999997</v>
      </c>
      <c r="BO1504" s="2">
        <v>40.909999999999997</v>
      </c>
      <c r="BQ1504" s="2" t="s">
        <v>82</v>
      </c>
      <c r="BR1504" s="2" t="s">
        <v>103</v>
      </c>
      <c r="BS1504" s="3">
        <v>43082</v>
      </c>
      <c r="BT1504" s="4">
        <v>0.3888888888888889</v>
      </c>
      <c r="BU1504" s="2" t="s">
        <v>109</v>
      </c>
      <c r="BV1504" s="2" t="s">
        <v>85</v>
      </c>
      <c r="BY1504" s="2">
        <v>1200</v>
      </c>
      <c r="BZ1504" s="2" t="s">
        <v>27</v>
      </c>
      <c r="CA1504" s="2" t="s">
        <v>110</v>
      </c>
      <c r="CC1504" s="2" t="s">
        <v>107</v>
      </c>
      <c r="CD1504" s="2">
        <v>2094</v>
      </c>
      <c r="CE1504" s="2" t="s">
        <v>120</v>
      </c>
      <c r="CF1504" s="3">
        <v>43083</v>
      </c>
      <c r="CI1504" s="2">
        <v>1</v>
      </c>
      <c r="CJ1504" s="2">
        <v>1</v>
      </c>
      <c r="CK1504" s="2">
        <v>22</v>
      </c>
      <c r="CL1504" s="2" t="s">
        <v>89</v>
      </c>
    </row>
    <row r="1505" spans="1:90">
      <c r="A1505" s="2" t="s">
        <v>71</v>
      </c>
      <c r="B1505" s="2" t="s">
        <v>72</v>
      </c>
      <c r="C1505" s="2" t="s">
        <v>73</v>
      </c>
      <c r="E1505" s="2" t="str">
        <f>"FES1162594621"</f>
        <v>FES1162594621</v>
      </c>
      <c r="F1505" s="3">
        <v>43081</v>
      </c>
      <c r="G1505" s="2">
        <v>201806</v>
      </c>
      <c r="H1505" s="2" t="s">
        <v>74</v>
      </c>
      <c r="I1505" s="2" t="s">
        <v>75</v>
      </c>
      <c r="J1505" s="2" t="s">
        <v>97</v>
      </c>
      <c r="K1505" s="2" t="s">
        <v>77</v>
      </c>
      <c r="L1505" s="2" t="s">
        <v>74</v>
      </c>
      <c r="M1505" s="2" t="s">
        <v>75</v>
      </c>
      <c r="N1505" s="2" t="s">
        <v>184</v>
      </c>
      <c r="O1505" s="2" t="s">
        <v>101</v>
      </c>
      <c r="P1505" s="2" t="str">
        <f>"2170606459                    "</f>
        <v xml:space="preserve">2170606459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5.03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1</v>
      </c>
      <c r="BJ1505" s="2">
        <v>0.2</v>
      </c>
      <c r="BK1505" s="2">
        <v>1</v>
      </c>
      <c r="BL1505" s="2">
        <v>35.89</v>
      </c>
      <c r="BM1505" s="2">
        <v>5.0199999999999996</v>
      </c>
      <c r="BN1505" s="2">
        <v>40.909999999999997</v>
      </c>
      <c r="BO1505" s="2">
        <v>40.909999999999997</v>
      </c>
      <c r="BQ1505" s="2" t="s">
        <v>82</v>
      </c>
      <c r="BR1505" s="2" t="s">
        <v>103</v>
      </c>
      <c r="BS1505" s="3">
        <v>43082</v>
      </c>
      <c r="BT1505" s="4">
        <v>0.39583333333333331</v>
      </c>
      <c r="BU1505" s="2" t="s">
        <v>1097</v>
      </c>
      <c r="BV1505" s="2" t="s">
        <v>85</v>
      </c>
      <c r="BY1505" s="2">
        <v>1200</v>
      </c>
      <c r="BZ1505" s="2" t="s">
        <v>27</v>
      </c>
      <c r="CA1505" s="2" t="s">
        <v>355</v>
      </c>
      <c r="CC1505" s="2" t="s">
        <v>75</v>
      </c>
      <c r="CD1505" s="2">
        <v>1600</v>
      </c>
      <c r="CE1505" s="2" t="s">
        <v>120</v>
      </c>
      <c r="CF1505" s="3">
        <v>43083</v>
      </c>
      <c r="CI1505" s="2">
        <v>1</v>
      </c>
      <c r="CJ1505" s="2">
        <v>1</v>
      </c>
      <c r="CK1505" s="2">
        <v>22</v>
      </c>
      <c r="CL1505" s="2" t="s">
        <v>89</v>
      </c>
    </row>
    <row r="1506" spans="1:90">
      <c r="A1506" s="2" t="s">
        <v>71</v>
      </c>
      <c r="B1506" s="2" t="s">
        <v>72</v>
      </c>
      <c r="C1506" s="2" t="s">
        <v>73</v>
      </c>
      <c r="E1506" s="2" t="str">
        <f>"FES1162595113"</f>
        <v>FES1162595113</v>
      </c>
      <c r="F1506" s="3">
        <v>43081</v>
      </c>
      <c r="G1506" s="2">
        <v>201806</v>
      </c>
      <c r="H1506" s="2" t="s">
        <v>74</v>
      </c>
      <c r="I1506" s="2" t="s">
        <v>75</v>
      </c>
      <c r="J1506" s="2" t="s">
        <v>97</v>
      </c>
      <c r="K1506" s="2" t="s">
        <v>77</v>
      </c>
      <c r="L1506" s="2" t="s">
        <v>173</v>
      </c>
      <c r="M1506" s="2" t="s">
        <v>174</v>
      </c>
      <c r="N1506" s="2" t="s">
        <v>323</v>
      </c>
      <c r="O1506" s="2" t="s">
        <v>101</v>
      </c>
      <c r="P1506" s="2" t="str">
        <f>"2170607012                    "</f>
        <v xml:space="preserve">2170607012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6.43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0.8</v>
      </c>
      <c r="BJ1506" s="2">
        <v>1.4</v>
      </c>
      <c r="BK1506" s="2">
        <v>1.5</v>
      </c>
      <c r="BL1506" s="2">
        <v>45.93</v>
      </c>
      <c r="BM1506" s="2">
        <v>6.43</v>
      </c>
      <c r="BN1506" s="2">
        <v>52.36</v>
      </c>
      <c r="BO1506" s="2">
        <v>52.36</v>
      </c>
      <c r="BQ1506" s="2" t="s">
        <v>82</v>
      </c>
      <c r="BR1506" s="2" t="s">
        <v>103</v>
      </c>
      <c r="BS1506" s="3">
        <v>43082</v>
      </c>
      <c r="BT1506" s="4">
        <v>0.41666666666666669</v>
      </c>
      <c r="BU1506" s="2" t="s">
        <v>1463</v>
      </c>
      <c r="BV1506" s="2" t="s">
        <v>85</v>
      </c>
      <c r="BY1506" s="2">
        <v>6972.21</v>
      </c>
      <c r="BZ1506" s="2" t="s">
        <v>27</v>
      </c>
      <c r="CA1506" s="2" t="s">
        <v>177</v>
      </c>
      <c r="CC1506" s="2" t="s">
        <v>174</v>
      </c>
      <c r="CD1506" s="2">
        <v>7405</v>
      </c>
      <c r="CE1506" s="2" t="s">
        <v>288</v>
      </c>
      <c r="CF1506" s="3">
        <v>43083</v>
      </c>
      <c r="CI1506" s="2">
        <v>1</v>
      </c>
      <c r="CJ1506" s="2">
        <v>1</v>
      </c>
      <c r="CK1506" s="2">
        <v>21</v>
      </c>
      <c r="CL1506" s="2" t="s">
        <v>89</v>
      </c>
    </row>
    <row r="1507" spans="1:90">
      <c r="A1507" s="2" t="s">
        <v>71</v>
      </c>
      <c r="B1507" s="2" t="s">
        <v>72</v>
      </c>
      <c r="C1507" s="2" t="s">
        <v>73</v>
      </c>
      <c r="E1507" s="2" t="str">
        <f>"FES1162595172"</f>
        <v>FES1162595172</v>
      </c>
      <c r="F1507" s="3">
        <v>43081</v>
      </c>
      <c r="G1507" s="2">
        <v>201806</v>
      </c>
      <c r="H1507" s="2" t="s">
        <v>74</v>
      </c>
      <c r="I1507" s="2" t="s">
        <v>75</v>
      </c>
      <c r="J1507" s="2" t="s">
        <v>97</v>
      </c>
      <c r="K1507" s="2" t="s">
        <v>77</v>
      </c>
      <c r="L1507" s="2" t="s">
        <v>106</v>
      </c>
      <c r="M1507" s="2" t="s">
        <v>107</v>
      </c>
      <c r="N1507" s="2" t="s">
        <v>108</v>
      </c>
      <c r="O1507" s="2" t="s">
        <v>101</v>
      </c>
      <c r="P1507" s="2" t="str">
        <f>"2170607077                    "</f>
        <v xml:space="preserve">2170607077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5.03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</v>
      </c>
      <c r="BJ1507" s="2">
        <v>0.2</v>
      </c>
      <c r="BK1507" s="2">
        <v>1</v>
      </c>
      <c r="BL1507" s="2">
        <v>35.89</v>
      </c>
      <c r="BM1507" s="2">
        <v>5.0199999999999996</v>
      </c>
      <c r="BN1507" s="2">
        <v>40.909999999999997</v>
      </c>
      <c r="BO1507" s="2">
        <v>40.909999999999997</v>
      </c>
      <c r="BQ1507" s="2" t="s">
        <v>82</v>
      </c>
      <c r="BR1507" s="2" t="s">
        <v>103</v>
      </c>
      <c r="BS1507" s="3">
        <v>43082</v>
      </c>
      <c r="BT1507" s="4">
        <v>0.3888888888888889</v>
      </c>
      <c r="BU1507" s="2" t="s">
        <v>109</v>
      </c>
      <c r="BV1507" s="2" t="s">
        <v>85</v>
      </c>
      <c r="BY1507" s="2">
        <v>1200</v>
      </c>
      <c r="BZ1507" s="2" t="s">
        <v>27</v>
      </c>
      <c r="CA1507" s="2" t="s">
        <v>110</v>
      </c>
      <c r="CC1507" s="2" t="s">
        <v>107</v>
      </c>
      <c r="CD1507" s="2">
        <v>2094</v>
      </c>
      <c r="CE1507" s="2" t="s">
        <v>120</v>
      </c>
      <c r="CF1507" s="3">
        <v>43083</v>
      </c>
      <c r="CI1507" s="2">
        <v>1</v>
      </c>
      <c r="CJ1507" s="2">
        <v>1</v>
      </c>
      <c r="CK1507" s="2">
        <v>22</v>
      </c>
      <c r="CL1507" s="2" t="s">
        <v>89</v>
      </c>
    </row>
    <row r="1508" spans="1:90">
      <c r="A1508" s="2" t="s">
        <v>71</v>
      </c>
      <c r="B1508" s="2" t="s">
        <v>72</v>
      </c>
      <c r="C1508" s="2" t="s">
        <v>73</v>
      </c>
      <c r="E1508" s="2" t="str">
        <f>"FES1162595190"</f>
        <v>FES1162595190</v>
      </c>
      <c r="F1508" s="3">
        <v>43081</v>
      </c>
      <c r="G1508" s="2">
        <v>201806</v>
      </c>
      <c r="H1508" s="2" t="s">
        <v>74</v>
      </c>
      <c r="I1508" s="2" t="s">
        <v>75</v>
      </c>
      <c r="J1508" s="2" t="s">
        <v>97</v>
      </c>
      <c r="K1508" s="2" t="s">
        <v>77</v>
      </c>
      <c r="L1508" s="2" t="s">
        <v>74</v>
      </c>
      <c r="M1508" s="2" t="s">
        <v>75</v>
      </c>
      <c r="N1508" s="2" t="s">
        <v>1951</v>
      </c>
      <c r="O1508" s="2" t="s">
        <v>101</v>
      </c>
      <c r="P1508" s="2" t="str">
        <f>"2170606571                    "</f>
        <v xml:space="preserve">2170606571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5.03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</v>
      </c>
      <c r="BJ1508" s="2">
        <v>0.2</v>
      </c>
      <c r="BK1508" s="2">
        <v>1</v>
      </c>
      <c r="BL1508" s="2">
        <v>35.89</v>
      </c>
      <c r="BM1508" s="2">
        <v>5.0199999999999996</v>
      </c>
      <c r="BN1508" s="2">
        <v>40.909999999999997</v>
      </c>
      <c r="BO1508" s="2">
        <v>40.909999999999997</v>
      </c>
      <c r="BQ1508" s="2" t="s">
        <v>102</v>
      </c>
      <c r="BR1508" s="2" t="s">
        <v>103</v>
      </c>
      <c r="BS1508" s="3">
        <v>43082</v>
      </c>
      <c r="BT1508" s="4">
        <v>0.33888888888888885</v>
      </c>
      <c r="BU1508" s="2" t="s">
        <v>1952</v>
      </c>
      <c r="BV1508" s="2" t="s">
        <v>85</v>
      </c>
      <c r="BY1508" s="2">
        <v>1200</v>
      </c>
      <c r="BZ1508" s="2" t="s">
        <v>27</v>
      </c>
      <c r="CA1508" s="2" t="s">
        <v>619</v>
      </c>
      <c r="CC1508" s="2" t="s">
        <v>75</v>
      </c>
      <c r="CD1508" s="2">
        <v>1609</v>
      </c>
      <c r="CE1508" s="2" t="s">
        <v>120</v>
      </c>
      <c r="CF1508" s="3">
        <v>43084</v>
      </c>
      <c r="CI1508" s="2">
        <v>1</v>
      </c>
      <c r="CJ1508" s="2">
        <v>1</v>
      </c>
      <c r="CK1508" s="2">
        <v>22</v>
      </c>
      <c r="CL1508" s="2" t="s">
        <v>89</v>
      </c>
    </row>
    <row r="1509" spans="1:90">
      <c r="A1509" s="2" t="s">
        <v>71</v>
      </c>
      <c r="B1509" s="2" t="s">
        <v>72</v>
      </c>
      <c r="C1509" s="2" t="s">
        <v>73</v>
      </c>
      <c r="E1509" s="2" t="str">
        <f>"FES1162595060"</f>
        <v>FES1162595060</v>
      </c>
      <c r="F1509" s="3">
        <v>43081</v>
      </c>
      <c r="G1509" s="2">
        <v>201806</v>
      </c>
      <c r="H1509" s="2" t="s">
        <v>74</v>
      </c>
      <c r="I1509" s="2" t="s">
        <v>75</v>
      </c>
      <c r="J1509" s="2" t="s">
        <v>97</v>
      </c>
      <c r="K1509" s="2" t="s">
        <v>77</v>
      </c>
      <c r="L1509" s="2" t="s">
        <v>78</v>
      </c>
      <c r="M1509" s="2" t="s">
        <v>79</v>
      </c>
      <c r="N1509" s="2" t="s">
        <v>1953</v>
      </c>
      <c r="O1509" s="2" t="s">
        <v>101</v>
      </c>
      <c r="P1509" s="2" t="str">
        <f>"2170606982                    "</f>
        <v xml:space="preserve">2170606982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6.43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45.93</v>
      </c>
      <c r="BM1509" s="2">
        <v>6.43</v>
      </c>
      <c r="BN1509" s="2">
        <v>52.36</v>
      </c>
      <c r="BO1509" s="2">
        <v>52.36</v>
      </c>
      <c r="BQ1509" s="2" t="s">
        <v>1954</v>
      </c>
      <c r="BR1509" s="2" t="s">
        <v>103</v>
      </c>
      <c r="BS1509" s="3">
        <v>43082</v>
      </c>
      <c r="BT1509" s="4">
        <v>0.72291666666666676</v>
      </c>
      <c r="BU1509" s="2" t="s">
        <v>1955</v>
      </c>
      <c r="BV1509" s="2" t="s">
        <v>89</v>
      </c>
      <c r="BY1509" s="2">
        <v>1200</v>
      </c>
      <c r="BZ1509" s="2" t="s">
        <v>27</v>
      </c>
      <c r="CA1509" s="2" t="s">
        <v>86</v>
      </c>
      <c r="CC1509" s="2" t="s">
        <v>79</v>
      </c>
      <c r="CD1509" s="2">
        <v>1947</v>
      </c>
      <c r="CE1509" s="2" t="s">
        <v>383</v>
      </c>
      <c r="CF1509" s="3">
        <v>43084</v>
      </c>
      <c r="CI1509" s="2">
        <v>1</v>
      </c>
      <c r="CJ1509" s="2">
        <v>1</v>
      </c>
      <c r="CK1509" s="2">
        <v>21</v>
      </c>
      <c r="CL1509" s="2" t="s">
        <v>89</v>
      </c>
    </row>
    <row r="1510" spans="1:90">
      <c r="A1510" s="2" t="s">
        <v>71</v>
      </c>
      <c r="B1510" s="2" t="s">
        <v>72</v>
      </c>
      <c r="C1510" s="2" t="s">
        <v>73</v>
      </c>
      <c r="E1510" s="2" t="str">
        <f>"009935791690"</f>
        <v>009935791690</v>
      </c>
      <c r="F1510" s="3">
        <v>43081</v>
      </c>
      <c r="G1510" s="2">
        <v>201806</v>
      </c>
      <c r="H1510" s="2" t="s">
        <v>74</v>
      </c>
      <c r="I1510" s="2" t="s">
        <v>75</v>
      </c>
      <c r="J1510" s="2" t="s">
        <v>97</v>
      </c>
      <c r="K1510" s="2" t="s">
        <v>77</v>
      </c>
      <c r="L1510" s="2" t="s">
        <v>125</v>
      </c>
      <c r="M1510" s="2" t="s">
        <v>126</v>
      </c>
      <c r="N1510" s="2" t="s">
        <v>1956</v>
      </c>
      <c r="O1510" s="2" t="s">
        <v>101</v>
      </c>
      <c r="P1510" s="2" t="str">
        <f>"K. MULLER                     "</f>
        <v xml:space="preserve">K. MULLER 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6.43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45.93</v>
      </c>
      <c r="BM1510" s="2">
        <v>6.43</v>
      </c>
      <c r="BN1510" s="2">
        <v>52.36</v>
      </c>
      <c r="BO1510" s="2">
        <v>52.36</v>
      </c>
      <c r="BQ1510" s="2" t="s">
        <v>1957</v>
      </c>
      <c r="BR1510" s="2" t="s">
        <v>103</v>
      </c>
      <c r="BS1510" s="3">
        <v>43082</v>
      </c>
      <c r="BT1510" s="4">
        <v>0.57222222222222219</v>
      </c>
      <c r="BU1510" s="2" t="s">
        <v>1958</v>
      </c>
      <c r="BV1510" s="2" t="s">
        <v>89</v>
      </c>
      <c r="BW1510" s="2" t="s">
        <v>149</v>
      </c>
      <c r="BX1510" s="2" t="s">
        <v>1959</v>
      </c>
      <c r="BY1510" s="2">
        <v>1200</v>
      </c>
      <c r="CA1510" s="2" t="s">
        <v>1960</v>
      </c>
      <c r="CC1510" s="2" t="s">
        <v>126</v>
      </c>
      <c r="CD1510" s="2">
        <v>4001</v>
      </c>
      <c r="CE1510" s="2" t="s">
        <v>120</v>
      </c>
      <c r="CF1510" s="3">
        <v>43087</v>
      </c>
      <c r="CI1510" s="2">
        <v>1</v>
      </c>
      <c r="CJ1510" s="2">
        <v>1</v>
      </c>
      <c r="CK1510" s="2">
        <v>21</v>
      </c>
      <c r="CL1510" s="2" t="s">
        <v>89</v>
      </c>
    </row>
    <row r="1511" spans="1:90">
      <c r="A1511" s="2" t="s">
        <v>71</v>
      </c>
      <c r="B1511" s="2" t="s">
        <v>72</v>
      </c>
      <c r="C1511" s="2" t="s">
        <v>73</v>
      </c>
      <c r="E1511" s="2" t="str">
        <f>"009935791691"</f>
        <v>009935791691</v>
      </c>
      <c r="F1511" s="3">
        <v>43081</v>
      </c>
      <c r="G1511" s="2">
        <v>201806</v>
      </c>
      <c r="H1511" s="2" t="s">
        <v>74</v>
      </c>
      <c r="I1511" s="2" t="s">
        <v>75</v>
      </c>
      <c r="J1511" s="2" t="s">
        <v>97</v>
      </c>
      <c r="K1511" s="2" t="s">
        <v>77</v>
      </c>
      <c r="L1511" s="2" t="s">
        <v>850</v>
      </c>
      <c r="M1511" s="2" t="s">
        <v>851</v>
      </c>
      <c r="N1511" s="2" t="s">
        <v>1357</v>
      </c>
      <c r="O1511" s="2" t="s">
        <v>101</v>
      </c>
      <c r="P1511" s="2" t="str">
        <f>"1162594057                    "</f>
        <v xml:space="preserve">1162594057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8.0399999999999991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2.1</v>
      </c>
      <c r="BJ1511" s="2">
        <v>2.4</v>
      </c>
      <c r="BK1511" s="2">
        <v>2.5</v>
      </c>
      <c r="BL1511" s="2">
        <v>57.41</v>
      </c>
      <c r="BM1511" s="2">
        <v>8.0399999999999991</v>
      </c>
      <c r="BN1511" s="2">
        <v>65.45</v>
      </c>
      <c r="BO1511" s="2">
        <v>65.45</v>
      </c>
      <c r="BP1511" s="2" t="s">
        <v>1961</v>
      </c>
      <c r="BQ1511" s="2" t="s">
        <v>82</v>
      </c>
      <c r="BR1511" s="2" t="s">
        <v>103</v>
      </c>
      <c r="BS1511" s="3">
        <v>43082</v>
      </c>
      <c r="BT1511" s="4">
        <v>0.45833333333333331</v>
      </c>
      <c r="BU1511" s="2" t="s">
        <v>1359</v>
      </c>
      <c r="BV1511" s="2" t="s">
        <v>85</v>
      </c>
      <c r="BY1511" s="2">
        <v>11979.6</v>
      </c>
      <c r="CC1511" s="2" t="s">
        <v>851</v>
      </c>
      <c r="CD1511" s="2">
        <v>3291</v>
      </c>
      <c r="CE1511" s="2" t="s">
        <v>95</v>
      </c>
      <c r="CI1511" s="2">
        <v>1</v>
      </c>
      <c r="CJ1511" s="2">
        <v>1</v>
      </c>
      <c r="CK1511" s="2">
        <v>21</v>
      </c>
      <c r="CL1511" s="2" t="s">
        <v>89</v>
      </c>
    </row>
    <row r="1512" spans="1:90">
      <c r="A1512" s="2" t="s">
        <v>71</v>
      </c>
      <c r="B1512" s="2" t="s">
        <v>72</v>
      </c>
      <c r="C1512" s="2" t="s">
        <v>73</v>
      </c>
      <c r="E1512" s="2" t="str">
        <f>"FES1162594579"</f>
        <v>FES1162594579</v>
      </c>
      <c r="F1512" s="3">
        <v>43081</v>
      </c>
      <c r="G1512" s="2">
        <v>201806</v>
      </c>
      <c r="H1512" s="2" t="s">
        <v>74</v>
      </c>
      <c r="I1512" s="2" t="s">
        <v>75</v>
      </c>
      <c r="J1512" s="2" t="s">
        <v>97</v>
      </c>
      <c r="K1512" s="2" t="s">
        <v>77</v>
      </c>
      <c r="L1512" s="2" t="s">
        <v>173</v>
      </c>
      <c r="M1512" s="2" t="s">
        <v>174</v>
      </c>
      <c r="N1512" s="2" t="s">
        <v>175</v>
      </c>
      <c r="O1512" s="2" t="s">
        <v>101</v>
      </c>
      <c r="P1512" s="2" t="str">
        <f>"2170603427                    "</f>
        <v xml:space="preserve">2170603427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11.26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3.2</v>
      </c>
      <c r="BJ1512" s="2">
        <v>3.5</v>
      </c>
      <c r="BK1512" s="2">
        <v>3.5</v>
      </c>
      <c r="BL1512" s="2">
        <v>80.37</v>
      </c>
      <c r="BM1512" s="2">
        <v>11.25</v>
      </c>
      <c r="BN1512" s="2">
        <v>91.62</v>
      </c>
      <c r="BO1512" s="2">
        <v>91.62</v>
      </c>
      <c r="BQ1512" s="2" t="s">
        <v>102</v>
      </c>
      <c r="BR1512" s="2" t="s">
        <v>103</v>
      </c>
      <c r="BS1512" s="3">
        <v>43082</v>
      </c>
      <c r="BT1512" s="4">
        <v>0.52638888888888891</v>
      </c>
      <c r="BU1512" s="2" t="s">
        <v>176</v>
      </c>
      <c r="BV1512" s="2" t="s">
        <v>89</v>
      </c>
      <c r="BY1512" s="2">
        <v>17470.73</v>
      </c>
      <c r="BZ1512" s="2" t="s">
        <v>27</v>
      </c>
      <c r="CA1512" s="2" t="s">
        <v>177</v>
      </c>
      <c r="CC1512" s="2" t="s">
        <v>174</v>
      </c>
      <c r="CD1512" s="2">
        <v>7405</v>
      </c>
      <c r="CE1512" s="2" t="s">
        <v>288</v>
      </c>
      <c r="CF1512" s="3">
        <v>43083</v>
      </c>
      <c r="CI1512" s="2">
        <v>1</v>
      </c>
      <c r="CJ1512" s="2">
        <v>1</v>
      </c>
      <c r="CK1512" s="2">
        <v>21</v>
      </c>
      <c r="CL1512" s="2" t="s">
        <v>89</v>
      </c>
    </row>
    <row r="1513" spans="1:90">
      <c r="A1513" s="2" t="s">
        <v>71</v>
      </c>
      <c r="B1513" s="2" t="s">
        <v>72</v>
      </c>
      <c r="C1513" s="2" t="s">
        <v>73</v>
      </c>
      <c r="E1513" s="2" t="str">
        <f>"FES1162594699"</f>
        <v>FES1162594699</v>
      </c>
      <c r="F1513" s="3">
        <v>43081</v>
      </c>
      <c r="G1513" s="2">
        <v>201806</v>
      </c>
      <c r="H1513" s="2" t="s">
        <v>74</v>
      </c>
      <c r="I1513" s="2" t="s">
        <v>75</v>
      </c>
      <c r="J1513" s="2" t="s">
        <v>97</v>
      </c>
      <c r="K1513" s="2" t="s">
        <v>77</v>
      </c>
      <c r="L1513" s="2" t="s">
        <v>526</v>
      </c>
      <c r="M1513" s="2" t="s">
        <v>527</v>
      </c>
      <c r="N1513" s="2" t="s">
        <v>1962</v>
      </c>
      <c r="O1513" s="2" t="s">
        <v>101</v>
      </c>
      <c r="P1513" s="2" t="str">
        <f>"2170606568                    "</f>
        <v xml:space="preserve">2170606568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6.43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0.9</v>
      </c>
      <c r="BJ1513" s="2">
        <v>1.7</v>
      </c>
      <c r="BK1513" s="2">
        <v>2</v>
      </c>
      <c r="BL1513" s="2">
        <v>45.93</v>
      </c>
      <c r="BM1513" s="2">
        <v>6.43</v>
      </c>
      <c r="BN1513" s="2">
        <v>52.36</v>
      </c>
      <c r="BO1513" s="2">
        <v>52.36</v>
      </c>
      <c r="BQ1513" s="2" t="s">
        <v>82</v>
      </c>
      <c r="BR1513" s="2" t="s">
        <v>103</v>
      </c>
      <c r="BS1513" s="3">
        <v>43083</v>
      </c>
      <c r="BT1513" s="4">
        <v>0.41666666666666669</v>
      </c>
      <c r="BU1513" s="2" t="s">
        <v>1963</v>
      </c>
      <c r="BV1513" s="2" t="s">
        <v>85</v>
      </c>
      <c r="BY1513" s="2">
        <v>8667.11</v>
      </c>
      <c r="BZ1513" s="2" t="s">
        <v>27</v>
      </c>
      <c r="CC1513" s="2" t="s">
        <v>527</v>
      </c>
      <c r="CD1513" s="2">
        <v>6850</v>
      </c>
      <c r="CE1513" s="2" t="s">
        <v>288</v>
      </c>
      <c r="CF1513" s="3">
        <v>43084</v>
      </c>
      <c r="CI1513" s="2">
        <v>3</v>
      </c>
      <c r="CJ1513" s="2">
        <v>2</v>
      </c>
      <c r="CK1513" s="2">
        <v>21</v>
      </c>
      <c r="CL1513" s="2" t="s">
        <v>89</v>
      </c>
    </row>
    <row r="1514" spans="1:90">
      <c r="A1514" s="2" t="s">
        <v>71</v>
      </c>
      <c r="B1514" s="2" t="s">
        <v>72</v>
      </c>
      <c r="C1514" s="2" t="s">
        <v>73</v>
      </c>
      <c r="E1514" s="2" t="str">
        <f>"FES1162595181"</f>
        <v>FES1162595181</v>
      </c>
      <c r="F1514" s="3">
        <v>43081</v>
      </c>
      <c r="G1514" s="2">
        <v>201806</v>
      </c>
      <c r="H1514" s="2" t="s">
        <v>74</v>
      </c>
      <c r="I1514" s="2" t="s">
        <v>75</v>
      </c>
      <c r="J1514" s="2" t="s">
        <v>97</v>
      </c>
      <c r="K1514" s="2" t="s">
        <v>77</v>
      </c>
      <c r="L1514" s="2" t="s">
        <v>106</v>
      </c>
      <c r="M1514" s="2" t="s">
        <v>107</v>
      </c>
      <c r="N1514" s="2" t="s">
        <v>1464</v>
      </c>
      <c r="O1514" s="2" t="s">
        <v>101</v>
      </c>
      <c r="P1514" s="2" t="str">
        <f>"2170607080                    "</f>
        <v xml:space="preserve">2170607080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5.03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1</v>
      </c>
      <c r="BJ1514" s="2">
        <v>0.2</v>
      </c>
      <c r="BK1514" s="2">
        <v>1</v>
      </c>
      <c r="BL1514" s="2">
        <v>35.89</v>
      </c>
      <c r="BM1514" s="2">
        <v>5.0199999999999996</v>
      </c>
      <c r="BN1514" s="2">
        <v>40.909999999999997</v>
      </c>
      <c r="BO1514" s="2">
        <v>40.909999999999997</v>
      </c>
      <c r="BQ1514" s="2" t="s">
        <v>102</v>
      </c>
      <c r="BR1514" s="2" t="s">
        <v>103</v>
      </c>
      <c r="BS1514" s="3">
        <v>43087</v>
      </c>
      <c r="BT1514" s="4">
        <v>0.4236111111111111</v>
      </c>
      <c r="BU1514" s="2" t="s">
        <v>755</v>
      </c>
      <c r="BV1514" s="2" t="s">
        <v>89</v>
      </c>
      <c r="BW1514" s="2" t="s">
        <v>149</v>
      </c>
      <c r="BX1514" s="2" t="s">
        <v>292</v>
      </c>
      <c r="BY1514" s="2">
        <v>1200</v>
      </c>
      <c r="BZ1514" s="2" t="s">
        <v>27</v>
      </c>
      <c r="CC1514" s="2" t="s">
        <v>107</v>
      </c>
      <c r="CD1514" s="2">
        <v>2091</v>
      </c>
      <c r="CE1514" s="2" t="s">
        <v>120</v>
      </c>
      <c r="CF1514" s="3">
        <v>43089</v>
      </c>
      <c r="CI1514" s="2">
        <v>1</v>
      </c>
      <c r="CJ1514" s="2">
        <v>4</v>
      </c>
      <c r="CK1514" s="2">
        <v>22</v>
      </c>
      <c r="CL1514" s="2" t="s">
        <v>89</v>
      </c>
    </row>
    <row r="1515" spans="1:90">
      <c r="A1515" s="2" t="s">
        <v>71</v>
      </c>
      <c r="B1515" s="2" t="s">
        <v>72</v>
      </c>
      <c r="C1515" s="2" t="s">
        <v>73</v>
      </c>
      <c r="E1515" s="2" t="str">
        <f>"FES1162594846"</f>
        <v>FES1162594846</v>
      </c>
      <c r="F1515" s="3">
        <v>43081</v>
      </c>
      <c r="G1515" s="2">
        <v>201806</v>
      </c>
      <c r="H1515" s="2" t="s">
        <v>74</v>
      </c>
      <c r="I1515" s="2" t="s">
        <v>75</v>
      </c>
      <c r="J1515" s="2" t="s">
        <v>97</v>
      </c>
      <c r="K1515" s="2" t="s">
        <v>77</v>
      </c>
      <c r="L1515" s="2" t="s">
        <v>74</v>
      </c>
      <c r="M1515" s="2" t="s">
        <v>75</v>
      </c>
      <c r="N1515" s="2" t="s">
        <v>1964</v>
      </c>
      <c r="O1515" s="2" t="s">
        <v>101</v>
      </c>
      <c r="P1515" s="2" t="str">
        <f>"2170606536                    "</f>
        <v xml:space="preserve">2170606536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5.03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2.7</v>
      </c>
      <c r="BJ1515" s="2">
        <v>0.9</v>
      </c>
      <c r="BK1515" s="2">
        <v>3</v>
      </c>
      <c r="BL1515" s="2">
        <v>35.89</v>
      </c>
      <c r="BM1515" s="2">
        <v>5.0199999999999996</v>
      </c>
      <c r="BN1515" s="2">
        <v>40.909999999999997</v>
      </c>
      <c r="BO1515" s="2">
        <v>40.909999999999997</v>
      </c>
      <c r="BR1515" s="2" t="s">
        <v>103</v>
      </c>
      <c r="BS1515" s="3">
        <v>43082</v>
      </c>
      <c r="BT1515" s="4">
        <v>0.4375</v>
      </c>
      <c r="BU1515" s="2" t="s">
        <v>1965</v>
      </c>
      <c r="BV1515" s="2" t="s">
        <v>85</v>
      </c>
      <c r="BY1515" s="2">
        <v>4565.8999999999996</v>
      </c>
      <c r="BZ1515" s="2" t="s">
        <v>27</v>
      </c>
      <c r="CA1515" s="2" t="s">
        <v>203</v>
      </c>
      <c r="CC1515" s="2" t="s">
        <v>75</v>
      </c>
      <c r="CD1515" s="2">
        <v>1666</v>
      </c>
      <c r="CE1515" s="2" t="s">
        <v>87</v>
      </c>
      <c r="CF1515" s="3">
        <v>43083</v>
      </c>
      <c r="CI1515" s="2">
        <v>1</v>
      </c>
      <c r="CJ1515" s="2">
        <v>1</v>
      </c>
      <c r="CK1515" s="2">
        <v>22</v>
      </c>
      <c r="CL1515" s="2" t="s">
        <v>89</v>
      </c>
    </row>
    <row r="1516" spans="1:90">
      <c r="A1516" s="2" t="s">
        <v>71</v>
      </c>
      <c r="B1516" s="2" t="s">
        <v>72</v>
      </c>
      <c r="C1516" s="2" t="s">
        <v>73</v>
      </c>
      <c r="E1516" s="2" t="str">
        <f>"FES1162594676"</f>
        <v>FES1162594676</v>
      </c>
      <c r="F1516" s="3">
        <v>43081</v>
      </c>
      <c r="G1516" s="2">
        <v>201806</v>
      </c>
      <c r="H1516" s="2" t="s">
        <v>74</v>
      </c>
      <c r="I1516" s="2" t="s">
        <v>75</v>
      </c>
      <c r="J1516" s="2" t="s">
        <v>97</v>
      </c>
      <c r="K1516" s="2" t="s">
        <v>77</v>
      </c>
      <c r="L1516" s="2" t="s">
        <v>74</v>
      </c>
      <c r="M1516" s="2" t="s">
        <v>75</v>
      </c>
      <c r="N1516" s="2" t="s">
        <v>1964</v>
      </c>
      <c r="O1516" s="2" t="s">
        <v>101</v>
      </c>
      <c r="P1516" s="2" t="str">
        <f>"2170606536                    "</f>
        <v xml:space="preserve">2170606536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5.03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2.9</v>
      </c>
      <c r="BJ1516" s="2">
        <v>1</v>
      </c>
      <c r="BK1516" s="2">
        <v>3</v>
      </c>
      <c r="BL1516" s="2">
        <v>35.89</v>
      </c>
      <c r="BM1516" s="2">
        <v>5.0199999999999996</v>
      </c>
      <c r="BN1516" s="2">
        <v>40.909999999999997</v>
      </c>
      <c r="BO1516" s="2">
        <v>40.909999999999997</v>
      </c>
      <c r="BR1516" s="2" t="s">
        <v>103</v>
      </c>
      <c r="BS1516" s="3">
        <v>43082</v>
      </c>
      <c r="BT1516" s="4">
        <v>0.4375</v>
      </c>
      <c r="BU1516" s="2" t="s">
        <v>1965</v>
      </c>
      <c r="BV1516" s="2" t="s">
        <v>85</v>
      </c>
      <c r="BY1516" s="2">
        <v>4814.32</v>
      </c>
      <c r="BZ1516" s="2" t="s">
        <v>27</v>
      </c>
      <c r="CA1516" s="2" t="s">
        <v>203</v>
      </c>
      <c r="CC1516" s="2" t="s">
        <v>75</v>
      </c>
      <c r="CD1516" s="2">
        <v>1666</v>
      </c>
      <c r="CE1516" s="2" t="s">
        <v>87</v>
      </c>
      <c r="CF1516" s="3">
        <v>43083</v>
      </c>
      <c r="CI1516" s="2">
        <v>1</v>
      </c>
      <c r="CJ1516" s="2">
        <v>1</v>
      </c>
      <c r="CK1516" s="2">
        <v>22</v>
      </c>
      <c r="CL1516" s="2" t="s">
        <v>89</v>
      </c>
    </row>
    <row r="1517" spans="1:90">
      <c r="A1517" s="2" t="s">
        <v>71</v>
      </c>
      <c r="B1517" s="2" t="s">
        <v>72</v>
      </c>
      <c r="C1517" s="2" t="s">
        <v>73</v>
      </c>
      <c r="E1517" s="2" t="str">
        <f>"FES1162594581"</f>
        <v>FES1162594581</v>
      </c>
      <c r="F1517" s="3">
        <v>43081</v>
      </c>
      <c r="G1517" s="2">
        <v>201806</v>
      </c>
      <c r="H1517" s="2" t="s">
        <v>74</v>
      </c>
      <c r="I1517" s="2" t="s">
        <v>75</v>
      </c>
      <c r="J1517" s="2" t="s">
        <v>97</v>
      </c>
      <c r="K1517" s="2" t="s">
        <v>77</v>
      </c>
      <c r="L1517" s="2" t="s">
        <v>547</v>
      </c>
      <c r="M1517" s="2" t="s">
        <v>548</v>
      </c>
      <c r="N1517" s="2" t="s">
        <v>573</v>
      </c>
      <c r="O1517" s="2" t="s">
        <v>101</v>
      </c>
      <c r="P1517" s="2" t="str">
        <f>"217060366                     "</f>
        <v xml:space="preserve">217060366 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5.03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5</v>
      </c>
      <c r="BJ1517" s="2">
        <v>0.8</v>
      </c>
      <c r="BK1517" s="2">
        <v>5</v>
      </c>
      <c r="BL1517" s="2">
        <v>35.89</v>
      </c>
      <c r="BM1517" s="2">
        <v>5.0199999999999996</v>
      </c>
      <c r="BN1517" s="2">
        <v>40.909999999999997</v>
      </c>
      <c r="BO1517" s="2">
        <v>40.909999999999997</v>
      </c>
      <c r="BQ1517" s="2" t="s">
        <v>1793</v>
      </c>
      <c r="BR1517" s="2" t="s">
        <v>103</v>
      </c>
      <c r="BS1517" s="3">
        <v>43082</v>
      </c>
      <c r="BT1517" s="4">
        <v>0.31388888888888888</v>
      </c>
      <c r="BU1517" s="2" t="s">
        <v>1693</v>
      </c>
      <c r="BV1517" s="2" t="s">
        <v>85</v>
      </c>
      <c r="BY1517" s="2">
        <v>3780</v>
      </c>
      <c r="BZ1517" s="2" t="s">
        <v>27</v>
      </c>
      <c r="CA1517" s="2" t="s">
        <v>119</v>
      </c>
      <c r="CC1517" s="2" t="s">
        <v>548</v>
      </c>
      <c r="CD1517" s="2">
        <v>1501</v>
      </c>
      <c r="CE1517" s="2" t="s">
        <v>87</v>
      </c>
      <c r="CF1517" s="3">
        <v>43083</v>
      </c>
      <c r="CI1517" s="2">
        <v>1</v>
      </c>
      <c r="CJ1517" s="2">
        <v>1</v>
      </c>
      <c r="CK1517" s="2">
        <v>22</v>
      </c>
      <c r="CL1517" s="2" t="s">
        <v>89</v>
      </c>
    </row>
    <row r="1518" spans="1:90">
      <c r="A1518" s="2" t="s">
        <v>71</v>
      </c>
      <c r="B1518" s="2" t="s">
        <v>72</v>
      </c>
      <c r="C1518" s="2" t="s">
        <v>73</v>
      </c>
      <c r="E1518" s="2" t="str">
        <f>"FES1162595090"</f>
        <v>FES1162595090</v>
      </c>
      <c r="F1518" s="3">
        <v>43081</v>
      </c>
      <c r="G1518" s="2">
        <v>201806</v>
      </c>
      <c r="H1518" s="2" t="s">
        <v>74</v>
      </c>
      <c r="I1518" s="2" t="s">
        <v>75</v>
      </c>
      <c r="J1518" s="2" t="s">
        <v>97</v>
      </c>
      <c r="K1518" s="2" t="s">
        <v>77</v>
      </c>
      <c r="L1518" s="2" t="s">
        <v>131</v>
      </c>
      <c r="M1518" s="2" t="s">
        <v>132</v>
      </c>
      <c r="N1518" s="2" t="s">
        <v>228</v>
      </c>
      <c r="O1518" s="2" t="s">
        <v>101</v>
      </c>
      <c r="P1518" s="2" t="str">
        <f>"2170606187                    "</f>
        <v xml:space="preserve">2170606187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9.65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0.7</v>
      </c>
      <c r="BJ1518" s="2">
        <v>2.8</v>
      </c>
      <c r="BK1518" s="2">
        <v>3</v>
      </c>
      <c r="BL1518" s="2">
        <v>68.89</v>
      </c>
      <c r="BM1518" s="2">
        <v>9.64</v>
      </c>
      <c r="BN1518" s="2">
        <v>78.53</v>
      </c>
      <c r="BO1518" s="2">
        <v>78.53</v>
      </c>
      <c r="BQ1518" s="2" t="s">
        <v>229</v>
      </c>
      <c r="BR1518" s="2" t="s">
        <v>103</v>
      </c>
      <c r="BS1518" s="3">
        <v>43082</v>
      </c>
      <c r="BT1518" s="4">
        <v>0.39097222222222222</v>
      </c>
      <c r="BU1518" s="2" t="s">
        <v>230</v>
      </c>
      <c r="BV1518" s="2" t="s">
        <v>85</v>
      </c>
      <c r="BY1518" s="2">
        <v>14006.16</v>
      </c>
      <c r="BZ1518" s="2" t="s">
        <v>27</v>
      </c>
      <c r="CA1518" s="2" t="s">
        <v>231</v>
      </c>
      <c r="CC1518" s="2" t="s">
        <v>132</v>
      </c>
      <c r="CD1518" s="2">
        <v>4300</v>
      </c>
      <c r="CE1518" s="2" t="s">
        <v>282</v>
      </c>
      <c r="CF1518" s="3">
        <v>43083</v>
      </c>
      <c r="CI1518" s="2">
        <v>1</v>
      </c>
      <c r="CJ1518" s="2">
        <v>1</v>
      </c>
      <c r="CK1518" s="2">
        <v>21</v>
      </c>
      <c r="CL1518" s="2" t="s">
        <v>89</v>
      </c>
    </row>
    <row r="1519" spans="1:90">
      <c r="A1519" s="2" t="s">
        <v>71</v>
      </c>
      <c r="B1519" s="2" t="s">
        <v>72</v>
      </c>
      <c r="C1519" s="2" t="s">
        <v>73</v>
      </c>
      <c r="E1519" s="2" t="str">
        <f>"FES1162595189"</f>
        <v>FES1162595189</v>
      </c>
      <c r="F1519" s="3">
        <v>43081</v>
      </c>
      <c r="G1519" s="2">
        <v>201806</v>
      </c>
      <c r="H1519" s="2" t="s">
        <v>74</v>
      </c>
      <c r="I1519" s="2" t="s">
        <v>75</v>
      </c>
      <c r="J1519" s="2" t="s">
        <v>97</v>
      </c>
      <c r="K1519" s="2" t="s">
        <v>77</v>
      </c>
      <c r="L1519" s="2" t="s">
        <v>74</v>
      </c>
      <c r="M1519" s="2" t="s">
        <v>75</v>
      </c>
      <c r="N1519" s="2" t="s">
        <v>1966</v>
      </c>
      <c r="O1519" s="2" t="s">
        <v>101</v>
      </c>
      <c r="P1519" s="2" t="str">
        <f>"2170606566                    "</f>
        <v xml:space="preserve">2170606566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5.03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1.4</v>
      </c>
      <c r="BJ1519" s="2">
        <v>1.7</v>
      </c>
      <c r="BK1519" s="2">
        <v>2</v>
      </c>
      <c r="BL1519" s="2">
        <v>35.89</v>
      </c>
      <c r="BM1519" s="2">
        <v>5.0199999999999996</v>
      </c>
      <c r="BN1519" s="2">
        <v>40.909999999999997</v>
      </c>
      <c r="BO1519" s="2">
        <v>40.909999999999997</v>
      </c>
      <c r="BQ1519" s="2" t="s">
        <v>102</v>
      </c>
      <c r="BR1519" s="2" t="s">
        <v>103</v>
      </c>
      <c r="BS1519" s="3">
        <v>43082</v>
      </c>
      <c r="BT1519" s="4">
        <v>0.33888888888888885</v>
      </c>
      <c r="BU1519" s="2" t="s">
        <v>1967</v>
      </c>
      <c r="BV1519" s="2" t="s">
        <v>85</v>
      </c>
      <c r="BY1519" s="2">
        <v>8748</v>
      </c>
      <c r="BZ1519" s="2" t="s">
        <v>27</v>
      </c>
      <c r="CA1519" s="2" t="s">
        <v>619</v>
      </c>
      <c r="CC1519" s="2" t="s">
        <v>75</v>
      </c>
      <c r="CD1519" s="2">
        <v>1609</v>
      </c>
      <c r="CE1519" s="2" t="s">
        <v>95</v>
      </c>
      <c r="CF1519" s="3">
        <v>43084</v>
      </c>
      <c r="CI1519" s="2">
        <v>1</v>
      </c>
      <c r="CJ1519" s="2">
        <v>1</v>
      </c>
      <c r="CK1519" s="2">
        <v>22</v>
      </c>
      <c r="CL1519" s="2" t="s">
        <v>89</v>
      </c>
    </row>
    <row r="1520" spans="1:90">
      <c r="A1520" s="2" t="s">
        <v>71</v>
      </c>
      <c r="B1520" s="2" t="s">
        <v>72</v>
      </c>
      <c r="C1520" s="2" t="s">
        <v>73</v>
      </c>
      <c r="E1520" s="2" t="str">
        <f>"FES1162594687"</f>
        <v>FES1162594687</v>
      </c>
      <c r="F1520" s="3">
        <v>43081</v>
      </c>
      <c r="G1520" s="2">
        <v>201806</v>
      </c>
      <c r="H1520" s="2" t="s">
        <v>74</v>
      </c>
      <c r="I1520" s="2" t="s">
        <v>75</v>
      </c>
      <c r="J1520" s="2" t="s">
        <v>97</v>
      </c>
      <c r="K1520" s="2" t="s">
        <v>77</v>
      </c>
      <c r="L1520" s="2" t="s">
        <v>74</v>
      </c>
      <c r="M1520" s="2" t="s">
        <v>75</v>
      </c>
      <c r="N1520" s="2" t="s">
        <v>645</v>
      </c>
      <c r="O1520" s="2" t="s">
        <v>101</v>
      </c>
      <c r="P1520" s="2" t="str">
        <f>"2170606554                    "</f>
        <v xml:space="preserve">2170606554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5.03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2</v>
      </c>
      <c r="BJ1520" s="2">
        <v>0.1</v>
      </c>
      <c r="BK1520" s="2">
        <v>2</v>
      </c>
      <c r="BL1520" s="2">
        <v>35.89</v>
      </c>
      <c r="BM1520" s="2">
        <v>5.0199999999999996</v>
      </c>
      <c r="BN1520" s="2">
        <v>40.909999999999997</v>
      </c>
      <c r="BO1520" s="2">
        <v>40.909999999999997</v>
      </c>
      <c r="BQ1520" s="2" t="s">
        <v>102</v>
      </c>
      <c r="BR1520" s="2" t="s">
        <v>103</v>
      </c>
      <c r="BS1520" s="3">
        <v>43082</v>
      </c>
      <c r="BT1520" s="4">
        <v>0.4375</v>
      </c>
      <c r="BU1520" s="2" t="s">
        <v>1968</v>
      </c>
      <c r="BV1520" s="2" t="s">
        <v>85</v>
      </c>
      <c r="BY1520" s="2">
        <v>700</v>
      </c>
      <c r="BZ1520" s="2" t="s">
        <v>27</v>
      </c>
      <c r="CA1520" s="2" t="s">
        <v>203</v>
      </c>
      <c r="CC1520" s="2" t="s">
        <v>75</v>
      </c>
      <c r="CD1520" s="2">
        <v>1665</v>
      </c>
      <c r="CE1520" s="2" t="s">
        <v>87</v>
      </c>
      <c r="CF1520" s="3">
        <v>43083</v>
      </c>
      <c r="CI1520" s="2">
        <v>1</v>
      </c>
      <c r="CJ1520" s="2">
        <v>1</v>
      </c>
      <c r="CK1520" s="2">
        <v>22</v>
      </c>
      <c r="CL1520" s="2" t="s">
        <v>89</v>
      </c>
    </row>
    <row r="1521" spans="1:90">
      <c r="A1521" s="2" t="s">
        <v>71</v>
      </c>
      <c r="B1521" s="2" t="s">
        <v>72</v>
      </c>
      <c r="C1521" s="2" t="s">
        <v>73</v>
      </c>
      <c r="E1521" s="2" t="str">
        <f>"FES1162595016"</f>
        <v>FES1162595016</v>
      </c>
      <c r="F1521" s="3">
        <v>43081</v>
      </c>
      <c r="G1521" s="2">
        <v>201806</v>
      </c>
      <c r="H1521" s="2" t="s">
        <v>74</v>
      </c>
      <c r="I1521" s="2" t="s">
        <v>75</v>
      </c>
      <c r="J1521" s="2" t="s">
        <v>97</v>
      </c>
      <c r="K1521" s="2" t="s">
        <v>77</v>
      </c>
      <c r="L1521" s="2" t="s">
        <v>125</v>
      </c>
      <c r="M1521" s="2" t="s">
        <v>126</v>
      </c>
      <c r="N1521" s="2" t="s">
        <v>141</v>
      </c>
      <c r="O1521" s="2" t="s">
        <v>101</v>
      </c>
      <c r="P1521" s="2" t="str">
        <f>"2170604201                    "</f>
        <v xml:space="preserve">2170604201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6.43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45.93</v>
      </c>
      <c r="BM1521" s="2">
        <v>6.43</v>
      </c>
      <c r="BN1521" s="2">
        <v>52.36</v>
      </c>
      <c r="BO1521" s="2">
        <v>52.36</v>
      </c>
      <c r="BQ1521" s="2" t="s">
        <v>142</v>
      </c>
      <c r="BR1521" s="2" t="s">
        <v>103</v>
      </c>
      <c r="BS1521" s="3">
        <v>43083</v>
      </c>
      <c r="BT1521" s="4">
        <v>0.41180555555555554</v>
      </c>
      <c r="BU1521" s="2" t="s">
        <v>143</v>
      </c>
      <c r="BV1521" s="2" t="s">
        <v>89</v>
      </c>
      <c r="BW1521" s="2" t="s">
        <v>149</v>
      </c>
      <c r="BX1521" s="2" t="s">
        <v>219</v>
      </c>
      <c r="BY1521" s="2">
        <v>1200</v>
      </c>
      <c r="BZ1521" s="2" t="s">
        <v>27</v>
      </c>
      <c r="CA1521" s="2" t="s">
        <v>144</v>
      </c>
      <c r="CC1521" s="2" t="s">
        <v>126</v>
      </c>
      <c r="CD1521" s="2">
        <v>4067</v>
      </c>
      <c r="CE1521" s="2" t="s">
        <v>383</v>
      </c>
      <c r="CF1521" s="3">
        <v>43084</v>
      </c>
      <c r="CI1521" s="2">
        <v>1</v>
      </c>
      <c r="CJ1521" s="2">
        <v>2</v>
      </c>
      <c r="CK1521" s="2">
        <v>21</v>
      </c>
      <c r="CL1521" s="2" t="s">
        <v>89</v>
      </c>
    </row>
    <row r="1522" spans="1:90">
      <c r="A1522" s="2" t="s">
        <v>71</v>
      </c>
      <c r="B1522" s="2" t="s">
        <v>72</v>
      </c>
      <c r="C1522" s="2" t="s">
        <v>73</v>
      </c>
      <c r="E1522" s="2" t="str">
        <f>"FES1162595040"</f>
        <v>FES1162595040</v>
      </c>
      <c r="F1522" s="3">
        <v>43081</v>
      </c>
      <c r="G1522" s="2">
        <v>201806</v>
      </c>
      <c r="H1522" s="2" t="s">
        <v>74</v>
      </c>
      <c r="I1522" s="2" t="s">
        <v>75</v>
      </c>
      <c r="J1522" s="2" t="s">
        <v>97</v>
      </c>
      <c r="K1522" s="2" t="s">
        <v>77</v>
      </c>
      <c r="L1522" s="2" t="s">
        <v>173</v>
      </c>
      <c r="M1522" s="2" t="s">
        <v>174</v>
      </c>
      <c r="N1522" s="2" t="s">
        <v>1969</v>
      </c>
      <c r="O1522" s="2" t="s">
        <v>101</v>
      </c>
      <c r="P1522" s="2" t="str">
        <f>"21706069636                   "</f>
        <v xml:space="preserve">21706069636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6.43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1</v>
      </c>
      <c r="BJ1522" s="2">
        <v>0.2</v>
      </c>
      <c r="BK1522" s="2">
        <v>1</v>
      </c>
      <c r="BL1522" s="2">
        <v>45.93</v>
      </c>
      <c r="BM1522" s="2">
        <v>6.43</v>
      </c>
      <c r="BN1522" s="2">
        <v>52.36</v>
      </c>
      <c r="BO1522" s="2">
        <v>52.36</v>
      </c>
      <c r="BQ1522" s="2" t="s">
        <v>1200</v>
      </c>
      <c r="BR1522" s="2" t="s">
        <v>103</v>
      </c>
      <c r="BS1522" s="3">
        <v>43082</v>
      </c>
      <c r="BT1522" s="4">
        <v>0.49444444444444446</v>
      </c>
      <c r="BU1522" s="2" t="s">
        <v>1970</v>
      </c>
      <c r="BV1522" s="2" t="s">
        <v>89</v>
      </c>
      <c r="BW1522" s="2" t="s">
        <v>156</v>
      </c>
      <c r="BX1522" s="2" t="s">
        <v>839</v>
      </c>
      <c r="BY1522" s="2">
        <v>1200</v>
      </c>
      <c r="BZ1522" s="2" t="s">
        <v>27</v>
      </c>
      <c r="CA1522" s="2" t="s">
        <v>1389</v>
      </c>
      <c r="CC1522" s="2" t="s">
        <v>174</v>
      </c>
      <c r="CD1522" s="2">
        <v>8000</v>
      </c>
      <c r="CE1522" s="2" t="s">
        <v>383</v>
      </c>
      <c r="CF1522" s="3">
        <v>43083</v>
      </c>
      <c r="CI1522" s="2">
        <v>1</v>
      </c>
      <c r="CJ1522" s="2">
        <v>1</v>
      </c>
      <c r="CK1522" s="2">
        <v>21</v>
      </c>
      <c r="CL1522" s="2" t="s">
        <v>89</v>
      </c>
    </row>
    <row r="1523" spans="1:90">
      <c r="A1523" s="2" t="s">
        <v>71</v>
      </c>
      <c r="B1523" s="2" t="s">
        <v>72</v>
      </c>
      <c r="C1523" s="2" t="s">
        <v>73</v>
      </c>
      <c r="E1523" s="2" t="str">
        <f>"FES1162595127"</f>
        <v>FES1162595127</v>
      </c>
      <c r="F1523" s="3">
        <v>43081</v>
      </c>
      <c r="G1523" s="2">
        <v>201806</v>
      </c>
      <c r="H1523" s="2" t="s">
        <v>74</v>
      </c>
      <c r="I1523" s="2" t="s">
        <v>75</v>
      </c>
      <c r="J1523" s="2" t="s">
        <v>97</v>
      </c>
      <c r="K1523" s="2" t="s">
        <v>77</v>
      </c>
      <c r="L1523" s="2" t="s">
        <v>90</v>
      </c>
      <c r="M1523" s="2" t="s">
        <v>91</v>
      </c>
      <c r="N1523" s="2" t="s">
        <v>1971</v>
      </c>
      <c r="O1523" s="2" t="s">
        <v>101</v>
      </c>
      <c r="P1523" s="2" t="str">
        <f>"2170607028                    "</f>
        <v xml:space="preserve">2170607028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5.03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1</v>
      </c>
      <c r="BJ1523" s="2">
        <v>0.2</v>
      </c>
      <c r="BK1523" s="2">
        <v>1</v>
      </c>
      <c r="BL1523" s="2">
        <v>35.89</v>
      </c>
      <c r="BM1523" s="2">
        <v>5.0199999999999996</v>
      </c>
      <c r="BN1523" s="2">
        <v>40.909999999999997</v>
      </c>
      <c r="BO1523" s="2">
        <v>40.909999999999997</v>
      </c>
      <c r="BR1523" s="2" t="s">
        <v>103</v>
      </c>
      <c r="BS1523" s="3">
        <v>43082</v>
      </c>
      <c r="BT1523" s="4">
        <v>0.41666666666666669</v>
      </c>
      <c r="BU1523" s="2" t="s">
        <v>205</v>
      </c>
      <c r="BV1523" s="2" t="s">
        <v>85</v>
      </c>
      <c r="BY1523" s="2">
        <v>1200</v>
      </c>
      <c r="BZ1523" s="2" t="s">
        <v>27</v>
      </c>
      <c r="CA1523" s="2" t="s">
        <v>347</v>
      </c>
      <c r="CC1523" s="2" t="s">
        <v>91</v>
      </c>
      <c r="CD1523" s="2">
        <v>1559</v>
      </c>
      <c r="CE1523" s="2" t="s">
        <v>120</v>
      </c>
      <c r="CF1523" s="3">
        <v>43083</v>
      </c>
      <c r="CI1523" s="2">
        <v>1</v>
      </c>
      <c r="CJ1523" s="2">
        <v>1</v>
      </c>
      <c r="CK1523" s="2">
        <v>22</v>
      </c>
      <c r="CL1523" s="2" t="s">
        <v>89</v>
      </c>
    </row>
    <row r="1524" spans="1:90">
      <c r="A1524" s="2" t="s">
        <v>71</v>
      </c>
      <c r="B1524" s="2" t="s">
        <v>72</v>
      </c>
      <c r="C1524" s="2" t="s">
        <v>73</v>
      </c>
      <c r="E1524" s="2" t="str">
        <f>"FES1162595235"</f>
        <v>FES1162595235</v>
      </c>
      <c r="F1524" s="3">
        <v>43081</v>
      </c>
      <c r="G1524" s="2">
        <v>201806</v>
      </c>
      <c r="H1524" s="2" t="s">
        <v>74</v>
      </c>
      <c r="I1524" s="2" t="s">
        <v>75</v>
      </c>
      <c r="J1524" s="2" t="s">
        <v>97</v>
      </c>
      <c r="K1524" s="2" t="s">
        <v>77</v>
      </c>
      <c r="L1524" s="2" t="s">
        <v>74</v>
      </c>
      <c r="M1524" s="2" t="s">
        <v>75</v>
      </c>
      <c r="N1524" s="2" t="s">
        <v>1125</v>
      </c>
      <c r="O1524" s="2" t="s">
        <v>101</v>
      </c>
      <c r="P1524" s="2" t="str">
        <f>"2170+607136                   "</f>
        <v xml:space="preserve">2170+607136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5.03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1</v>
      </c>
      <c r="BJ1524" s="2">
        <v>0.2</v>
      </c>
      <c r="BK1524" s="2">
        <v>1</v>
      </c>
      <c r="BL1524" s="2">
        <v>35.89</v>
      </c>
      <c r="BM1524" s="2">
        <v>5.0199999999999996</v>
      </c>
      <c r="BN1524" s="2">
        <v>40.909999999999997</v>
      </c>
      <c r="BO1524" s="2">
        <v>40.909999999999997</v>
      </c>
      <c r="BQ1524" s="2" t="s">
        <v>142</v>
      </c>
      <c r="BR1524" s="2" t="s">
        <v>103</v>
      </c>
      <c r="BS1524" s="3">
        <v>43082</v>
      </c>
      <c r="BT1524" s="4">
        <v>0.30208333333333331</v>
      </c>
      <c r="BU1524" s="2" t="s">
        <v>1126</v>
      </c>
      <c r="BV1524" s="2" t="s">
        <v>85</v>
      </c>
      <c r="BY1524" s="2">
        <v>1200</v>
      </c>
      <c r="BZ1524" s="2" t="s">
        <v>27</v>
      </c>
      <c r="CA1524" s="2" t="s">
        <v>355</v>
      </c>
      <c r="CC1524" s="2" t="s">
        <v>75</v>
      </c>
      <c r="CD1524" s="2">
        <v>1624</v>
      </c>
      <c r="CE1524" s="2" t="s">
        <v>120</v>
      </c>
      <c r="CF1524" s="3">
        <v>43083</v>
      </c>
      <c r="CI1524" s="2">
        <v>1</v>
      </c>
      <c r="CJ1524" s="2">
        <v>1</v>
      </c>
      <c r="CK1524" s="2">
        <v>22</v>
      </c>
      <c r="CL1524" s="2" t="s">
        <v>89</v>
      </c>
    </row>
    <row r="1525" spans="1:90">
      <c r="A1525" s="2" t="s">
        <v>71</v>
      </c>
      <c r="B1525" s="2" t="s">
        <v>72</v>
      </c>
      <c r="C1525" s="2" t="s">
        <v>73</v>
      </c>
      <c r="E1525" s="2" t="str">
        <f>"FES1162595300"</f>
        <v>FES1162595300</v>
      </c>
      <c r="F1525" s="3">
        <v>43081</v>
      </c>
      <c r="G1525" s="2">
        <v>201806</v>
      </c>
      <c r="H1525" s="2" t="s">
        <v>74</v>
      </c>
      <c r="I1525" s="2" t="s">
        <v>75</v>
      </c>
      <c r="J1525" s="2" t="s">
        <v>97</v>
      </c>
      <c r="K1525" s="2" t="s">
        <v>77</v>
      </c>
      <c r="L1525" s="2" t="s">
        <v>136</v>
      </c>
      <c r="M1525" s="2" t="s">
        <v>137</v>
      </c>
      <c r="N1525" s="2" t="s">
        <v>580</v>
      </c>
      <c r="O1525" s="2" t="s">
        <v>101</v>
      </c>
      <c r="P1525" s="2" t="str">
        <f>"2170607168                    "</f>
        <v xml:space="preserve">2170607168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11.26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3.1</v>
      </c>
      <c r="BJ1525" s="2">
        <v>1.8</v>
      </c>
      <c r="BK1525" s="2">
        <v>3.5</v>
      </c>
      <c r="BL1525" s="2">
        <v>80.37</v>
      </c>
      <c r="BM1525" s="2">
        <v>11.25</v>
      </c>
      <c r="BN1525" s="2">
        <v>91.62</v>
      </c>
      <c r="BO1525" s="2">
        <v>91.62</v>
      </c>
      <c r="BQ1525" s="2" t="s">
        <v>102</v>
      </c>
      <c r="BR1525" s="2" t="s">
        <v>103</v>
      </c>
      <c r="BS1525" s="3">
        <v>43082</v>
      </c>
      <c r="BT1525" s="4">
        <v>0.3263888888888889</v>
      </c>
      <c r="BU1525" s="2" t="s">
        <v>1751</v>
      </c>
      <c r="BV1525" s="2" t="s">
        <v>85</v>
      </c>
      <c r="BY1525" s="2">
        <v>8895.74</v>
      </c>
      <c r="BZ1525" s="2" t="s">
        <v>27</v>
      </c>
      <c r="CA1525" s="2" t="s">
        <v>180</v>
      </c>
      <c r="CC1525" s="2" t="s">
        <v>137</v>
      </c>
      <c r="CD1525" s="2">
        <v>6001</v>
      </c>
      <c r="CE1525" s="2" t="s">
        <v>288</v>
      </c>
      <c r="CF1525" s="3">
        <v>43084</v>
      </c>
      <c r="CI1525" s="2">
        <v>1</v>
      </c>
      <c r="CJ1525" s="2">
        <v>1</v>
      </c>
      <c r="CK1525" s="2">
        <v>21</v>
      </c>
      <c r="CL1525" s="2" t="s">
        <v>89</v>
      </c>
    </row>
    <row r="1526" spans="1:90">
      <c r="A1526" s="2" t="s">
        <v>71</v>
      </c>
      <c r="B1526" s="2" t="s">
        <v>72</v>
      </c>
      <c r="C1526" s="2" t="s">
        <v>73</v>
      </c>
      <c r="E1526" s="2" t="str">
        <f>"FES1162595338"</f>
        <v>FES1162595338</v>
      </c>
      <c r="F1526" s="3">
        <v>43081</v>
      </c>
      <c r="G1526" s="2">
        <v>201806</v>
      </c>
      <c r="H1526" s="2" t="s">
        <v>74</v>
      </c>
      <c r="I1526" s="2" t="s">
        <v>75</v>
      </c>
      <c r="J1526" s="2" t="s">
        <v>97</v>
      </c>
      <c r="K1526" s="2" t="s">
        <v>77</v>
      </c>
      <c r="L1526" s="2" t="s">
        <v>136</v>
      </c>
      <c r="M1526" s="2" t="s">
        <v>137</v>
      </c>
      <c r="N1526" s="2" t="s">
        <v>138</v>
      </c>
      <c r="O1526" s="2" t="s">
        <v>101</v>
      </c>
      <c r="P1526" s="2" t="str">
        <f>"2170597568                    "</f>
        <v xml:space="preserve">2170597568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6.43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1.9</v>
      </c>
      <c r="BJ1526" s="2">
        <v>1.7</v>
      </c>
      <c r="BK1526" s="2">
        <v>2</v>
      </c>
      <c r="BL1526" s="2">
        <v>45.93</v>
      </c>
      <c r="BM1526" s="2">
        <v>6.43</v>
      </c>
      <c r="BN1526" s="2">
        <v>52.36</v>
      </c>
      <c r="BO1526" s="2">
        <v>52.36</v>
      </c>
      <c r="BQ1526" s="2" t="s">
        <v>82</v>
      </c>
      <c r="BR1526" s="2" t="s">
        <v>103</v>
      </c>
      <c r="BS1526" s="3">
        <v>43082</v>
      </c>
      <c r="BT1526" s="4">
        <v>0.35416666666666669</v>
      </c>
      <c r="BU1526" s="2" t="s">
        <v>139</v>
      </c>
      <c r="BV1526" s="2" t="s">
        <v>85</v>
      </c>
      <c r="BY1526" s="2">
        <v>8417.14</v>
      </c>
      <c r="BZ1526" s="2" t="s">
        <v>27</v>
      </c>
      <c r="CA1526" s="2" t="s">
        <v>140</v>
      </c>
      <c r="CC1526" s="2" t="s">
        <v>137</v>
      </c>
      <c r="CD1526" s="2">
        <v>6001</v>
      </c>
      <c r="CE1526" s="2" t="s">
        <v>288</v>
      </c>
      <c r="CF1526" s="3">
        <v>43084</v>
      </c>
      <c r="CI1526" s="2">
        <v>1</v>
      </c>
      <c r="CJ1526" s="2">
        <v>1</v>
      </c>
      <c r="CK1526" s="2">
        <v>21</v>
      </c>
      <c r="CL1526" s="2" t="s">
        <v>89</v>
      </c>
    </row>
    <row r="1527" spans="1:90">
      <c r="A1527" s="2" t="s">
        <v>71</v>
      </c>
      <c r="B1527" s="2" t="s">
        <v>72</v>
      </c>
      <c r="C1527" s="2" t="s">
        <v>73</v>
      </c>
      <c r="E1527" s="2" t="str">
        <f>"FES1162595287"</f>
        <v>FES1162595287</v>
      </c>
      <c r="F1527" s="3">
        <v>43081</v>
      </c>
      <c r="G1527" s="2">
        <v>201806</v>
      </c>
      <c r="H1527" s="2" t="s">
        <v>74</v>
      </c>
      <c r="I1527" s="2" t="s">
        <v>75</v>
      </c>
      <c r="J1527" s="2" t="s">
        <v>97</v>
      </c>
      <c r="K1527" s="2" t="s">
        <v>77</v>
      </c>
      <c r="L1527" s="2" t="s">
        <v>173</v>
      </c>
      <c r="M1527" s="2" t="s">
        <v>174</v>
      </c>
      <c r="N1527" s="2" t="s">
        <v>1757</v>
      </c>
      <c r="O1527" s="2" t="s">
        <v>101</v>
      </c>
      <c r="P1527" s="2" t="str">
        <f>"2170607175                    "</f>
        <v xml:space="preserve">2170607175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30.55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3</v>
      </c>
      <c r="BI1527" s="2">
        <v>9.5</v>
      </c>
      <c r="BJ1527" s="2">
        <v>4.0999999999999996</v>
      </c>
      <c r="BK1527" s="2">
        <v>9.5</v>
      </c>
      <c r="BL1527" s="2">
        <v>218.1</v>
      </c>
      <c r="BM1527" s="2">
        <v>30.53</v>
      </c>
      <c r="BN1527" s="2">
        <v>248.63</v>
      </c>
      <c r="BO1527" s="2">
        <v>248.63</v>
      </c>
      <c r="BQ1527" s="2" t="s">
        <v>128</v>
      </c>
      <c r="BR1527" s="2" t="s">
        <v>103</v>
      </c>
      <c r="BS1527" s="3">
        <v>43083</v>
      </c>
      <c r="BT1527" s="4">
        <v>0.41666666666666669</v>
      </c>
      <c r="BU1527" s="2" t="s">
        <v>1972</v>
      </c>
      <c r="BV1527" s="2" t="s">
        <v>89</v>
      </c>
      <c r="BW1527" s="2" t="s">
        <v>313</v>
      </c>
      <c r="BX1527" s="2" t="s">
        <v>368</v>
      </c>
      <c r="BY1527" s="2">
        <v>20542.87</v>
      </c>
      <c r="BZ1527" s="2" t="s">
        <v>27</v>
      </c>
      <c r="CA1527" s="2" t="s">
        <v>395</v>
      </c>
      <c r="CC1527" s="2" t="s">
        <v>174</v>
      </c>
      <c r="CD1527" s="2">
        <v>7441</v>
      </c>
      <c r="CE1527" s="2" t="s">
        <v>95</v>
      </c>
      <c r="CF1527" s="3">
        <v>43084</v>
      </c>
      <c r="CI1527" s="2">
        <v>1</v>
      </c>
      <c r="CJ1527" s="2">
        <v>2</v>
      </c>
      <c r="CK1527" s="2">
        <v>21</v>
      </c>
      <c r="CL1527" s="2" t="s">
        <v>89</v>
      </c>
    </row>
    <row r="1528" spans="1:90">
      <c r="A1528" s="2" t="s">
        <v>71</v>
      </c>
      <c r="B1528" s="2" t="s">
        <v>72</v>
      </c>
      <c r="C1528" s="2" t="s">
        <v>73</v>
      </c>
      <c r="E1528" s="2" t="str">
        <f>"FES1162595059"</f>
        <v>FES1162595059</v>
      </c>
      <c r="F1528" s="3">
        <v>43081</v>
      </c>
      <c r="G1528" s="2">
        <v>201806</v>
      </c>
      <c r="H1528" s="2" t="s">
        <v>74</v>
      </c>
      <c r="I1528" s="2" t="s">
        <v>75</v>
      </c>
      <c r="J1528" s="2" t="s">
        <v>97</v>
      </c>
      <c r="K1528" s="2" t="s">
        <v>77</v>
      </c>
      <c r="L1528" s="2" t="s">
        <v>462</v>
      </c>
      <c r="M1528" s="2" t="s">
        <v>463</v>
      </c>
      <c r="N1528" s="2" t="s">
        <v>464</v>
      </c>
      <c r="O1528" s="2" t="s">
        <v>101</v>
      </c>
      <c r="P1528" s="2" t="str">
        <f>"2170606981                    "</f>
        <v xml:space="preserve">2170606981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16.079999999999998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2</v>
      </c>
      <c r="BI1528" s="2">
        <v>4.7</v>
      </c>
      <c r="BJ1528" s="2">
        <v>3.1</v>
      </c>
      <c r="BK1528" s="2">
        <v>5</v>
      </c>
      <c r="BL1528" s="2">
        <v>114.8</v>
      </c>
      <c r="BM1528" s="2">
        <v>16.07</v>
      </c>
      <c r="BN1528" s="2">
        <v>130.87</v>
      </c>
      <c r="BO1528" s="2">
        <v>130.87</v>
      </c>
      <c r="BQ1528" s="2" t="s">
        <v>465</v>
      </c>
      <c r="BR1528" s="2" t="s">
        <v>103</v>
      </c>
      <c r="BS1528" s="3">
        <v>43082</v>
      </c>
      <c r="BT1528" s="4">
        <v>0.41666666666666669</v>
      </c>
      <c r="BU1528" s="2" t="s">
        <v>1973</v>
      </c>
      <c r="BV1528" s="2" t="s">
        <v>85</v>
      </c>
      <c r="BY1528" s="2">
        <v>15289.86</v>
      </c>
      <c r="BZ1528" s="2" t="s">
        <v>27</v>
      </c>
      <c r="CA1528" s="2" t="s">
        <v>542</v>
      </c>
      <c r="CC1528" s="2" t="s">
        <v>463</v>
      </c>
      <c r="CD1528" s="2">
        <v>7130</v>
      </c>
      <c r="CE1528" s="2" t="s">
        <v>95</v>
      </c>
      <c r="CF1528" s="3">
        <v>43083</v>
      </c>
      <c r="CI1528" s="2">
        <v>1</v>
      </c>
      <c r="CJ1528" s="2">
        <v>1</v>
      </c>
      <c r="CK1528" s="2">
        <v>21</v>
      </c>
      <c r="CL1528" s="2" t="s">
        <v>89</v>
      </c>
    </row>
    <row r="1529" spans="1:90">
      <c r="A1529" s="2" t="s">
        <v>71</v>
      </c>
      <c r="B1529" s="2" t="s">
        <v>72</v>
      </c>
      <c r="C1529" s="2" t="s">
        <v>73</v>
      </c>
      <c r="E1529" s="2" t="str">
        <f>"FES1162595289"</f>
        <v>FES1162595289</v>
      </c>
      <c r="F1529" s="3">
        <v>43081</v>
      </c>
      <c r="G1529" s="2">
        <v>201806</v>
      </c>
      <c r="H1529" s="2" t="s">
        <v>74</v>
      </c>
      <c r="I1529" s="2" t="s">
        <v>75</v>
      </c>
      <c r="J1529" s="2" t="s">
        <v>97</v>
      </c>
      <c r="K1529" s="2" t="s">
        <v>77</v>
      </c>
      <c r="L1529" s="2" t="s">
        <v>145</v>
      </c>
      <c r="M1529" s="2" t="s">
        <v>146</v>
      </c>
      <c r="N1529" s="2" t="s">
        <v>1974</v>
      </c>
      <c r="O1529" s="2" t="s">
        <v>101</v>
      </c>
      <c r="P1529" s="2" t="str">
        <f>"2170607160                    "</f>
        <v xml:space="preserve">2170607160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6.43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0.8</v>
      </c>
      <c r="BJ1529" s="2">
        <v>1</v>
      </c>
      <c r="BK1529" s="2">
        <v>1</v>
      </c>
      <c r="BL1529" s="2">
        <v>45.93</v>
      </c>
      <c r="BM1529" s="2">
        <v>6.43</v>
      </c>
      <c r="BN1529" s="2">
        <v>52.36</v>
      </c>
      <c r="BO1529" s="2">
        <v>52.36</v>
      </c>
      <c r="BQ1529" s="2" t="s">
        <v>82</v>
      </c>
      <c r="BR1529" s="2" t="s">
        <v>103</v>
      </c>
      <c r="BS1529" s="3">
        <v>43082</v>
      </c>
      <c r="BT1529" s="4">
        <v>0.39999999999999997</v>
      </c>
      <c r="BU1529" s="2" t="s">
        <v>1975</v>
      </c>
      <c r="BV1529" s="2" t="s">
        <v>85</v>
      </c>
      <c r="BY1529" s="2">
        <v>4960.51</v>
      </c>
      <c r="BZ1529" s="2" t="s">
        <v>27</v>
      </c>
      <c r="CA1529" s="2" t="s">
        <v>183</v>
      </c>
      <c r="CC1529" s="2" t="s">
        <v>146</v>
      </c>
      <c r="CD1529" s="2">
        <v>5201</v>
      </c>
      <c r="CE1529" s="2" t="s">
        <v>288</v>
      </c>
      <c r="CF1529" s="3">
        <v>43087</v>
      </c>
      <c r="CI1529" s="2">
        <v>1</v>
      </c>
      <c r="CJ1529" s="2">
        <v>1</v>
      </c>
      <c r="CK1529" s="2">
        <v>21</v>
      </c>
      <c r="CL1529" s="2" t="s">
        <v>89</v>
      </c>
    </row>
    <row r="1530" spans="1:90">
      <c r="A1530" s="2" t="s">
        <v>71</v>
      </c>
      <c r="B1530" s="2" t="s">
        <v>72</v>
      </c>
      <c r="C1530" s="2" t="s">
        <v>73</v>
      </c>
      <c r="E1530" s="2" t="str">
        <f>"FES1162595193"</f>
        <v>FES1162595193</v>
      </c>
      <c r="F1530" s="3">
        <v>43081</v>
      </c>
      <c r="G1530" s="2">
        <v>201806</v>
      </c>
      <c r="H1530" s="2" t="s">
        <v>74</v>
      </c>
      <c r="I1530" s="2" t="s">
        <v>75</v>
      </c>
      <c r="J1530" s="2" t="s">
        <v>97</v>
      </c>
      <c r="K1530" s="2" t="s">
        <v>77</v>
      </c>
      <c r="L1530" s="2" t="s">
        <v>221</v>
      </c>
      <c r="M1530" s="2" t="s">
        <v>222</v>
      </c>
      <c r="N1530" s="2" t="s">
        <v>620</v>
      </c>
      <c r="O1530" s="2" t="s">
        <v>101</v>
      </c>
      <c r="P1530" s="2" t="str">
        <f>"2170607089                    "</f>
        <v xml:space="preserve">2170607089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12.87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4</v>
      </c>
      <c r="BJ1530" s="2">
        <v>2.7</v>
      </c>
      <c r="BK1530" s="2">
        <v>4</v>
      </c>
      <c r="BL1530" s="2">
        <v>91.85</v>
      </c>
      <c r="BM1530" s="2">
        <v>12.86</v>
      </c>
      <c r="BN1530" s="2">
        <v>104.71</v>
      </c>
      <c r="BO1530" s="2">
        <v>104.71</v>
      </c>
      <c r="BQ1530" s="2" t="s">
        <v>82</v>
      </c>
      <c r="BR1530" s="2" t="s">
        <v>103</v>
      </c>
      <c r="BS1530" s="3">
        <v>43077</v>
      </c>
      <c r="BT1530" s="4">
        <v>0.53749999999999998</v>
      </c>
      <c r="BU1530" s="2" t="s">
        <v>621</v>
      </c>
      <c r="BV1530" s="2" t="s">
        <v>85</v>
      </c>
      <c r="BY1530" s="2">
        <v>13454</v>
      </c>
      <c r="BZ1530" s="2" t="s">
        <v>27</v>
      </c>
      <c r="CC1530" s="2" t="s">
        <v>222</v>
      </c>
      <c r="CD1530" s="2">
        <v>4133</v>
      </c>
      <c r="CE1530" s="2" t="s">
        <v>288</v>
      </c>
      <c r="CF1530" s="3">
        <v>43084</v>
      </c>
      <c r="CI1530" s="2">
        <v>1</v>
      </c>
      <c r="CJ1530" s="2">
        <v>-4</v>
      </c>
      <c r="CK1530" s="2">
        <v>21</v>
      </c>
      <c r="CL1530" s="2" t="s">
        <v>89</v>
      </c>
    </row>
    <row r="1531" spans="1:90">
      <c r="A1531" s="2" t="s">
        <v>71</v>
      </c>
      <c r="B1531" s="2" t="s">
        <v>72</v>
      </c>
      <c r="C1531" s="2" t="s">
        <v>73</v>
      </c>
      <c r="E1531" s="2" t="str">
        <f>"FES1162595202"</f>
        <v>FES1162595202</v>
      </c>
      <c r="F1531" s="3">
        <v>43081</v>
      </c>
      <c r="G1531" s="2">
        <v>201806</v>
      </c>
      <c r="H1531" s="2" t="s">
        <v>74</v>
      </c>
      <c r="I1531" s="2" t="s">
        <v>75</v>
      </c>
      <c r="J1531" s="2" t="s">
        <v>97</v>
      </c>
      <c r="K1531" s="2" t="s">
        <v>77</v>
      </c>
      <c r="L1531" s="2" t="s">
        <v>1976</v>
      </c>
      <c r="M1531" s="2" t="s">
        <v>1977</v>
      </c>
      <c r="N1531" s="2" t="s">
        <v>1978</v>
      </c>
      <c r="O1531" s="2" t="s">
        <v>101</v>
      </c>
      <c r="P1531" s="2" t="str">
        <f>"2170606653                    "</f>
        <v xml:space="preserve">2170606653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20.91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3.1</v>
      </c>
      <c r="BJ1531" s="2">
        <v>2.1</v>
      </c>
      <c r="BK1531" s="2">
        <v>3.5</v>
      </c>
      <c r="BL1531" s="2">
        <v>149.28</v>
      </c>
      <c r="BM1531" s="2">
        <v>20.9</v>
      </c>
      <c r="BN1531" s="2">
        <v>170.18</v>
      </c>
      <c r="BO1531" s="2">
        <v>170.18</v>
      </c>
      <c r="BQ1531" s="2" t="s">
        <v>82</v>
      </c>
      <c r="BR1531" s="2" t="s">
        <v>103</v>
      </c>
      <c r="BS1531" s="3">
        <v>43082</v>
      </c>
      <c r="BT1531" s="4">
        <v>0.37638888888888888</v>
      </c>
      <c r="BU1531" s="2" t="s">
        <v>1979</v>
      </c>
      <c r="BV1531" s="2" t="s">
        <v>85</v>
      </c>
      <c r="BY1531" s="2">
        <v>10276.23</v>
      </c>
      <c r="BZ1531" s="2" t="s">
        <v>27</v>
      </c>
      <c r="CA1531" s="2" t="s">
        <v>225</v>
      </c>
      <c r="CC1531" s="2" t="s">
        <v>1977</v>
      </c>
      <c r="CD1531" s="2">
        <v>4339</v>
      </c>
      <c r="CE1531" s="2" t="s">
        <v>288</v>
      </c>
      <c r="CF1531" s="3">
        <v>43084</v>
      </c>
      <c r="CI1531" s="2">
        <v>1</v>
      </c>
      <c r="CJ1531" s="2">
        <v>1</v>
      </c>
      <c r="CK1531" s="2">
        <v>23</v>
      </c>
      <c r="CL1531" s="2" t="s">
        <v>89</v>
      </c>
    </row>
    <row r="1532" spans="1:90">
      <c r="A1532" s="2" t="s">
        <v>71</v>
      </c>
      <c r="B1532" s="2" t="s">
        <v>72</v>
      </c>
      <c r="C1532" s="2" t="s">
        <v>73</v>
      </c>
      <c r="E1532" s="2" t="str">
        <f>"FES1162595334"</f>
        <v>FES1162595334</v>
      </c>
      <c r="F1532" s="3">
        <v>43081</v>
      </c>
      <c r="G1532" s="2">
        <v>201806</v>
      </c>
      <c r="H1532" s="2" t="s">
        <v>74</v>
      </c>
      <c r="I1532" s="2" t="s">
        <v>75</v>
      </c>
      <c r="J1532" s="2" t="s">
        <v>97</v>
      </c>
      <c r="K1532" s="2" t="s">
        <v>77</v>
      </c>
      <c r="L1532" s="2" t="s">
        <v>173</v>
      </c>
      <c r="M1532" s="2" t="s">
        <v>174</v>
      </c>
      <c r="N1532" s="2" t="s">
        <v>1980</v>
      </c>
      <c r="O1532" s="2" t="s">
        <v>101</v>
      </c>
      <c r="P1532" s="2" t="str">
        <f>"2170607210                    "</f>
        <v xml:space="preserve">2170607210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19.3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5.8</v>
      </c>
      <c r="BJ1532" s="2">
        <v>3.4</v>
      </c>
      <c r="BK1532" s="2">
        <v>6</v>
      </c>
      <c r="BL1532" s="2">
        <v>137.76</v>
      </c>
      <c r="BM1532" s="2">
        <v>19.29</v>
      </c>
      <c r="BN1532" s="2">
        <v>157.05000000000001</v>
      </c>
      <c r="BO1532" s="2">
        <v>157.05000000000001</v>
      </c>
      <c r="BQ1532" s="2" t="s">
        <v>128</v>
      </c>
      <c r="BR1532" s="2" t="s">
        <v>103</v>
      </c>
      <c r="BS1532" s="3">
        <v>43082</v>
      </c>
      <c r="BT1532" s="4">
        <v>0.36944444444444446</v>
      </c>
      <c r="BU1532" s="2" t="s">
        <v>1981</v>
      </c>
      <c r="BV1532" s="2" t="s">
        <v>85</v>
      </c>
      <c r="BY1532" s="2">
        <v>16941.310000000001</v>
      </c>
      <c r="BZ1532" s="2" t="s">
        <v>27</v>
      </c>
      <c r="CA1532" s="2" t="s">
        <v>1389</v>
      </c>
      <c r="CC1532" s="2" t="s">
        <v>174</v>
      </c>
      <c r="CD1532" s="2">
        <v>7460</v>
      </c>
      <c r="CE1532" s="2" t="s">
        <v>288</v>
      </c>
      <c r="CF1532" s="3">
        <v>43083</v>
      </c>
      <c r="CI1532" s="2">
        <v>1</v>
      </c>
      <c r="CJ1532" s="2">
        <v>1</v>
      </c>
      <c r="CK1532" s="2">
        <v>21</v>
      </c>
      <c r="CL1532" s="2" t="s">
        <v>89</v>
      </c>
    </row>
    <row r="1533" spans="1:90">
      <c r="A1533" s="2" t="s">
        <v>71</v>
      </c>
      <c r="B1533" s="2" t="s">
        <v>72</v>
      </c>
      <c r="C1533" s="2" t="s">
        <v>73</v>
      </c>
      <c r="E1533" s="2" t="str">
        <f>"FES1162595043"</f>
        <v>FES1162595043</v>
      </c>
      <c r="F1533" s="3">
        <v>43081</v>
      </c>
      <c r="G1533" s="2">
        <v>201806</v>
      </c>
      <c r="H1533" s="2" t="s">
        <v>74</v>
      </c>
      <c r="I1533" s="2" t="s">
        <v>75</v>
      </c>
      <c r="J1533" s="2" t="s">
        <v>97</v>
      </c>
      <c r="K1533" s="2" t="s">
        <v>77</v>
      </c>
      <c r="L1533" s="2" t="s">
        <v>173</v>
      </c>
      <c r="M1533" s="2" t="s">
        <v>174</v>
      </c>
      <c r="N1533" s="2" t="s">
        <v>1982</v>
      </c>
      <c r="O1533" s="2" t="s">
        <v>101</v>
      </c>
      <c r="P1533" s="2" t="str">
        <f>"2170606699                    "</f>
        <v xml:space="preserve">2170606699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12.87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2.6</v>
      </c>
      <c r="BJ1533" s="2">
        <v>3.7</v>
      </c>
      <c r="BK1533" s="2">
        <v>4</v>
      </c>
      <c r="BL1533" s="2">
        <v>91.85</v>
      </c>
      <c r="BM1533" s="2">
        <v>12.86</v>
      </c>
      <c r="BN1533" s="2">
        <v>104.71</v>
      </c>
      <c r="BO1533" s="2">
        <v>104.71</v>
      </c>
      <c r="BQ1533" s="2" t="s">
        <v>1983</v>
      </c>
      <c r="BR1533" s="2" t="s">
        <v>103</v>
      </c>
      <c r="BS1533" s="3">
        <v>43082</v>
      </c>
      <c r="BT1533" s="4">
        <v>0.4465277777777778</v>
      </c>
      <c r="BU1533" s="2" t="s">
        <v>1984</v>
      </c>
      <c r="BV1533" s="2" t="s">
        <v>85</v>
      </c>
      <c r="BY1533" s="2">
        <v>18466.73</v>
      </c>
      <c r="BZ1533" s="2" t="s">
        <v>27</v>
      </c>
      <c r="CA1533" s="2" t="s">
        <v>1985</v>
      </c>
      <c r="CC1533" s="2" t="s">
        <v>174</v>
      </c>
      <c r="CD1533" s="2">
        <v>7925</v>
      </c>
      <c r="CE1533" s="2" t="s">
        <v>288</v>
      </c>
      <c r="CF1533" s="3">
        <v>43083</v>
      </c>
      <c r="CI1533" s="2">
        <v>1</v>
      </c>
      <c r="CJ1533" s="2">
        <v>1</v>
      </c>
      <c r="CK1533" s="2">
        <v>21</v>
      </c>
      <c r="CL1533" s="2" t="s">
        <v>89</v>
      </c>
    </row>
    <row r="1534" spans="1:90">
      <c r="A1534" s="2" t="s">
        <v>71</v>
      </c>
      <c r="B1534" s="2" t="s">
        <v>72</v>
      </c>
      <c r="C1534" s="2" t="s">
        <v>73</v>
      </c>
      <c r="E1534" s="2" t="str">
        <f>"FES1162595126"</f>
        <v>FES1162595126</v>
      </c>
      <c r="F1534" s="3">
        <v>43081</v>
      </c>
      <c r="G1534" s="2">
        <v>201806</v>
      </c>
      <c r="H1534" s="2" t="s">
        <v>74</v>
      </c>
      <c r="I1534" s="2" t="s">
        <v>75</v>
      </c>
      <c r="J1534" s="2" t="s">
        <v>97</v>
      </c>
      <c r="K1534" s="2" t="s">
        <v>77</v>
      </c>
      <c r="L1534" s="2" t="s">
        <v>1986</v>
      </c>
      <c r="M1534" s="2" t="s">
        <v>1987</v>
      </c>
      <c r="N1534" s="2" t="s">
        <v>1988</v>
      </c>
      <c r="O1534" s="2" t="s">
        <v>101</v>
      </c>
      <c r="P1534" s="2" t="str">
        <f>"2170606971                    "</f>
        <v xml:space="preserve">2170606971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11.26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3.4</v>
      </c>
      <c r="BJ1534" s="2">
        <v>3.5</v>
      </c>
      <c r="BK1534" s="2">
        <v>3.5</v>
      </c>
      <c r="BL1534" s="2">
        <v>80.37</v>
      </c>
      <c r="BM1534" s="2">
        <v>11.25</v>
      </c>
      <c r="BN1534" s="2">
        <v>91.62</v>
      </c>
      <c r="BO1534" s="2">
        <v>91.62</v>
      </c>
      <c r="BQ1534" s="2" t="s">
        <v>142</v>
      </c>
      <c r="BR1534" s="2" t="s">
        <v>103</v>
      </c>
      <c r="BS1534" s="3">
        <v>43083</v>
      </c>
      <c r="BT1534" s="4">
        <v>0.33124999999999999</v>
      </c>
      <c r="BU1534" s="2" t="s">
        <v>1989</v>
      </c>
      <c r="BV1534" s="2" t="s">
        <v>85</v>
      </c>
      <c r="BY1534" s="2">
        <v>17604.13</v>
      </c>
      <c r="BZ1534" s="2" t="s">
        <v>27</v>
      </c>
      <c r="CA1534" s="2" t="s">
        <v>1990</v>
      </c>
      <c r="CC1534" s="2" t="s">
        <v>1987</v>
      </c>
      <c r="CD1534" s="2">
        <v>6740</v>
      </c>
      <c r="CE1534" s="2" t="s">
        <v>288</v>
      </c>
      <c r="CF1534" s="3">
        <v>43087</v>
      </c>
      <c r="CI1534" s="2">
        <v>3</v>
      </c>
      <c r="CJ1534" s="2">
        <v>2</v>
      </c>
      <c r="CK1534" s="2">
        <v>21</v>
      </c>
      <c r="CL1534" s="2" t="s">
        <v>89</v>
      </c>
    </row>
    <row r="1535" spans="1:90">
      <c r="A1535" s="2" t="s">
        <v>71</v>
      </c>
      <c r="B1535" s="2" t="s">
        <v>72</v>
      </c>
      <c r="C1535" s="2" t="s">
        <v>73</v>
      </c>
      <c r="E1535" s="2" t="str">
        <f>"FES1162595288"</f>
        <v>FES1162595288</v>
      </c>
      <c r="F1535" s="3">
        <v>43081</v>
      </c>
      <c r="G1535" s="2">
        <v>201806</v>
      </c>
      <c r="H1535" s="2" t="s">
        <v>74</v>
      </c>
      <c r="I1535" s="2" t="s">
        <v>75</v>
      </c>
      <c r="J1535" s="2" t="s">
        <v>97</v>
      </c>
      <c r="K1535" s="2" t="s">
        <v>77</v>
      </c>
      <c r="L1535" s="2" t="s">
        <v>212</v>
      </c>
      <c r="M1535" s="2" t="s">
        <v>212</v>
      </c>
      <c r="N1535" s="2" t="s">
        <v>1263</v>
      </c>
      <c r="O1535" s="2" t="s">
        <v>101</v>
      </c>
      <c r="P1535" s="2" t="str">
        <f>"2170607158                    "</f>
        <v xml:space="preserve">2170607158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14.47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4.3</v>
      </c>
      <c r="BJ1535" s="2">
        <v>1.5</v>
      </c>
      <c r="BK1535" s="2">
        <v>4.5</v>
      </c>
      <c r="BL1535" s="2">
        <v>103.32</v>
      </c>
      <c r="BM1535" s="2">
        <v>14.46</v>
      </c>
      <c r="BN1535" s="2">
        <v>117.78</v>
      </c>
      <c r="BO1535" s="2">
        <v>117.78</v>
      </c>
      <c r="BQ1535" s="2" t="s">
        <v>82</v>
      </c>
      <c r="BR1535" s="2" t="s">
        <v>103</v>
      </c>
      <c r="BS1535" s="3">
        <v>43082</v>
      </c>
      <c r="BT1535" s="4">
        <v>0.56597222222222221</v>
      </c>
      <c r="BU1535" s="2" t="s">
        <v>1991</v>
      </c>
      <c r="BV1535" s="2" t="s">
        <v>85</v>
      </c>
      <c r="BY1535" s="2">
        <v>7483.81</v>
      </c>
      <c r="BZ1535" s="2" t="s">
        <v>27</v>
      </c>
      <c r="CC1535" s="2" t="s">
        <v>212</v>
      </c>
      <c r="CD1535" s="2">
        <v>7646</v>
      </c>
      <c r="CE1535" s="2" t="s">
        <v>288</v>
      </c>
      <c r="CF1535" s="3">
        <v>43083</v>
      </c>
      <c r="CI1535" s="2">
        <v>1</v>
      </c>
      <c r="CJ1535" s="2">
        <v>1</v>
      </c>
      <c r="CK1535" s="2">
        <v>21</v>
      </c>
      <c r="CL1535" s="2" t="s">
        <v>89</v>
      </c>
    </row>
    <row r="1536" spans="1:90">
      <c r="A1536" s="2" t="s">
        <v>71</v>
      </c>
      <c r="B1536" s="2" t="s">
        <v>72</v>
      </c>
      <c r="C1536" s="2" t="s">
        <v>73</v>
      </c>
      <c r="E1536" s="2" t="str">
        <f>"FES1162595237"</f>
        <v>FES1162595237</v>
      </c>
      <c r="F1536" s="3">
        <v>43081</v>
      </c>
      <c r="G1536" s="2">
        <v>201806</v>
      </c>
      <c r="H1536" s="2" t="s">
        <v>74</v>
      </c>
      <c r="I1536" s="2" t="s">
        <v>75</v>
      </c>
      <c r="J1536" s="2" t="s">
        <v>97</v>
      </c>
      <c r="K1536" s="2" t="s">
        <v>77</v>
      </c>
      <c r="L1536" s="2" t="s">
        <v>212</v>
      </c>
      <c r="M1536" s="2" t="s">
        <v>212</v>
      </c>
      <c r="N1536" s="2" t="s">
        <v>1263</v>
      </c>
      <c r="O1536" s="2" t="s">
        <v>101</v>
      </c>
      <c r="P1536" s="2" t="str">
        <f>"2170607139                    "</f>
        <v xml:space="preserve">2170607139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6.43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1.8</v>
      </c>
      <c r="BJ1536" s="2">
        <v>1.4</v>
      </c>
      <c r="BK1536" s="2">
        <v>2</v>
      </c>
      <c r="BL1536" s="2">
        <v>45.93</v>
      </c>
      <c r="BM1536" s="2">
        <v>6.43</v>
      </c>
      <c r="BN1536" s="2">
        <v>52.36</v>
      </c>
      <c r="BO1536" s="2">
        <v>52.36</v>
      </c>
      <c r="BQ1536" s="2" t="s">
        <v>82</v>
      </c>
      <c r="BR1536" s="2" t="s">
        <v>103</v>
      </c>
      <c r="BS1536" s="3">
        <v>43082</v>
      </c>
      <c r="BT1536" s="4">
        <v>0.56597222222222221</v>
      </c>
      <c r="BU1536" s="2" t="s">
        <v>1992</v>
      </c>
      <c r="BV1536" s="2" t="s">
        <v>85</v>
      </c>
      <c r="BY1536" s="2">
        <v>7021.8</v>
      </c>
      <c r="BZ1536" s="2" t="s">
        <v>27</v>
      </c>
      <c r="CC1536" s="2" t="s">
        <v>212</v>
      </c>
      <c r="CD1536" s="2">
        <v>7646</v>
      </c>
      <c r="CE1536" s="2" t="s">
        <v>288</v>
      </c>
      <c r="CF1536" s="3">
        <v>43083</v>
      </c>
      <c r="CI1536" s="2">
        <v>1</v>
      </c>
      <c r="CJ1536" s="2">
        <v>1</v>
      </c>
      <c r="CK1536" s="2">
        <v>21</v>
      </c>
      <c r="CL1536" s="2" t="s">
        <v>89</v>
      </c>
    </row>
    <row r="1537" spans="1:90">
      <c r="A1537" s="2" t="s">
        <v>71</v>
      </c>
      <c r="B1537" s="2" t="s">
        <v>72</v>
      </c>
      <c r="C1537" s="2" t="s">
        <v>73</v>
      </c>
      <c r="E1537" s="2" t="str">
        <f>"FES1162595363"</f>
        <v>FES1162595363</v>
      </c>
      <c r="F1537" s="3">
        <v>43081</v>
      </c>
      <c r="G1537" s="2">
        <v>201806</v>
      </c>
      <c r="H1537" s="2" t="s">
        <v>74</v>
      </c>
      <c r="I1537" s="2" t="s">
        <v>75</v>
      </c>
      <c r="J1537" s="2" t="s">
        <v>97</v>
      </c>
      <c r="K1537" s="2" t="s">
        <v>77</v>
      </c>
      <c r="L1537" s="2" t="s">
        <v>173</v>
      </c>
      <c r="M1537" s="2" t="s">
        <v>174</v>
      </c>
      <c r="N1537" s="2" t="s">
        <v>1753</v>
      </c>
      <c r="O1537" s="2" t="s">
        <v>101</v>
      </c>
      <c r="P1537" s="2" t="str">
        <f>"2170606385                    "</f>
        <v xml:space="preserve">2170606385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9.65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2.8</v>
      </c>
      <c r="BJ1537" s="2">
        <v>1.8</v>
      </c>
      <c r="BK1537" s="2">
        <v>3</v>
      </c>
      <c r="BL1537" s="2">
        <v>68.89</v>
      </c>
      <c r="BM1537" s="2">
        <v>9.64</v>
      </c>
      <c r="BN1537" s="2">
        <v>78.53</v>
      </c>
      <c r="BO1537" s="2">
        <v>78.53</v>
      </c>
      <c r="BQ1537" s="2" t="s">
        <v>82</v>
      </c>
      <c r="BR1537" s="2" t="s">
        <v>103</v>
      </c>
      <c r="BS1537" s="3">
        <v>43082</v>
      </c>
      <c r="BT1537" s="4">
        <v>0.42777777777777781</v>
      </c>
      <c r="BU1537" s="2" t="s">
        <v>1993</v>
      </c>
      <c r="BV1537" s="2" t="s">
        <v>85</v>
      </c>
      <c r="BY1537" s="2">
        <v>8870.81</v>
      </c>
      <c r="BZ1537" s="2" t="s">
        <v>27</v>
      </c>
      <c r="CA1537" s="2" t="s">
        <v>247</v>
      </c>
      <c r="CC1537" s="2" t="s">
        <v>174</v>
      </c>
      <c r="CD1537" s="2">
        <v>7530</v>
      </c>
      <c r="CE1537" s="2" t="s">
        <v>282</v>
      </c>
      <c r="CF1537" s="3">
        <v>43083</v>
      </c>
      <c r="CI1537" s="2">
        <v>1</v>
      </c>
      <c r="CJ1537" s="2">
        <v>1</v>
      </c>
      <c r="CK1537" s="2">
        <v>21</v>
      </c>
      <c r="CL1537" s="2" t="s">
        <v>89</v>
      </c>
    </row>
    <row r="1538" spans="1:90">
      <c r="A1538" s="2" t="s">
        <v>71</v>
      </c>
      <c r="B1538" s="2" t="s">
        <v>72</v>
      </c>
      <c r="C1538" s="2" t="s">
        <v>73</v>
      </c>
      <c r="E1538" s="2" t="str">
        <f>"FES1162595233"</f>
        <v>FES1162595233</v>
      </c>
      <c r="F1538" s="3">
        <v>43081</v>
      </c>
      <c r="G1538" s="2">
        <v>201806</v>
      </c>
      <c r="H1538" s="2" t="s">
        <v>74</v>
      </c>
      <c r="I1538" s="2" t="s">
        <v>75</v>
      </c>
      <c r="J1538" s="2" t="s">
        <v>97</v>
      </c>
      <c r="K1538" s="2" t="s">
        <v>77</v>
      </c>
      <c r="L1538" s="2" t="s">
        <v>106</v>
      </c>
      <c r="M1538" s="2" t="s">
        <v>107</v>
      </c>
      <c r="N1538" s="2" t="s">
        <v>1994</v>
      </c>
      <c r="O1538" s="2" t="s">
        <v>101</v>
      </c>
      <c r="P1538" s="2" t="str">
        <f>"2170607131                    "</f>
        <v xml:space="preserve">2170607131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5.03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1.7</v>
      </c>
      <c r="BJ1538" s="2">
        <v>1.6</v>
      </c>
      <c r="BK1538" s="2">
        <v>2</v>
      </c>
      <c r="BL1538" s="2">
        <v>35.89</v>
      </c>
      <c r="BM1538" s="2">
        <v>5.0199999999999996</v>
      </c>
      <c r="BN1538" s="2">
        <v>40.909999999999997</v>
      </c>
      <c r="BO1538" s="2">
        <v>40.909999999999997</v>
      </c>
      <c r="BR1538" s="2" t="s">
        <v>103</v>
      </c>
      <c r="BS1538" s="3">
        <v>43082</v>
      </c>
      <c r="BT1538" s="4">
        <v>0.51597222222222217</v>
      </c>
      <c r="BU1538" s="2" t="s">
        <v>1995</v>
      </c>
      <c r="BV1538" s="2" t="s">
        <v>89</v>
      </c>
      <c r="BW1538" s="2" t="s">
        <v>156</v>
      </c>
      <c r="BX1538" s="2" t="s">
        <v>157</v>
      </c>
      <c r="BY1538" s="2">
        <v>8021.12</v>
      </c>
      <c r="BZ1538" s="2" t="s">
        <v>27</v>
      </c>
      <c r="CA1538" s="2" t="s">
        <v>94</v>
      </c>
      <c r="CC1538" s="2" t="s">
        <v>107</v>
      </c>
      <c r="CD1538" s="2">
        <v>2013</v>
      </c>
      <c r="CE1538" s="2" t="s">
        <v>95</v>
      </c>
      <c r="CF1538" s="3">
        <v>43083</v>
      </c>
      <c r="CI1538" s="2">
        <v>1</v>
      </c>
      <c r="CJ1538" s="2">
        <v>1</v>
      </c>
      <c r="CK1538" s="2">
        <v>22</v>
      </c>
      <c r="CL1538" s="2" t="s">
        <v>89</v>
      </c>
    </row>
    <row r="1539" spans="1:90">
      <c r="A1539" s="2" t="s">
        <v>71</v>
      </c>
      <c r="B1539" s="2" t="s">
        <v>72</v>
      </c>
      <c r="C1539" s="2" t="s">
        <v>73</v>
      </c>
      <c r="E1539" s="2" t="str">
        <f>"FES1162595191"</f>
        <v>FES1162595191</v>
      </c>
      <c r="F1539" s="3">
        <v>43081</v>
      </c>
      <c r="G1539" s="2">
        <v>201806</v>
      </c>
      <c r="H1539" s="2" t="s">
        <v>74</v>
      </c>
      <c r="I1539" s="2" t="s">
        <v>75</v>
      </c>
      <c r="J1539" s="2" t="s">
        <v>97</v>
      </c>
      <c r="K1539" s="2" t="s">
        <v>77</v>
      </c>
      <c r="L1539" s="2" t="s">
        <v>74</v>
      </c>
      <c r="M1539" s="2" t="s">
        <v>75</v>
      </c>
      <c r="N1539" s="2" t="s">
        <v>1404</v>
      </c>
      <c r="O1539" s="2" t="s">
        <v>101</v>
      </c>
      <c r="P1539" s="2" t="str">
        <f>"2170606822                    "</f>
        <v xml:space="preserve">2170606822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5.03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6.1</v>
      </c>
      <c r="BJ1539" s="2">
        <v>3.4</v>
      </c>
      <c r="BK1539" s="2">
        <v>7</v>
      </c>
      <c r="BL1539" s="2">
        <v>35.89</v>
      </c>
      <c r="BM1539" s="2">
        <v>5.0199999999999996</v>
      </c>
      <c r="BN1539" s="2">
        <v>40.909999999999997</v>
      </c>
      <c r="BO1539" s="2">
        <v>40.909999999999997</v>
      </c>
      <c r="BQ1539" s="2" t="s">
        <v>1405</v>
      </c>
      <c r="BR1539" s="2" t="s">
        <v>103</v>
      </c>
      <c r="BS1539" s="3">
        <v>43082</v>
      </c>
      <c r="BT1539" s="4">
        <v>0.35069444444444442</v>
      </c>
      <c r="BU1539" s="2" t="s">
        <v>1406</v>
      </c>
      <c r="BV1539" s="2" t="s">
        <v>85</v>
      </c>
      <c r="BY1539" s="2">
        <v>16949.34</v>
      </c>
      <c r="BZ1539" s="2" t="s">
        <v>27</v>
      </c>
      <c r="CA1539" s="2" t="s">
        <v>366</v>
      </c>
      <c r="CC1539" s="2" t="s">
        <v>75</v>
      </c>
      <c r="CD1539" s="2">
        <v>1601</v>
      </c>
      <c r="CE1539" s="2" t="s">
        <v>95</v>
      </c>
      <c r="CF1539" s="3">
        <v>43083</v>
      </c>
      <c r="CI1539" s="2">
        <v>1</v>
      </c>
      <c r="CJ1539" s="2">
        <v>1</v>
      </c>
      <c r="CK1539" s="2">
        <v>22</v>
      </c>
      <c r="CL1539" s="2" t="s">
        <v>89</v>
      </c>
    </row>
    <row r="1540" spans="1:90">
      <c r="A1540" s="2" t="s">
        <v>71</v>
      </c>
      <c r="B1540" s="2" t="s">
        <v>72</v>
      </c>
      <c r="C1540" s="2" t="s">
        <v>73</v>
      </c>
      <c r="E1540" s="2" t="str">
        <f>"FES1162595282"</f>
        <v>FES1162595282</v>
      </c>
      <c r="F1540" s="3">
        <v>43081</v>
      </c>
      <c r="G1540" s="2">
        <v>201806</v>
      </c>
      <c r="H1540" s="2" t="s">
        <v>74</v>
      </c>
      <c r="I1540" s="2" t="s">
        <v>75</v>
      </c>
      <c r="J1540" s="2" t="s">
        <v>97</v>
      </c>
      <c r="K1540" s="2" t="s">
        <v>77</v>
      </c>
      <c r="L1540" s="2" t="s">
        <v>125</v>
      </c>
      <c r="M1540" s="2" t="s">
        <v>126</v>
      </c>
      <c r="N1540" s="2" t="s">
        <v>576</v>
      </c>
      <c r="O1540" s="2" t="s">
        <v>101</v>
      </c>
      <c r="P1540" s="2" t="str">
        <f>"21706207146                   "</f>
        <v xml:space="preserve">21706207146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8.0399999999999991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2.1</v>
      </c>
      <c r="BJ1540" s="2">
        <v>1.8</v>
      </c>
      <c r="BK1540" s="2">
        <v>2.5</v>
      </c>
      <c r="BL1540" s="2">
        <v>57.41</v>
      </c>
      <c r="BM1540" s="2">
        <v>8.0399999999999991</v>
      </c>
      <c r="BN1540" s="2">
        <v>65.45</v>
      </c>
      <c r="BO1540" s="2">
        <v>65.45</v>
      </c>
      <c r="BQ1540" s="2" t="s">
        <v>82</v>
      </c>
      <c r="BR1540" s="2" t="s">
        <v>103</v>
      </c>
      <c r="BS1540" s="3">
        <v>43082</v>
      </c>
      <c r="BT1540" s="4">
        <v>0.3354166666666667</v>
      </c>
      <c r="BU1540" s="2" t="s">
        <v>1996</v>
      </c>
      <c r="BV1540" s="2" t="s">
        <v>85</v>
      </c>
      <c r="BY1540" s="2">
        <v>8872.42</v>
      </c>
      <c r="BZ1540" s="2" t="s">
        <v>27</v>
      </c>
      <c r="CA1540" s="2" t="s">
        <v>1997</v>
      </c>
      <c r="CC1540" s="2" t="s">
        <v>126</v>
      </c>
      <c r="CD1540" s="2">
        <v>4052</v>
      </c>
      <c r="CE1540" s="2" t="s">
        <v>288</v>
      </c>
      <c r="CF1540" s="3">
        <v>43083</v>
      </c>
      <c r="CI1540" s="2">
        <v>1</v>
      </c>
      <c r="CJ1540" s="2">
        <v>1</v>
      </c>
      <c r="CK1540" s="2">
        <v>21</v>
      </c>
      <c r="CL1540" s="2" t="s">
        <v>89</v>
      </c>
    </row>
    <row r="1541" spans="1:90">
      <c r="A1541" s="2" t="s">
        <v>71</v>
      </c>
      <c r="B1541" s="2" t="s">
        <v>72</v>
      </c>
      <c r="C1541" s="2" t="s">
        <v>73</v>
      </c>
      <c r="E1541" s="2" t="str">
        <f>"FES1162595152"</f>
        <v>FES1162595152</v>
      </c>
      <c r="F1541" s="3">
        <v>43081</v>
      </c>
      <c r="G1541" s="2">
        <v>201806</v>
      </c>
      <c r="H1541" s="2" t="s">
        <v>74</v>
      </c>
      <c r="I1541" s="2" t="s">
        <v>75</v>
      </c>
      <c r="J1541" s="2" t="s">
        <v>97</v>
      </c>
      <c r="K1541" s="2" t="s">
        <v>77</v>
      </c>
      <c r="L1541" s="2" t="s">
        <v>125</v>
      </c>
      <c r="M1541" s="2" t="s">
        <v>126</v>
      </c>
      <c r="N1541" s="2" t="s">
        <v>1998</v>
      </c>
      <c r="O1541" s="2" t="s">
        <v>101</v>
      </c>
      <c r="P1541" s="2" t="str">
        <f>"2170607056                    "</f>
        <v xml:space="preserve">2170607056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9.65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3</v>
      </c>
      <c r="BJ1541" s="2">
        <v>2.7</v>
      </c>
      <c r="BK1541" s="2">
        <v>3</v>
      </c>
      <c r="BL1541" s="2">
        <v>68.89</v>
      </c>
      <c r="BM1541" s="2">
        <v>9.64</v>
      </c>
      <c r="BN1541" s="2">
        <v>78.53</v>
      </c>
      <c r="BO1541" s="2">
        <v>78.53</v>
      </c>
      <c r="BQ1541" s="2" t="s">
        <v>82</v>
      </c>
      <c r="BR1541" s="2" t="s">
        <v>103</v>
      </c>
      <c r="BS1541" s="3">
        <v>43084</v>
      </c>
      <c r="BT1541" s="4">
        <v>0.33611111111111108</v>
      </c>
      <c r="BU1541" s="2" t="s">
        <v>1999</v>
      </c>
      <c r="BV1541" s="2" t="s">
        <v>89</v>
      </c>
      <c r="BW1541" s="2" t="s">
        <v>149</v>
      </c>
      <c r="BX1541" s="2" t="s">
        <v>219</v>
      </c>
      <c r="BY1541" s="2">
        <v>13454</v>
      </c>
      <c r="BZ1541" s="2" t="s">
        <v>27</v>
      </c>
      <c r="CA1541" s="2" t="s">
        <v>1313</v>
      </c>
      <c r="CC1541" s="2" t="s">
        <v>126</v>
      </c>
      <c r="CD1541" s="2">
        <v>4051</v>
      </c>
      <c r="CE1541" s="2" t="s">
        <v>282</v>
      </c>
      <c r="CF1541" s="3">
        <v>43087</v>
      </c>
      <c r="CI1541" s="2">
        <v>1</v>
      </c>
      <c r="CJ1541" s="2">
        <v>3</v>
      </c>
      <c r="CK1541" s="2">
        <v>21</v>
      </c>
      <c r="CL1541" s="2" t="s">
        <v>89</v>
      </c>
    </row>
    <row r="1542" spans="1:90">
      <c r="A1542" s="2" t="s">
        <v>71</v>
      </c>
      <c r="B1542" s="2" t="s">
        <v>72</v>
      </c>
      <c r="C1542" s="2" t="s">
        <v>73</v>
      </c>
      <c r="E1542" s="2" t="str">
        <f>"FES1162594868"</f>
        <v>FES1162594868</v>
      </c>
      <c r="F1542" s="3">
        <v>43081</v>
      </c>
      <c r="G1542" s="2">
        <v>201806</v>
      </c>
      <c r="H1542" s="2" t="s">
        <v>74</v>
      </c>
      <c r="I1542" s="2" t="s">
        <v>75</v>
      </c>
      <c r="J1542" s="2" t="s">
        <v>97</v>
      </c>
      <c r="K1542" s="2" t="s">
        <v>77</v>
      </c>
      <c r="L1542" s="2" t="s">
        <v>125</v>
      </c>
      <c r="M1542" s="2" t="s">
        <v>126</v>
      </c>
      <c r="N1542" s="2" t="s">
        <v>2000</v>
      </c>
      <c r="O1542" s="2" t="s">
        <v>101</v>
      </c>
      <c r="P1542" s="2" t="str">
        <f>"2170606764                    "</f>
        <v xml:space="preserve">2170606764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6.43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1.3</v>
      </c>
      <c r="BJ1542" s="2">
        <v>0.9</v>
      </c>
      <c r="BK1542" s="2">
        <v>1.5</v>
      </c>
      <c r="BL1542" s="2">
        <v>45.93</v>
      </c>
      <c r="BM1542" s="2">
        <v>6.43</v>
      </c>
      <c r="BN1542" s="2">
        <v>52.36</v>
      </c>
      <c r="BO1542" s="2">
        <v>52.36</v>
      </c>
      <c r="BQ1542" s="2" t="s">
        <v>82</v>
      </c>
      <c r="BR1542" s="2" t="s">
        <v>103</v>
      </c>
      <c r="BS1542" s="3">
        <v>43082</v>
      </c>
      <c r="BT1542" s="4">
        <v>0.44166666666666665</v>
      </c>
      <c r="BU1542" s="2" t="s">
        <v>2001</v>
      </c>
      <c r="BV1542" s="2" t="s">
        <v>85</v>
      </c>
      <c r="BY1542" s="2">
        <v>4370.29</v>
      </c>
      <c r="BZ1542" s="2" t="s">
        <v>27</v>
      </c>
      <c r="CA1542" s="2" t="s">
        <v>1997</v>
      </c>
      <c r="CC1542" s="2" t="s">
        <v>126</v>
      </c>
      <c r="CD1542" s="2">
        <v>4052</v>
      </c>
      <c r="CE1542" s="2" t="s">
        <v>288</v>
      </c>
      <c r="CF1542" s="3">
        <v>43083</v>
      </c>
      <c r="CI1542" s="2">
        <v>1</v>
      </c>
      <c r="CJ1542" s="2">
        <v>1</v>
      </c>
      <c r="CK1542" s="2">
        <v>21</v>
      </c>
      <c r="CL1542" s="2" t="s">
        <v>89</v>
      </c>
    </row>
    <row r="1543" spans="1:90">
      <c r="A1543" s="2" t="s">
        <v>71</v>
      </c>
      <c r="B1543" s="2" t="s">
        <v>72</v>
      </c>
      <c r="C1543" s="2" t="s">
        <v>73</v>
      </c>
      <c r="E1543" s="2" t="str">
        <f>"FES1162595390"</f>
        <v>FES1162595390</v>
      </c>
      <c r="F1543" s="3">
        <v>43081</v>
      </c>
      <c r="G1543" s="2">
        <v>201806</v>
      </c>
      <c r="H1543" s="2" t="s">
        <v>74</v>
      </c>
      <c r="I1543" s="2" t="s">
        <v>75</v>
      </c>
      <c r="J1543" s="2" t="s">
        <v>97</v>
      </c>
      <c r="K1543" s="2" t="s">
        <v>77</v>
      </c>
      <c r="L1543" s="2" t="s">
        <v>152</v>
      </c>
      <c r="M1543" s="2" t="s">
        <v>153</v>
      </c>
      <c r="N1543" s="2" t="s">
        <v>2002</v>
      </c>
      <c r="O1543" s="2" t="s">
        <v>101</v>
      </c>
      <c r="P1543" s="2" t="str">
        <f>"2170607245                    "</f>
        <v xml:space="preserve">2170607245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5.03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35.89</v>
      </c>
      <c r="BM1543" s="2">
        <v>5.0199999999999996</v>
      </c>
      <c r="BN1543" s="2">
        <v>40.909999999999997</v>
      </c>
      <c r="BO1543" s="2">
        <v>40.909999999999997</v>
      </c>
      <c r="BQ1543" s="2" t="s">
        <v>2003</v>
      </c>
      <c r="BR1543" s="2" t="s">
        <v>103</v>
      </c>
      <c r="BS1543" s="3">
        <v>43082</v>
      </c>
      <c r="BT1543" s="4">
        <v>0.71458333333333324</v>
      </c>
      <c r="BU1543" s="2" t="s">
        <v>2004</v>
      </c>
      <c r="BV1543" s="2" t="s">
        <v>89</v>
      </c>
      <c r="BW1543" s="2" t="s">
        <v>156</v>
      </c>
      <c r="BX1543" s="2" t="s">
        <v>157</v>
      </c>
      <c r="BY1543" s="2">
        <v>1200</v>
      </c>
      <c r="BZ1543" s="2" t="s">
        <v>27</v>
      </c>
      <c r="CA1543" s="2" t="s">
        <v>1292</v>
      </c>
      <c r="CC1543" s="2" t="s">
        <v>153</v>
      </c>
      <c r="CD1543" s="2">
        <v>1422</v>
      </c>
      <c r="CE1543" s="2" t="s">
        <v>120</v>
      </c>
      <c r="CF1543" s="3">
        <v>43084</v>
      </c>
      <c r="CI1543" s="2">
        <v>1</v>
      </c>
      <c r="CJ1543" s="2">
        <v>1</v>
      </c>
      <c r="CK1543" s="2">
        <v>22</v>
      </c>
      <c r="CL1543" s="2" t="s">
        <v>89</v>
      </c>
    </row>
    <row r="1544" spans="1:90">
      <c r="A1544" s="2" t="s">
        <v>71</v>
      </c>
      <c r="B1544" s="2" t="s">
        <v>72</v>
      </c>
      <c r="C1544" s="2" t="s">
        <v>73</v>
      </c>
      <c r="E1544" s="2" t="str">
        <f>"FES1162595215"</f>
        <v>FES1162595215</v>
      </c>
      <c r="F1544" s="3">
        <v>43081</v>
      </c>
      <c r="G1544" s="2">
        <v>201806</v>
      </c>
      <c r="H1544" s="2" t="s">
        <v>74</v>
      </c>
      <c r="I1544" s="2" t="s">
        <v>75</v>
      </c>
      <c r="J1544" s="2" t="s">
        <v>97</v>
      </c>
      <c r="K1544" s="2" t="s">
        <v>77</v>
      </c>
      <c r="L1544" s="2" t="s">
        <v>78</v>
      </c>
      <c r="M1544" s="2" t="s">
        <v>79</v>
      </c>
      <c r="N1544" s="2" t="s">
        <v>2005</v>
      </c>
      <c r="O1544" s="2" t="s">
        <v>101</v>
      </c>
      <c r="P1544" s="2" t="str">
        <f>"2170607109                    "</f>
        <v xml:space="preserve">2170607109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6.43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1</v>
      </c>
      <c r="BJ1544" s="2">
        <v>0.2</v>
      </c>
      <c r="BK1544" s="2">
        <v>1</v>
      </c>
      <c r="BL1544" s="2">
        <v>45.93</v>
      </c>
      <c r="BM1544" s="2">
        <v>6.43</v>
      </c>
      <c r="BN1544" s="2">
        <v>52.36</v>
      </c>
      <c r="BO1544" s="2">
        <v>52.36</v>
      </c>
      <c r="BQ1544" s="2" t="s">
        <v>82</v>
      </c>
      <c r="BR1544" s="2" t="s">
        <v>103</v>
      </c>
      <c r="BS1544" s="3">
        <v>43082</v>
      </c>
      <c r="BT1544" s="4">
        <v>0.71736111111111101</v>
      </c>
      <c r="BU1544" s="2" t="s">
        <v>2006</v>
      </c>
      <c r="BV1544" s="2" t="s">
        <v>89</v>
      </c>
      <c r="BY1544" s="2">
        <v>1200</v>
      </c>
      <c r="BZ1544" s="2" t="s">
        <v>27</v>
      </c>
      <c r="CA1544" s="2" t="s">
        <v>86</v>
      </c>
      <c r="CC1544" s="2" t="s">
        <v>79</v>
      </c>
      <c r="CD1544" s="2">
        <v>1947</v>
      </c>
      <c r="CE1544" s="2" t="s">
        <v>383</v>
      </c>
      <c r="CF1544" s="3">
        <v>43084</v>
      </c>
      <c r="CI1544" s="2">
        <v>1</v>
      </c>
      <c r="CJ1544" s="2">
        <v>1</v>
      </c>
      <c r="CK1544" s="2">
        <v>21</v>
      </c>
      <c r="CL1544" s="2" t="s">
        <v>89</v>
      </c>
    </row>
    <row r="1545" spans="1:90">
      <c r="A1545" s="2" t="s">
        <v>71</v>
      </c>
      <c r="B1545" s="2" t="s">
        <v>72</v>
      </c>
      <c r="C1545" s="2" t="s">
        <v>73</v>
      </c>
      <c r="E1545" s="2" t="str">
        <f>"FES1162595250"</f>
        <v>FES1162595250</v>
      </c>
      <c r="F1545" s="3">
        <v>43081</v>
      </c>
      <c r="G1545" s="2">
        <v>201806</v>
      </c>
      <c r="H1545" s="2" t="s">
        <v>74</v>
      </c>
      <c r="I1545" s="2" t="s">
        <v>75</v>
      </c>
      <c r="J1545" s="2" t="s">
        <v>97</v>
      </c>
      <c r="K1545" s="2" t="s">
        <v>77</v>
      </c>
      <c r="L1545" s="2" t="s">
        <v>115</v>
      </c>
      <c r="M1545" s="2" t="s">
        <v>116</v>
      </c>
      <c r="N1545" s="2" t="s">
        <v>283</v>
      </c>
      <c r="O1545" s="2" t="s">
        <v>101</v>
      </c>
      <c r="P1545" s="2" t="str">
        <f>"2170602553                    "</f>
        <v xml:space="preserve">2170602553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5.03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1</v>
      </c>
      <c r="BJ1545" s="2">
        <v>0.2</v>
      </c>
      <c r="BK1545" s="2">
        <v>1</v>
      </c>
      <c r="BL1545" s="2">
        <v>35.89</v>
      </c>
      <c r="BM1545" s="2">
        <v>5.0199999999999996</v>
      </c>
      <c r="BN1545" s="2">
        <v>40.909999999999997</v>
      </c>
      <c r="BO1545" s="2">
        <v>40.909999999999997</v>
      </c>
      <c r="BQ1545" s="2" t="s">
        <v>102</v>
      </c>
      <c r="BR1545" s="2" t="s">
        <v>103</v>
      </c>
      <c r="BS1545" s="3">
        <v>43083</v>
      </c>
      <c r="BT1545" s="4">
        <v>0.41666666666666669</v>
      </c>
      <c r="BU1545" s="2" t="s">
        <v>1801</v>
      </c>
      <c r="BV1545" s="2" t="s">
        <v>89</v>
      </c>
      <c r="BW1545" s="2" t="s">
        <v>149</v>
      </c>
      <c r="BX1545" s="2" t="s">
        <v>157</v>
      </c>
      <c r="BY1545" s="2">
        <v>1200</v>
      </c>
      <c r="BZ1545" s="2" t="s">
        <v>27</v>
      </c>
      <c r="CA1545" s="2" t="s">
        <v>293</v>
      </c>
      <c r="CC1545" s="2" t="s">
        <v>116</v>
      </c>
      <c r="CD1545" s="2">
        <v>1459</v>
      </c>
      <c r="CE1545" s="2" t="s">
        <v>120</v>
      </c>
      <c r="CF1545" s="3">
        <v>43084</v>
      </c>
      <c r="CI1545" s="2">
        <v>1</v>
      </c>
      <c r="CJ1545" s="2">
        <v>2</v>
      </c>
      <c r="CK1545" s="2">
        <v>22</v>
      </c>
      <c r="CL1545" s="2" t="s">
        <v>89</v>
      </c>
    </row>
    <row r="1546" spans="1:90">
      <c r="A1546" s="2" t="s">
        <v>71</v>
      </c>
      <c r="B1546" s="2" t="s">
        <v>72</v>
      </c>
      <c r="C1546" s="2" t="s">
        <v>73</v>
      </c>
      <c r="E1546" s="2" t="str">
        <f>"FES1162595309"</f>
        <v>FES1162595309</v>
      </c>
      <c r="F1546" s="3">
        <v>43081</v>
      </c>
      <c r="G1546" s="2">
        <v>201806</v>
      </c>
      <c r="H1546" s="2" t="s">
        <v>74</v>
      </c>
      <c r="I1546" s="2" t="s">
        <v>75</v>
      </c>
      <c r="J1546" s="2" t="s">
        <v>97</v>
      </c>
      <c r="K1546" s="2" t="s">
        <v>77</v>
      </c>
      <c r="L1546" s="2" t="s">
        <v>173</v>
      </c>
      <c r="M1546" s="2" t="s">
        <v>174</v>
      </c>
      <c r="N1546" s="2" t="s">
        <v>1939</v>
      </c>
      <c r="O1546" s="2" t="s">
        <v>101</v>
      </c>
      <c r="P1546" s="2" t="str">
        <f>"21706071754                   "</f>
        <v xml:space="preserve">21706071754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6.43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1</v>
      </c>
      <c r="BJ1546" s="2">
        <v>0.2</v>
      </c>
      <c r="BK1546" s="2">
        <v>1</v>
      </c>
      <c r="BL1546" s="2">
        <v>45.93</v>
      </c>
      <c r="BM1546" s="2">
        <v>6.43</v>
      </c>
      <c r="BN1546" s="2">
        <v>52.36</v>
      </c>
      <c r="BO1546" s="2">
        <v>52.36</v>
      </c>
      <c r="BQ1546" s="2" t="s">
        <v>102</v>
      </c>
      <c r="BR1546" s="2" t="s">
        <v>103</v>
      </c>
      <c r="BS1546" s="3">
        <v>43083</v>
      </c>
      <c r="BT1546" s="4">
        <v>0.41666666666666669</v>
      </c>
      <c r="BU1546" s="2" t="s">
        <v>1940</v>
      </c>
      <c r="BV1546" s="2" t="s">
        <v>89</v>
      </c>
      <c r="BW1546" s="2" t="s">
        <v>313</v>
      </c>
      <c r="BX1546" s="2" t="s">
        <v>368</v>
      </c>
      <c r="BY1546" s="2">
        <v>1200</v>
      </c>
      <c r="BZ1546" s="2" t="s">
        <v>27</v>
      </c>
      <c r="CA1546" s="2" t="s">
        <v>216</v>
      </c>
      <c r="CC1546" s="2" t="s">
        <v>174</v>
      </c>
      <c r="CD1546" s="2">
        <v>7945</v>
      </c>
      <c r="CE1546" s="2" t="s">
        <v>383</v>
      </c>
      <c r="CF1546" s="3">
        <v>43084</v>
      </c>
      <c r="CI1546" s="2">
        <v>1</v>
      </c>
      <c r="CJ1546" s="2">
        <v>2</v>
      </c>
      <c r="CK1546" s="2">
        <v>21</v>
      </c>
      <c r="CL1546" s="2" t="s">
        <v>89</v>
      </c>
    </row>
    <row r="1547" spans="1:90">
      <c r="A1547" s="2" t="s">
        <v>71</v>
      </c>
      <c r="B1547" s="2" t="s">
        <v>72</v>
      </c>
      <c r="C1547" s="2" t="s">
        <v>73</v>
      </c>
      <c r="E1547" s="2" t="str">
        <f>"FES1162594932"</f>
        <v>FES1162594932</v>
      </c>
      <c r="F1547" s="3">
        <v>43081</v>
      </c>
      <c r="G1547" s="2">
        <v>201806</v>
      </c>
      <c r="H1547" s="2" t="s">
        <v>74</v>
      </c>
      <c r="I1547" s="2" t="s">
        <v>75</v>
      </c>
      <c r="J1547" s="2" t="s">
        <v>97</v>
      </c>
      <c r="K1547" s="2" t="s">
        <v>77</v>
      </c>
      <c r="L1547" s="2" t="s">
        <v>115</v>
      </c>
      <c r="M1547" s="2" t="s">
        <v>116</v>
      </c>
      <c r="N1547" s="2" t="s">
        <v>1612</v>
      </c>
      <c r="O1547" s="2" t="s">
        <v>101</v>
      </c>
      <c r="P1547" s="2" t="str">
        <f>"2170606842                    "</f>
        <v xml:space="preserve">2170606842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5.03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1</v>
      </c>
      <c r="BJ1547" s="2">
        <v>0.2</v>
      </c>
      <c r="BK1547" s="2">
        <v>1</v>
      </c>
      <c r="BL1547" s="2">
        <v>35.89</v>
      </c>
      <c r="BM1547" s="2">
        <v>5.0199999999999996</v>
      </c>
      <c r="BN1547" s="2">
        <v>40.909999999999997</v>
      </c>
      <c r="BO1547" s="2">
        <v>40.909999999999997</v>
      </c>
      <c r="BR1547" s="2" t="s">
        <v>103</v>
      </c>
      <c r="BS1547" s="3">
        <v>43082</v>
      </c>
      <c r="BT1547" s="4">
        <v>0.42499999999999999</v>
      </c>
      <c r="BU1547" s="2" t="s">
        <v>205</v>
      </c>
      <c r="BV1547" s="2" t="s">
        <v>85</v>
      </c>
      <c r="BY1547" s="2">
        <v>1200</v>
      </c>
      <c r="BZ1547" s="2" t="s">
        <v>27</v>
      </c>
      <c r="CA1547" s="2" t="s">
        <v>119</v>
      </c>
      <c r="CC1547" s="2" t="s">
        <v>116</v>
      </c>
      <c r="CD1547" s="2">
        <v>1460</v>
      </c>
      <c r="CE1547" s="2" t="s">
        <v>120</v>
      </c>
      <c r="CF1547" s="3">
        <v>43083</v>
      </c>
      <c r="CI1547" s="2">
        <v>1</v>
      </c>
      <c r="CJ1547" s="2">
        <v>1</v>
      </c>
      <c r="CK1547" s="2">
        <v>22</v>
      </c>
      <c r="CL1547" s="2" t="s">
        <v>89</v>
      </c>
    </row>
    <row r="1548" spans="1:90">
      <c r="A1548" s="2" t="s">
        <v>71</v>
      </c>
      <c r="B1548" s="2" t="s">
        <v>72</v>
      </c>
      <c r="C1548" s="2" t="s">
        <v>73</v>
      </c>
      <c r="E1548" s="2" t="str">
        <f>"FES1162595132"</f>
        <v>FES1162595132</v>
      </c>
      <c r="F1548" s="3">
        <v>43081</v>
      </c>
      <c r="G1548" s="2">
        <v>201806</v>
      </c>
      <c r="H1548" s="2" t="s">
        <v>74</v>
      </c>
      <c r="I1548" s="2" t="s">
        <v>75</v>
      </c>
      <c r="J1548" s="2" t="s">
        <v>97</v>
      </c>
      <c r="K1548" s="2" t="s">
        <v>77</v>
      </c>
      <c r="L1548" s="2" t="s">
        <v>90</v>
      </c>
      <c r="M1548" s="2" t="s">
        <v>91</v>
      </c>
      <c r="N1548" s="2" t="s">
        <v>899</v>
      </c>
      <c r="O1548" s="2" t="s">
        <v>101</v>
      </c>
      <c r="P1548" s="2" t="str">
        <f>"2170607037                    "</f>
        <v xml:space="preserve">2170607037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5.03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1</v>
      </c>
      <c r="BJ1548" s="2">
        <v>0.2</v>
      </c>
      <c r="BK1548" s="2">
        <v>1</v>
      </c>
      <c r="BL1548" s="2">
        <v>35.89</v>
      </c>
      <c r="BM1548" s="2">
        <v>5.0199999999999996</v>
      </c>
      <c r="BN1548" s="2">
        <v>40.909999999999997</v>
      </c>
      <c r="BO1548" s="2">
        <v>40.909999999999997</v>
      </c>
      <c r="BQ1548" s="2" t="s">
        <v>142</v>
      </c>
      <c r="BR1548" s="2" t="s">
        <v>103</v>
      </c>
      <c r="BS1548" s="3">
        <v>43082</v>
      </c>
      <c r="BT1548" s="4">
        <v>0.52430555555555558</v>
      </c>
      <c r="BU1548" s="2" t="s">
        <v>2007</v>
      </c>
      <c r="BV1548" s="2" t="s">
        <v>85</v>
      </c>
      <c r="BY1548" s="2">
        <v>1200</v>
      </c>
      <c r="BZ1548" s="2" t="s">
        <v>27</v>
      </c>
      <c r="CC1548" s="2" t="s">
        <v>91</v>
      </c>
      <c r="CD1548" s="2">
        <v>1510</v>
      </c>
      <c r="CE1548" s="2" t="s">
        <v>120</v>
      </c>
      <c r="CF1548" s="3">
        <v>43087</v>
      </c>
      <c r="CI1548" s="2">
        <v>1</v>
      </c>
      <c r="CJ1548" s="2">
        <v>1</v>
      </c>
      <c r="CK1548" s="2">
        <v>22</v>
      </c>
      <c r="CL1548" s="2" t="s">
        <v>89</v>
      </c>
    </row>
    <row r="1549" spans="1:90">
      <c r="A1549" s="2" t="s">
        <v>71</v>
      </c>
      <c r="B1549" s="2" t="s">
        <v>72</v>
      </c>
      <c r="C1549" s="2" t="s">
        <v>73</v>
      </c>
      <c r="E1549" s="2" t="str">
        <f>"FES1162594957"</f>
        <v>FES1162594957</v>
      </c>
      <c r="F1549" s="3">
        <v>43081</v>
      </c>
      <c r="G1549" s="2">
        <v>201806</v>
      </c>
      <c r="H1549" s="2" t="s">
        <v>74</v>
      </c>
      <c r="I1549" s="2" t="s">
        <v>75</v>
      </c>
      <c r="J1549" s="2" t="s">
        <v>97</v>
      </c>
      <c r="K1549" s="2" t="s">
        <v>77</v>
      </c>
      <c r="L1549" s="2" t="s">
        <v>189</v>
      </c>
      <c r="M1549" s="2" t="s">
        <v>190</v>
      </c>
      <c r="N1549" s="2" t="s">
        <v>959</v>
      </c>
      <c r="O1549" s="2" t="s">
        <v>101</v>
      </c>
      <c r="P1549" s="2" t="str">
        <f>"2170605356                    "</f>
        <v xml:space="preserve">2170605356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6.43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1</v>
      </c>
      <c r="BJ1549" s="2">
        <v>0.2</v>
      </c>
      <c r="BK1549" s="2">
        <v>1</v>
      </c>
      <c r="BL1549" s="2">
        <v>45.93</v>
      </c>
      <c r="BM1549" s="2">
        <v>6.43</v>
      </c>
      <c r="BN1549" s="2">
        <v>52.36</v>
      </c>
      <c r="BO1549" s="2">
        <v>52.36</v>
      </c>
      <c r="BQ1549" s="2" t="s">
        <v>229</v>
      </c>
      <c r="BR1549" s="2" t="s">
        <v>103</v>
      </c>
      <c r="BS1549" s="3">
        <v>43087</v>
      </c>
      <c r="BT1549" s="4">
        <v>0.66666666666666663</v>
      </c>
      <c r="BU1549" s="2" t="s">
        <v>2008</v>
      </c>
      <c r="BV1549" s="2" t="s">
        <v>89</v>
      </c>
      <c r="BY1549" s="2">
        <v>1200</v>
      </c>
      <c r="BZ1549" s="2" t="s">
        <v>27</v>
      </c>
      <c r="CC1549" s="2" t="s">
        <v>190</v>
      </c>
      <c r="CD1549" s="2">
        <v>157</v>
      </c>
      <c r="CE1549" s="2" t="s">
        <v>383</v>
      </c>
      <c r="CF1549" s="3">
        <v>43088</v>
      </c>
      <c r="CI1549" s="2">
        <v>1</v>
      </c>
      <c r="CJ1549" s="2">
        <v>4</v>
      </c>
      <c r="CK1549" s="2">
        <v>21</v>
      </c>
      <c r="CL1549" s="2" t="s">
        <v>89</v>
      </c>
    </row>
    <row r="1550" spans="1:90">
      <c r="A1550" s="2" t="s">
        <v>71</v>
      </c>
      <c r="B1550" s="2" t="s">
        <v>72</v>
      </c>
      <c r="C1550" s="2" t="s">
        <v>73</v>
      </c>
      <c r="E1550" s="2" t="str">
        <f>"FES1162594986"</f>
        <v>FES1162594986</v>
      </c>
      <c r="F1550" s="3">
        <v>43081</v>
      </c>
      <c r="G1550" s="2">
        <v>201806</v>
      </c>
      <c r="H1550" s="2" t="s">
        <v>74</v>
      </c>
      <c r="I1550" s="2" t="s">
        <v>75</v>
      </c>
      <c r="J1550" s="2" t="s">
        <v>97</v>
      </c>
      <c r="K1550" s="2" t="s">
        <v>77</v>
      </c>
      <c r="L1550" s="2" t="s">
        <v>295</v>
      </c>
      <c r="M1550" s="2" t="s">
        <v>296</v>
      </c>
      <c r="N1550" s="2" t="s">
        <v>733</v>
      </c>
      <c r="O1550" s="2" t="s">
        <v>101</v>
      </c>
      <c r="P1550" s="2" t="str">
        <f>"2170606892                    "</f>
        <v xml:space="preserve">2170606892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9.0500000000000007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1</v>
      </c>
      <c r="BJ1550" s="2">
        <v>0.2</v>
      </c>
      <c r="BK1550" s="2">
        <v>1</v>
      </c>
      <c r="BL1550" s="2">
        <v>64.599999999999994</v>
      </c>
      <c r="BM1550" s="2">
        <v>9.0399999999999991</v>
      </c>
      <c r="BN1550" s="2">
        <v>73.64</v>
      </c>
      <c r="BO1550" s="2">
        <v>73.64</v>
      </c>
      <c r="BQ1550" s="2" t="s">
        <v>82</v>
      </c>
      <c r="BR1550" s="2" t="s">
        <v>103</v>
      </c>
      <c r="BS1550" s="3">
        <v>43082</v>
      </c>
      <c r="BT1550" s="4">
        <v>0.44097222222222227</v>
      </c>
      <c r="BU1550" s="2" t="s">
        <v>2009</v>
      </c>
      <c r="BV1550" s="2" t="s">
        <v>85</v>
      </c>
      <c r="BY1550" s="2">
        <v>1200</v>
      </c>
      <c r="BZ1550" s="2" t="s">
        <v>27</v>
      </c>
      <c r="CA1550" s="2" t="s">
        <v>793</v>
      </c>
      <c r="CC1550" s="2" t="s">
        <v>296</v>
      </c>
      <c r="CD1550" s="2">
        <v>407</v>
      </c>
      <c r="CE1550" s="2" t="s">
        <v>383</v>
      </c>
      <c r="CF1550" s="3">
        <v>43084</v>
      </c>
      <c r="CI1550" s="2">
        <v>1</v>
      </c>
      <c r="CJ1550" s="2">
        <v>1</v>
      </c>
      <c r="CK1550" s="2">
        <v>24</v>
      </c>
      <c r="CL1550" s="2" t="s">
        <v>89</v>
      </c>
    </row>
    <row r="1551" spans="1:90">
      <c r="A1551" s="2" t="s">
        <v>71</v>
      </c>
      <c r="B1551" s="2" t="s">
        <v>72</v>
      </c>
      <c r="C1551" s="2" t="s">
        <v>73</v>
      </c>
      <c r="E1551" s="2" t="str">
        <f>"FES1162595377"</f>
        <v>FES1162595377</v>
      </c>
      <c r="F1551" s="3">
        <v>43081</v>
      </c>
      <c r="G1551" s="2">
        <v>201806</v>
      </c>
      <c r="H1551" s="2" t="s">
        <v>74</v>
      </c>
      <c r="I1551" s="2" t="s">
        <v>75</v>
      </c>
      <c r="J1551" s="2" t="s">
        <v>97</v>
      </c>
      <c r="K1551" s="2" t="s">
        <v>77</v>
      </c>
      <c r="L1551" s="2" t="s">
        <v>78</v>
      </c>
      <c r="M1551" s="2" t="s">
        <v>79</v>
      </c>
      <c r="N1551" s="2" t="s">
        <v>80</v>
      </c>
      <c r="O1551" s="2" t="s">
        <v>101</v>
      </c>
      <c r="P1551" s="2" t="str">
        <f>"2170607230                    "</f>
        <v xml:space="preserve">2170607230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6.43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1</v>
      </c>
      <c r="BJ1551" s="2">
        <v>0.2</v>
      </c>
      <c r="BK1551" s="2">
        <v>1</v>
      </c>
      <c r="BL1551" s="2">
        <v>45.93</v>
      </c>
      <c r="BM1551" s="2">
        <v>6.43</v>
      </c>
      <c r="BN1551" s="2">
        <v>52.36</v>
      </c>
      <c r="BO1551" s="2">
        <v>52.36</v>
      </c>
      <c r="BQ1551" s="2" t="s">
        <v>102</v>
      </c>
      <c r="BR1551" s="2" t="s">
        <v>103</v>
      </c>
      <c r="BS1551" s="3">
        <v>43082</v>
      </c>
      <c r="BT1551" s="4">
        <v>0.71805555555555556</v>
      </c>
      <c r="BU1551" s="2" t="s">
        <v>2010</v>
      </c>
      <c r="BV1551" s="2" t="s">
        <v>89</v>
      </c>
      <c r="BY1551" s="2">
        <v>1200</v>
      </c>
      <c r="BZ1551" s="2" t="s">
        <v>27</v>
      </c>
      <c r="CA1551" s="2" t="s">
        <v>86</v>
      </c>
      <c r="CC1551" s="2" t="s">
        <v>79</v>
      </c>
      <c r="CD1551" s="2">
        <v>1947</v>
      </c>
      <c r="CE1551" s="2" t="s">
        <v>383</v>
      </c>
      <c r="CF1551" s="3">
        <v>43084</v>
      </c>
      <c r="CI1551" s="2">
        <v>1</v>
      </c>
      <c r="CJ1551" s="2">
        <v>1</v>
      </c>
      <c r="CK1551" s="2">
        <v>21</v>
      </c>
      <c r="CL1551" s="2" t="s">
        <v>89</v>
      </c>
    </row>
    <row r="1552" spans="1:90">
      <c r="A1552" s="2" t="s">
        <v>71</v>
      </c>
      <c r="B1552" s="2" t="s">
        <v>72</v>
      </c>
      <c r="C1552" s="2" t="s">
        <v>73</v>
      </c>
      <c r="E1552" s="2" t="str">
        <f>"FES1162595293"</f>
        <v>FES1162595293</v>
      </c>
      <c r="F1552" s="3">
        <v>43081</v>
      </c>
      <c r="G1552" s="2">
        <v>201806</v>
      </c>
      <c r="H1552" s="2" t="s">
        <v>74</v>
      </c>
      <c r="I1552" s="2" t="s">
        <v>75</v>
      </c>
      <c r="J1552" s="2" t="s">
        <v>97</v>
      </c>
      <c r="K1552" s="2" t="s">
        <v>77</v>
      </c>
      <c r="L1552" s="2" t="s">
        <v>121</v>
      </c>
      <c r="M1552" s="2" t="s">
        <v>122</v>
      </c>
      <c r="N1552" s="2" t="s">
        <v>123</v>
      </c>
      <c r="O1552" s="2" t="s">
        <v>101</v>
      </c>
      <c r="P1552" s="2" t="str">
        <f>"2170607165                    "</f>
        <v xml:space="preserve">2170607165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9.0500000000000007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</v>
      </c>
      <c r="BJ1552" s="2">
        <v>0.2</v>
      </c>
      <c r="BK1552" s="2">
        <v>1</v>
      </c>
      <c r="BL1552" s="2">
        <v>64.599999999999994</v>
      </c>
      <c r="BM1552" s="2">
        <v>9.0399999999999991</v>
      </c>
      <c r="BN1552" s="2">
        <v>73.64</v>
      </c>
      <c r="BO1552" s="2">
        <v>73.64</v>
      </c>
      <c r="BQ1552" s="2" t="s">
        <v>102</v>
      </c>
      <c r="BR1552" s="2" t="s">
        <v>103</v>
      </c>
      <c r="BS1552" s="3">
        <v>43082</v>
      </c>
      <c r="BT1552" s="4">
        <v>0.60069444444444442</v>
      </c>
      <c r="BU1552" s="2" t="s">
        <v>2011</v>
      </c>
      <c r="BV1552" s="2" t="s">
        <v>85</v>
      </c>
      <c r="BY1552" s="2">
        <v>1200</v>
      </c>
      <c r="BZ1552" s="2" t="s">
        <v>27</v>
      </c>
      <c r="CC1552" s="2" t="s">
        <v>122</v>
      </c>
      <c r="CD1552" s="2">
        <v>2210</v>
      </c>
      <c r="CE1552" s="2" t="s">
        <v>120</v>
      </c>
      <c r="CF1552" s="3">
        <v>43087</v>
      </c>
      <c r="CI1552" s="2">
        <v>1</v>
      </c>
      <c r="CJ1552" s="2">
        <v>1</v>
      </c>
      <c r="CK1552" s="2">
        <v>24</v>
      </c>
      <c r="CL1552" s="2" t="s">
        <v>89</v>
      </c>
    </row>
    <row r="1553" spans="1:90">
      <c r="A1553" s="2" t="s">
        <v>71</v>
      </c>
      <c r="B1553" s="2" t="s">
        <v>72</v>
      </c>
      <c r="C1553" s="2" t="s">
        <v>73</v>
      </c>
      <c r="E1553" s="2" t="str">
        <f>"FES1162594992"</f>
        <v>FES1162594992</v>
      </c>
      <c r="F1553" s="3">
        <v>43081</v>
      </c>
      <c r="G1553" s="2">
        <v>201806</v>
      </c>
      <c r="H1553" s="2" t="s">
        <v>74</v>
      </c>
      <c r="I1553" s="2" t="s">
        <v>75</v>
      </c>
      <c r="J1553" s="2" t="s">
        <v>97</v>
      </c>
      <c r="K1553" s="2" t="s">
        <v>77</v>
      </c>
      <c r="L1553" s="2" t="s">
        <v>158</v>
      </c>
      <c r="M1553" s="2" t="s">
        <v>159</v>
      </c>
      <c r="N1553" s="2" t="s">
        <v>300</v>
      </c>
      <c r="O1553" s="2" t="s">
        <v>101</v>
      </c>
      <c r="P1553" s="2" t="str">
        <f>"2170606904                    "</f>
        <v xml:space="preserve">2170606904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6.43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1</v>
      </c>
      <c r="BJ1553" s="2">
        <v>0.2</v>
      </c>
      <c r="BK1553" s="2">
        <v>1</v>
      </c>
      <c r="BL1553" s="2">
        <v>45.93</v>
      </c>
      <c r="BM1553" s="2">
        <v>6.43</v>
      </c>
      <c r="BN1553" s="2">
        <v>52.36</v>
      </c>
      <c r="BO1553" s="2">
        <v>52.36</v>
      </c>
      <c r="BQ1553" s="2" t="s">
        <v>102</v>
      </c>
      <c r="BR1553" s="2" t="s">
        <v>103</v>
      </c>
      <c r="BS1553" s="3">
        <v>43082</v>
      </c>
      <c r="BT1553" s="4">
        <v>0.63124999999999998</v>
      </c>
      <c r="BU1553" s="2" t="s">
        <v>2012</v>
      </c>
      <c r="BV1553" s="2" t="s">
        <v>89</v>
      </c>
      <c r="BW1553" s="2" t="s">
        <v>156</v>
      </c>
      <c r="BX1553" s="2" t="s">
        <v>565</v>
      </c>
      <c r="BY1553" s="2">
        <v>1200</v>
      </c>
      <c r="BZ1553" s="2" t="s">
        <v>27</v>
      </c>
      <c r="CA1553" s="2" t="s">
        <v>293</v>
      </c>
      <c r="CC1553" s="2" t="s">
        <v>159</v>
      </c>
      <c r="CD1553" s="2">
        <v>200</v>
      </c>
      <c r="CE1553" s="2" t="s">
        <v>383</v>
      </c>
      <c r="CF1553" s="3">
        <v>43084</v>
      </c>
      <c r="CI1553" s="2">
        <v>1</v>
      </c>
      <c r="CJ1553" s="2">
        <v>1</v>
      </c>
      <c r="CK1553" s="2">
        <v>21</v>
      </c>
      <c r="CL1553" s="2" t="s">
        <v>89</v>
      </c>
    </row>
    <row r="1554" spans="1:90">
      <c r="A1554" s="2" t="s">
        <v>71</v>
      </c>
      <c r="B1554" s="2" t="s">
        <v>72</v>
      </c>
      <c r="C1554" s="2" t="s">
        <v>73</v>
      </c>
      <c r="E1554" s="2" t="str">
        <f>"FES1162595257"</f>
        <v>FES1162595257</v>
      </c>
      <c r="F1554" s="3">
        <v>43081</v>
      </c>
      <c r="G1554" s="2">
        <v>201806</v>
      </c>
      <c r="H1554" s="2" t="s">
        <v>74</v>
      </c>
      <c r="I1554" s="2" t="s">
        <v>75</v>
      </c>
      <c r="J1554" s="2" t="s">
        <v>97</v>
      </c>
      <c r="K1554" s="2" t="s">
        <v>77</v>
      </c>
      <c r="L1554" s="2" t="s">
        <v>74</v>
      </c>
      <c r="M1554" s="2" t="s">
        <v>75</v>
      </c>
      <c r="N1554" s="2" t="s">
        <v>201</v>
      </c>
      <c r="O1554" s="2" t="s">
        <v>101</v>
      </c>
      <c r="P1554" s="2" t="str">
        <f>"2170604493                    "</f>
        <v xml:space="preserve">2170604493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5.03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35.89</v>
      </c>
      <c r="BM1554" s="2">
        <v>5.0199999999999996</v>
      </c>
      <c r="BN1554" s="2">
        <v>40.909999999999997</v>
      </c>
      <c r="BO1554" s="2">
        <v>40.909999999999997</v>
      </c>
      <c r="BQ1554" s="2" t="s">
        <v>102</v>
      </c>
      <c r="BR1554" s="2" t="s">
        <v>103</v>
      </c>
      <c r="BS1554" s="3">
        <v>43082</v>
      </c>
      <c r="BT1554" s="4">
        <v>0.4375</v>
      </c>
      <c r="BU1554" s="2" t="s">
        <v>202</v>
      </c>
      <c r="BV1554" s="2" t="s">
        <v>85</v>
      </c>
      <c r="BY1554" s="2">
        <v>1200</v>
      </c>
      <c r="BZ1554" s="2" t="s">
        <v>27</v>
      </c>
      <c r="CA1554" s="2" t="s">
        <v>203</v>
      </c>
      <c r="CC1554" s="2" t="s">
        <v>75</v>
      </c>
      <c r="CD1554" s="2">
        <v>1665</v>
      </c>
      <c r="CE1554" s="2" t="s">
        <v>120</v>
      </c>
      <c r="CF1554" s="3">
        <v>43083</v>
      </c>
      <c r="CI1554" s="2">
        <v>1</v>
      </c>
      <c r="CJ1554" s="2">
        <v>1</v>
      </c>
      <c r="CK1554" s="2">
        <v>22</v>
      </c>
      <c r="CL1554" s="2" t="s">
        <v>89</v>
      </c>
    </row>
    <row r="1555" spans="1:90">
      <c r="A1555" s="2" t="s">
        <v>71</v>
      </c>
      <c r="B1555" s="2" t="s">
        <v>72</v>
      </c>
      <c r="C1555" s="2" t="s">
        <v>73</v>
      </c>
      <c r="E1555" s="2" t="str">
        <f>"FES1162595156"</f>
        <v>FES1162595156</v>
      </c>
      <c r="F1555" s="3">
        <v>43081</v>
      </c>
      <c r="G1555" s="2">
        <v>201806</v>
      </c>
      <c r="H1555" s="2" t="s">
        <v>74</v>
      </c>
      <c r="I1555" s="2" t="s">
        <v>75</v>
      </c>
      <c r="J1555" s="2" t="s">
        <v>97</v>
      </c>
      <c r="K1555" s="2" t="s">
        <v>77</v>
      </c>
      <c r="L1555" s="2" t="s">
        <v>158</v>
      </c>
      <c r="M1555" s="2" t="s">
        <v>159</v>
      </c>
      <c r="N1555" s="2" t="s">
        <v>2013</v>
      </c>
      <c r="O1555" s="2" t="s">
        <v>101</v>
      </c>
      <c r="P1555" s="2" t="str">
        <f>"2170607060                    "</f>
        <v xml:space="preserve">2170607060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6.43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1</v>
      </c>
      <c r="BJ1555" s="2">
        <v>0.2</v>
      </c>
      <c r="BK1555" s="2">
        <v>1</v>
      </c>
      <c r="BL1555" s="2">
        <v>45.93</v>
      </c>
      <c r="BM1555" s="2">
        <v>6.43</v>
      </c>
      <c r="BN1555" s="2">
        <v>52.36</v>
      </c>
      <c r="BO1555" s="2">
        <v>52.36</v>
      </c>
      <c r="BQ1555" s="2" t="s">
        <v>82</v>
      </c>
      <c r="BR1555" s="2" t="s">
        <v>103</v>
      </c>
      <c r="BS1555" s="3">
        <v>43082</v>
      </c>
      <c r="BT1555" s="4">
        <v>0.47222222222222227</v>
      </c>
      <c r="BU1555" s="2" t="s">
        <v>1047</v>
      </c>
      <c r="BV1555" s="2" t="s">
        <v>89</v>
      </c>
      <c r="BW1555" s="2" t="s">
        <v>156</v>
      </c>
      <c r="BX1555" s="2" t="s">
        <v>565</v>
      </c>
      <c r="BY1555" s="2">
        <v>1200</v>
      </c>
      <c r="BZ1555" s="2" t="s">
        <v>27</v>
      </c>
      <c r="CA1555" s="2" t="s">
        <v>293</v>
      </c>
      <c r="CC1555" s="2" t="s">
        <v>159</v>
      </c>
      <c r="CD1555" s="2">
        <v>200</v>
      </c>
      <c r="CE1555" s="2" t="s">
        <v>383</v>
      </c>
      <c r="CF1555" s="3">
        <v>43084</v>
      </c>
      <c r="CI1555" s="2">
        <v>1</v>
      </c>
      <c r="CJ1555" s="2">
        <v>1</v>
      </c>
      <c r="CK1555" s="2">
        <v>21</v>
      </c>
      <c r="CL1555" s="2" t="s">
        <v>89</v>
      </c>
    </row>
    <row r="1556" spans="1:90">
      <c r="A1556" s="2" t="s">
        <v>71</v>
      </c>
      <c r="B1556" s="2" t="s">
        <v>72</v>
      </c>
      <c r="C1556" s="2" t="s">
        <v>73</v>
      </c>
      <c r="E1556" s="2" t="str">
        <f>"FES1162595348"</f>
        <v>FES1162595348</v>
      </c>
      <c r="F1556" s="3">
        <v>43081</v>
      </c>
      <c r="G1556" s="2">
        <v>201806</v>
      </c>
      <c r="H1556" s="2" t="s">
        <v>74</v>
      </c>
      <c r="I1556" s="2" t="s">
        <v>75</v>
      </c>
      <c r="J1556" s="2" t="s">
        <v>97</v>
      </c>
      <c r="K1556" s="2" t="s">
        <v>77</v>
      </c>
      <c r="L1556" s="2" t="s">
        <v>74</v>
      </c>
      <c r="M1556" s="2" t="s">
        <v>75</v>
      </c>
      <c r="N1556" s="2" t="s">
        <v>201</v>
      </c>
      <c r="O1556" s="2" t="s">
        <v>101</v>
      </c>
      <c r="P1556" s="2" t="str">
        <f>"2170604474                    "</f>
        <v xml:space="preserve">2170604474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5.03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1</v>
      </c>
      <c r="BJ1556" s="2">
        <v>0.2</v>
      </c>
      <c r="BK1556" s="2">
        <v>1</v>
      </c>
      <c r="BL1556" s="2">
        <v>35.89</v>
      </c>
      <c r="BM1556" s="2">
        <v>5.0199999999999996</v>
      </c>
      <c r="BN1556" s="2">
        <v>40.909999999999997</v>
      </c>
      <c r="BO1556" s="2">
        <v>40.909999999999997</v>
      </c>
      <c r="BQ1556" s="2" t="s">
        <v>102</v>
      </c>
      <c r="BR1556" s="2" t="s">
        <v>103</v>
      </c>
      <c r="BS1556" s="3">
        <v>43082</v>
      </c>
      <c r="BT1556" s="4">
        <v>0.4375</v>
      </c>
      <c r="BU1556" s="2" t="s">
        <v>202</v>
      </c>
      <c r="BV1556" s="2" t="s">
        <v>85</v>
      </c>
      <c r="BY1556" s="2">
        <v>1200</v>
      </c>
      <c r="BZ1556" s="2" t="s">
        <v>27</v>
      </c>
      <c r="CA1556" s="2" t="s">
        <v>203</v>
      </c>
      <c r="CC1556" s="2" t="s">
        <v>75</v>
      </c>
      <c r="CD1556" s="2">
        <v>1665</v>
      </c>
      <c r="CE1556" s="2" t="s">
        <v>120</v>
      </c>
      <c r="CF1556" s="3">
        <v>43083</v>
      </c>
      <c r="CI1556" s="2">
        <v>1</v>
      </c>
      <c r="CJ1556" s="2">
        <v>1</v>
      </c>
      <c r="CK1556" s="2">
        <v>22</v>
      </c>
      <c r="CL1556" s="2" t="s">
        <v>89</v>
      </c>
    </row>
    <row r="1557" spans="1:90">
      <c r="A1557" s="2" t="s">
        <v>71</v>
      </c>
      <c r="B1557" s="2" t="s">
        <v>72</v>
      </c>
      <c r="C1557" s="2" t="s">
        <v>73</v>
      </c>
      <c r="E1557" s="2" t="str">
        <f>"FES1162595238"</f>
        <v>FES1162595238</v>
      </c>
      <c r="F1557" s="3">
        <v>43081</v>
      </c>
      <c r="G1557" s="2">
        <v>201806</v>
      </c>
      <c r="H1557" s="2" t="s">
        <v>74</v>
      </c>
      <c r="I1557" s="2" t="s">
        <v>75</v>
      </c>
      <c r="J1557" s="2" t="s">
        <v>97</v>
      </c>
      <c r="K1557" s="2" t="s">
        <v>77</v>
      </c>
      <c r="L1557" s="2" t="s">
        <v>158</v>
      </c>
      <c r="M1557" s="2" t="s">
        <v>159</v>
      </c>
      <c r="N1557" s="2" t="s">
        <v>2014</v>
      </c>
      <c r="O1557" s="2" t="s">
        <v>101</v>
      </c>
      <c r="P1557" s="2" t="str">
        <f>"2170607141                    "</f>
        <v xml:space="preserve">2170607141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6.43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1</v>
      </c>
      <c r="BJ1557" s="2">
        <v>0.2</v>
      </c>
      <c r="BK1557" s="2">
        <v>1</v>
      </c>
      <c r="BL1557" s="2">
        <v>45.93</v>
      </c>
      <c r="BM1557" s="2">
        <v>6.43</v>
      </c>
      <c r="BN1557" s="2">
        <v>52.36</v>
      </c>
      <c r="BO1557" s="2">
        <v>52.36</v>
      </c>
      <c r="BQ1557" s="2" t="s">
        <v>82</v>
      </c>
      <c r="BR1557" s="2" t="s">
        <v>103</v>
      </c>
      <c r="BS1557" s="3">
        <v>43082</v>
      </c>
      <c r="BT1557" s="4">
        <v>0.60069444444444442</v>
      </c>
      <c r="BU1557" s="2" t="s">
        <v>867</v>
      </c>
      <c r="BV1557" s="2" t="s">
        <v>89</v>
      </c>
      <c r="BY1557" s="2">
        <v>1200</v>
      </c>
      <c r="BZ1557" s="2" t="s">
        <v>27</v>
      </c>
      <c r="CC1557" s="2" t="s">
        <v>159</v>
      </c>
      <c r="CD1557" s="2">
        <v>30</v>
      </c>
      <c r="CE1557" s="2" t="s">
        <v>383</v>
      </c>
      <c r="CF1557" s="3">
        <v>43084</v>
      </c>
      <c r="CI1557" s="2">
        <v>1</v>
      </c>
      <c r="CJ1557" s="2">
        <v>1</v>
      </c>
      <c r="CK1557" s="2">
        <v>21</v>
      </c>
      <c r="CL1557" s="2" t="s">
        <v>89</v>
      </c>
    </row>
    <row r="1558" spans="1:90">
      <c r="A1558" s="2" t="s">
        <v>71</v>
      </c>
      <c r="B1558" s="2" t="s">
        <v>72</v>
      </c>
      <c r="C1558" s="2" t="s">
        <v>73</v>
      </c>
      <c r="E1558" s="2" t="str">
        <f>"FES1162595046"</f>
        <v>FES1162595046</v>
      </c>
      <c r="F1558" s="3">
        <v>43081</v>
      </c>
      <c r="G1558" s="2">
        <v>201806</v>
      </c>
      <c r="H1558" s="2" t="s">
        <v>74</v>
      </c>
      <c r="I1558" s="2" t="s">
        <v>75</v>
      </c>
      <c r="J1558" s="2" t="s">
        <v>97</v>
      </c>
      <c r="K1558" s="2" t="s">
        <v>77</v>
      </c>
      <c r="L1558" s="2" t="s">
        <v>115</v>
      </c>
      <c r="M1558" s="2" t="s">
        <v>116</v>
      </c>
      <c r="N1558" s="2" t="s">
        <v>2015</v>
      </c>
      <c r="O1558" s="2" t="s">
        <v>101</v>
      </c>
      <c r="P1558" s="2" t="str">
        <f>"2170606965                    "</f>
        <v xml:space="preserve">2170606965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5.03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2.2999999999999998</v>
      </c>
      <c r="BJ1558" s="2">
        <v>3.3</v>
      </c>
      <c r="BK1558" s="2">
        <v>4</v>
      </c>
      <c r="BL1558" s="2">
        <v>35.89</v>
      </c>
      <c r="BM1558" s="2">
        <v>5.0199999999999996</v>
      </c>
      <c r="BN1558" s="2">
        <v>40.909999999999997</v>
      </c>
      <c r="BO1558" s="2">
        <v>40.909999999999997</v>
      </c>
      <c r="BQ1558" s="2" t="s">
        <v>2016</v>
      </c>
      <c r="BR1558" s="2" t="s">
        <v>103</v>
      </c>
      <c r="BS1558" s="3">
        <v>43082</v>
      </c>
      <c r="BT1558" s="4">
        <v>0.47083333333333338</v>
      </c>
      <c r="BU1558" s="2" t="s">
        <v>2017</v>
      </c>
      <c r="BV1558" s="2" t="s">
        <v>89</v>
      </c>
      <c r="BW1558" s="2" t="s">
        <v>156</v>
      </c>
      <c r="BX1558" s="2" t="s">
        <v>157</v>
      </c>
      <c r="BY1558" s="2">
        <v>16296.28</v>
      </c>
      <c r="BZ1558" s="2" t="s">
        <v>27</v>
      </c>
      <c r="CA1558" s="2" t="s">
        <v>119</v>
      </c>
      <c r="CC1558" s="2" t="s">
        <v>116</v>
      </c>
      <c r="CD1558" s="2">
        <v>1459</v>
      </c>
      <c r="CE1558" s="2" t="s">
        <v>95</v>
      </c>
      <c r="CF1558" s="3">
        <v>43083</v>
      </c>
      <c r="CI1558" s="2">
        <v>1</v>
      </c>
      <c r="CJ1558" s="2">
        <v>1</v>
      </c>
      <c r="CK1558" s="2">
        <v>22</v>
      </c>
      <c r="CL1558" s="2" t="s">
        <v>89</v>
      </c>
    </row>
    <row r="1559" spans="1:90">
      <c r="A1559" s="2" t="s">
        <v>71</v>
      </c>
      <c r="B1559" s="2" t="s">
        <v>72</v>
      </c>
      <c r="C1559" s="2" t="s">
        <v>73</v>
      </c>
      <c r="E1559" s="2" t="str">
        <f>"FES1162595161"</f>
        <v>FES1162595161</v>
      </c>
      <c r="F1559" s="3">
        <v>43081</v>
      </c>
      <c r="G1559" s="2">
        <v>201806</v>
      </c>
      <c r="H1559" s="2" t="s">
        <v>74</v>
      </c>
      <c r="I1559" s="2" t="s">
        <v>75</v>
      </c>
      <c r="J1559" s="2" t="s">
        <v>97</v>
      </c>
      <c r="K1559" s="2" t="s">
        <v>77</v>
      </c>
      <c r="L1559" s="2" t="s">
        <v>158</v>
      </c>
      <c r="M1559" s="2" t="s">
        <v>159</v>
      </c>
      <c r="N1559" s="2" t="s">
        <v>1702</v>
      </c>
      <c r="O1559" s="2" t="s">
        <v>101</v>
      </c>
      <c r="P1559" s="2" t="str">
        <f>"2170603564                    "</f>
        <v xml:space="preserve">2170603564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6.43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1</v>
      </c>
      <c r="BJ1559" s="2">
        <v>0.2</v>
      </c>
      <c r="BK1559" s="2">
        <v>1</v>
      </c>
      <c r="BL1559" s="2">
        <v>45.93</v>
      </c>
      <c r="BM1559" s="2">
        <v>6.43</v>
      </c>
      <c r="BN1559" s="2">
        <v>52.36</v>
      </c>
      <c r="BO1559" s="2">
        <v>52.36</v>
      </c>
      <c r="BQ1559" s="2" t="s">
        <v>102</v>
      </c>
      <c r="BR1559" s="2" t="s">
        <v>103</v>
      </c>
      <c r="BS1559" s="3">
        <v>43082</v>
      </c>
      <c r="BT1559" s="4">
        <v>0.5444444444444444</v>
      </c>
      <c r="BU1559" s="2" t="s">
        <v>2018</v>
      </c>
      <c r="BV1559" s="2" t="s">
        <v>89</v>
      </c>
      <c r="BY1559" s="2">
        <v>1200</v>
      </c>
      <c r="BZ1559" s="2" t="s">
        <v>27</v>
      </c>
      <c r="CC1559" s="2" t="s">
        <v>159</v>
      </c>
      <c r="CD1559" s="2">
        <v>2</v>
      </c>
      <c r="CE1559" s="2" t="s">
        <v>383</v>
      </c>
      <c r="CF1559" s="3">
        <v>43084</v>
      </c>
      <c r="CI1559" s="2">
        <v>1</v>
      </c>
      <c r="CJ1559" s="2">
        <v>1</v>
      </c>
      <c r="CK1559" s="2">
        <v>21</v>
      </c>
      <c r="CL1559" s="2" t="s">
        <v>89</v>
      </c>
    </row>
    <row r="1560" spans="1:90">
      <c r="A1560" s="2" t="s">
        <v>71</v>
      </c>
      <c r="B1560" s="2" t="s">
        <v>72</v>
      </c>
      <c r="C1560" s="2" t="s">
        <v>73</v>
      </c>
      <c r="E1560" s="2" t="str">
        <f>"FES1162595115"</f>
        <v>FES1162595115</v>
      </c>
      <c r="F1560" s="3">
        <v>43081</v>
      </c>
      <c r="G1560" s="2">
        <v>201806</v>
      </c>
      <c r="H1560" s="2" t="s">
        <v>74</v>
      </c>
      <c r="I1560" s="2" t="s">
        <v>75</v>
      </c>
      <c r="J1560" s="2" t="s">
        <v>97</v>
      </c>
      <c r="K1560" s="2" t="s">
        <v>77</v>
      </c>
      <c r="L1560" s="2" t="s">
        <v>74</v>
      </c>
      <c r="M1560" s="2" t="s">
        <v>75</v>
      </c>
      <c r="N1560" s="2" t="s">
        <v>688</v>
      </c>
      <c r="O1560" s="2" t="s">
        <v>101</v>
      </c>
      <c r="P1560" s="2" t="str">
        <f>"2170605787                    "</f>
        <v xml:space="preserve">2170605787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6.84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10.1</v>
      </c>
      <c r="BJ1560" s="2">
        <v>3.6</v>
      </c>
      <c r="BK1560" s="2">
        <v>11</v>
      </c>
      <c r="BL1560" s="2">
        <v>48.8</v>
      </c>
      <c r="BM1560" s="2">
        <v>6.83</v>
      </c>
      <c r="BN1560" s="2">
        <v>55.63</v>
      </c>
      <c r="BO1560" s="2">
        <v>55.63</v>
      </c>
      <c r="BQ1560" s="2" t="s">
        <v>82</v>
      </c>
      <c r="BR1560" s="2" t="s">
        <v>103</v>
      </c>
      <c r="BS1560" s="3">
        <v>43082</v>
      </c>
      <c r="BT1560" s="4">
        <v>0.4375</v>
      </c>
      <c r="BU1560" s="2" t="s">
        <v>689</v>
      </c>
      <c r="BV1560" s="2" t="s">
        <v>85</v>
      </c>
      <c r="BY1560" s="2">
        <v>18166.84</v>
      </c>
      <c r="BZ1560" s="2" t="s">
        <v>27</v>
      </c>
      <c r="CA1560" s="2" t="s">
        <v>203</v>
      </c>
      <c r="CC1560" s="2" t="s">
        <v>75</v>
      </c>
      <c r="CD1560" s="2">
        <v>1666</v>
      </c>
      <c r="CE1560" s="2" t="s">
        <v>95</v>
      </c>
      <c r="CF1560" s="3">
        <v>43083</v>
      </c>
      <c r="CI1560" s="2">
        <v>1</v>
      </c>
      <c r="CJ1560" s="2">
        <v>1</v>
      </c>
      <c r="CK1560" s="2">
        <v>22</v>
      </c>
      <c r="CL1560" s="2" t="s">
        <v>89</v>
      </c>
    </row>
    <row r="1561" spans="1:90">
      <c r="A1561" s="2" t="s">
        <v>71</v>
      </c>
      <c r="B1561" s="2" t="s">
        <v>72</v>
      </c>
      <c r="C1561" s="2" t="s">
        <v>73</v>
      </c>
      <c r="E1561" s="2" t="str">
        <f>"FES1162595116"</f>
        <v>FES1162595116</v>
      </c>
      <c r="F1561" s="3">
        <v>43081</v>
      </c>
      <c r="G1561" s="2">
        <v>201806</v>
      </c>
      <c r="H1561" s="2" t="s">
        <v>74</v>
      </c>
      <c r="I1561" s="2" t="s">
        <v>75</v>
      </c>
      <c r="J1561" s="2" t="s">
        <v>97</v>
      </c>
      <c r="K1561" s="2" t="s">
        <v>77</v>
      </c>
      <c r="L1561" s="2" t="s">
        <v>74</v>
      </c>
      <c r="M1561" s="2" t="s">
        <v>75</v>
      </c>
      <c r="N1561" s="2" t="s">
        <v>688</v>
      </c>
      <c r="O1561" s="2" t="s">
        <v>101</v>
      </c>
      <c r="P1561" s="2" t="str">
        <f>"2170606122                    "</f>
        <v xml:space="preserve">2170606122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6.84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10.199999999999999</v>
      </c>
      <c r="BJ1561" s="2">
        <v>3.8</v>
      </c>
      <c r="BK1561" s="2">
        <v>11</v>
      </c>
      <c r="BL1561" s="2">
        <v>48.8</v>
      </c>
      <c r="BM1561" s="2">
        <v>6.83</v>
      </c>
      <c r="BN1561" s="2">
        <v>55.63</v>
      </c>
      <c r="BO1561" s="2">
        <v>55.63</v>
      </c>
      <c r="BQ1561" s="2" t="s">
        <v>82</v>
      </c>
      <c r="BR1561" s="2" t="s">
        <v>103</v>
      </c>
      <c r="BS1561" s="3">
        <v>43082</v>
      </c>
      <c r="BT1561" s="4">
        <v>0.4375</v>
      </c>
      <c r="BU1561" s="2" t="s">
        <v>689</v>
      </c>
      <c r="BV1561" s="2" t="s">
        <v>85</v>
      </c>
      <c r="BY1561" s="2">
        <v>18854.64</v>
      </c>
      <c r="BZ1561" s="2" t="s">
        <v>27</v>
      </c>
      <c r="CA1561" s="2" t="s">
        <v>203</v>
      </c>
      <c r="CC1561" s="2" t="s">
        <v>75</v>
      </c>
      <c r="CD1561" s="2">
        <v>1666</v>
      </c>
      <c r="CE1561" s="2" t="s">
        <v>95</v>
      </c>
      <c r="CF1561" s="3">
        <v>43083</v>
      </c>
      <c r="CI1561" s="2">
        <v>1</v>
      </c>
      <c r="CJ1561" s="2">
        <v>1</v>
      </c>
      <c r="CK1561" s="2">
        <v>22</v>
      </c>
      <c r="CL1561" s="2" t="s">
        <v>89</v>
      </c>
    </row>
    <row r="1562" spans="1:90">
      <c r="A1562" s="2" t="s">
        <v>71</v>
      </c>
      <c r="B1562" s="2" t="s">
        <v>72</v>
      </c>
      <c r="C1562" s="2" t="s">
        <v>73</v>
      </c>
      <c r="E1562" s="2" t="str">
        <f>"FES1162595408"</f>
        <v>FES1162595408</v>
      </c>
      <c r="F1562" s="3">
        <v>43081</v>
      </c>
      <c r="G1562" s="2">
        <v>201806</v>
      </c>
      <c r="H1562" s="2" t="s">
        <v>74</v>
      </c>
      <c r="I1562" s="2" t="s">
        <v>75</v>
      </c>
      <c r="J1562" s="2" t="s">
        <v>97</v>
      </c>
      <c r="K1562" s="2" t="s">
        <v>77</v>
      </c>
      <c r="L1562" s="2" t="s">
        <v>90</v>
      </c>
      <c r="M1562" s="2" t="s">
        <v>91</v>
      </c>
      <c r="N1562" s="2" t="s">
        <v>1268</v>
      </c>
      <c r="O1562" s="2" t="s">
        <v>101</v>
      </c>
      <c r="P1562" s="2" t="str">
        <f>"2170607271                    "</f>
        <v xml:space="preserve">2170607271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5.03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2</v>
      </c>
      <c r="BJ1562" s="2">
        <v>3.6</v>
      </c>
      <c r="BK1562" s="2">
        <v>4</v>
      </c>
      <c r="BL1562" s="2">
        <v>35.89</v>
      </c>
      <c r="BM1562" s="2">
        <v>5.0199999999999996</v>
      </c>
      <c r="BN1562" s="2">
        <v>40.909999999999997</v>
      </c>
      <c r="BO1562" s="2">
        <v>40.909999999999997</v>
      </c>
      <c r="BQ1562" s="2" t="s">
        <v>128</v>
      </c>
      <c r="BR1562" s="2" t="s">
        <v>103</v>
      </c>
      <c r="BS1562" s="3">
        <v>43082</v>
      </c>
      <c r="BT1562" s="4">
        <v>0.41666666666666669</v>
      </c>
      <c r="BU1562" s="2" t="s">
        <v>2019</v>
      </c>
      <c r="BV1562" s="2" t="s">
        <v>85</v>
      </c>
      <c r="BY1562" s="2">
        <v>17820</v>
      </c>
      <c r="BZ1562" s="2" t="s">
        <v>27</v>
      </c>
      <c r="CA1562" s="2" t="s">
        <v>347</v>
      </c>
      <c r="CC1562" s="2" t="s">
        <v>91</v>
      </c>
      <c r="CD1562" s="2">
        <v>1559</v>
      </c>
      <c r="CE1562" s="2" t="s">
        <v>87</v>
      </c>
      <c r="CF1562" s="3">
        <v>43083</v>
      </c>
      <c r="CI1562" s="2">
        <v>1</v>
      </c>
      <c r="CJ1562" s="2">
        <v>1</v>
      </c>
      <c r="CK1562" s="2">
        <v>22</v>
      </c>
      <c r="CL1562" s="2" t="s">
        <v>89</v>
      </c>
    </row>
    <row r="1563" spans="1:90">
      <c r="A1563" s="2" t="s">
        <v>71</v>
      </c>
      <c r="B1563" s="2" t="s">
        <v>72</v>
      </c>
      <c r="C1563" s="2" t="s">
        <v>73</v>
      </c>
      <c r="E1563" s="2" t="str">
        <f>"FES1162594948"</f>
        <v>FES1162594948</v>
      </c>
      <c r="F1563" s="3">
        <v>43081</v>
      </c>
      <c r="G1563" s="2">
        <v>201806</v>
      </c>
      <c r="H1563" s="2" t="s">
        <v>74</v>
      </c>
      <c r="I1563" s="2" t="s">
        <v>75</v>
      </c>
      <c r="J1563" s="2" t="s">
        <v>97</v>
      </c>
      <c r="K1563" s="2" t="s">
        <v>77</v>
      </c>
      <c r="L1563" s="2" t="s">
        <v>74</v>
      </c>
      <c r="M1563" s="2" t="s">
        <v>75</v>
      </c>
      <c r="N1563" s="2" t="s">
        <v>1251</v>
      </c>
      <c r="O1563" s="2" t="s">
        <v>101</v>
      </c>
      <c r="P1563" s="2" t="str">
        <f>"2170598807                    "</f>
        <v xml:space="preserve">2170598807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5.03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1</v>
      </c>
      <c r="BJ1563" s="2">
        <v>0.2</v>
      </c>
      <c r="BK1563" s="2">
        <v>1</v>
      </c>
      <c r="BL1563" s="2">
        <v>35.89</v>
      </c>
      <c r="BM1563" s="2">
        <v>5.0199999999999996</v>
      </c>
      <c r="BN1563" s="2">
        <v>40.909999999999997</v>
      </c>
      <c r="BO1563" s="2">
        <v>40.909999999999997</v>
      </c>
      <c r="BQ1563" s="2" t="s">
        <v>102</v>
      </c>
      <c r="BR1563" s="2" t="s">
        <v>103</v>
      </c>
      <c r="BS1563" s="3">
        <v>43082</v>
      </c>
      <c r="BT1563" s="4">
        <v>0.34791666666666665</v>
      </c>
      <c r="BU1563" s="2" t="s">
        <v>1091</v>
      </c>
      <c r="BV1563" s="2" t="s">
        <v>85</v>
      </c>
      <c r="BY1563" s="2">
        <v>1200</v>
      </c>
      <c r="BZ1563" s="2" t="s">
        <v>27</v>
      </c>
      <c r="CA1563" s="2" t="s">
        <v>392</v>
      </c>
      <c r="CC1563" s="2" t="s">
        <v>75</v>
      </c>
      <c r="CD1563" s="2">
        <v>1609</v>
      </c>
      <c r="CE1563" s="2" t="s">
        <v>120</v>
      </c>
      <c r="CF1563" s="3">
        <v>43083</v>
      </c>
      <c r="CI1563" s="2">
        <v>1</v>
      </c>
      <c r="CJ1563" s="2">
        <v>1</v>
      </c>
      <c r="CK1563" s="2">
        <v>22</v>
      </c>
      <c r="CL1563" s="2" t="s">
        <v>89</v>
      </c>
    </row>
    <row r="1564" spans="1:90">
      <c r="A1564" s="2" t="s">
        <v>71</v>
      </c>
      <c r="B1564" s="2" t="s">
        <v>72</v>
      </c>
      <c r="C1564" s="2" t="s">
        <v>73</v>
      </c>
      <c r="E1564" s="2" t="str">
        <f>"FES1162595026"</f>
        <v>FES1162595026</v>
      </c>
      <c r="F1564" s="3">
        <v>43081</v>
      </c>
      <c r="G1564" s="2">
        <v>201806</v>
      </c>
      <c r="H1564" s="2" t="s">
        <v>74</v>
      </c>
      <c r="I1564" s="2" t="s">
        <v>75</v>
      </c>
      <c r="J1564" s="2" t="s">
        <v>97</v>
      </c>
      <c r="K1564" s="2" t="s">
        <v>77</v>
      </c>
      <c r="L1564" s="2" t="s">
        <v>74</v>
      </c>
      <c r="M1564" s="2" t="s">
        <v>75</v>
      </c>
      <c r="N1564" s="2" t="s">
        <v>688</v>
      </c>
      <c r="O1564" s="2" t="s">
        <v>101</v>
      </c>
      <c r="P1564" s="2" t="str">
        <f>"2170606950                    "</f>
        <v xml:space="preserve">2170606950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5.03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</v>
      </c>
      <c r="BJ1564" s="2">
        <v>0.2</v>
      </c>
      <c r="BK1564" s="2">
        <v>1</v>
      </c>
      <c r="BL1564" s="2">
        <v>35.89</v>
      </c>
      <c r="BM1564" s="2">
        <v>5.0199999999999996</v>
      </c>
      <c r="BN1564" s="2">
        <v>40.909999999999997</v>
      </c>
      <c r="BO1564" s="2">
        <v>40.909999999999997</v>
      </c>
      <c r="BQ1564" s="2" t="s">
        <v>82</v>
      </c>
      <c r="BR1564" s="2" t="s">
        <v>103</v>
      </c>
      <c r="BS1564" s="3">
        <v>43082</v>
      </c>
      <c r="BT1564" s="4">
        <v>0.4375</v>
      </c>
      <c r="BU1564" s="2" t="s">
        <v>265</v>
      </c>
      <c r="BV1564" s="2" t="s">
        <v>85</v>
      </c>
      <c r="BY1564" s="2">
        <v>1200</v>
      </c>
      <c r="BZ1564" s="2" t="s">
        <v>27</v>
      </c>
      <c r="CA1564" s="2" t="s">
        <v>203</v>
      </c>
      <c r="CC1564" s="2" t="s">
        <v>75</v>
      </c>
      <c r="CD1564" s="2">
        <v>1666</v>
      </c>
      <c r="CE1564" s="2" t="s">
        <v>120</v>
      </c>
      <c r="CF1564" s="3">
        <v>43083</v>
      </c>
      <c r="CI1564" s="2">
        <v>1</v>
      </c>
      <c r="CJ1564" s="2">
        <v>1</v>
      </c>
      <c r="CK1564" s="2">
        <v>22</v>
      </c>
      <c r="CL1564" s="2" t="s">
        <v>89</v>
      </c>
    </row>
    <row r="1565" spans="1:90">
      <c r="A1565" s="2" t="s">
        <v>71</v>
      </c>
      <c r="B1565" s="2" t="s">
        <v>72</v>
      </c>
      <c r="C1565" s="2" t="s">
        <v>73</v>
      </c>
      <c r="E1565" s="2" t="str">
        <f>"FES1162595272"</f>
        <v>FES1162595272</v>
      </c>
      <c r="F1565" s="3">
        <v>43081</v>
      </c>
      <c r="G1565" s="2">
        <v>201806</v>
      </c>
      <c r="H1565" s="2" t="s">
        <v>74</v>
      </c>
      <c r="I1565" s="2" t="s">
        <v>75</v>
      </c>
      <c r="J1565" s="2" t="s">
        <v>97</v>
      </c>
      <c r="K1565" s="2" t="s">
        <v>77</v>
      </c>
      <c r="L1565" s="2" t="s">
        <v>173</v>
      </c>
      <c r="M1565" s="2" t="s">
        <v>174</v>
      </c>
      <c r="N1565" s="2" t="s">
        <v>1753</v>
      </c>
      <c r="O1565" s="2" t="s">
        <v>101</v>
      </c>
      <c r="P1565" s="2" t="str">
        <f>"2170606385                    "</f>
        <v xml:space="preserve">2170606385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14.47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4.5</v>
      </c>
      <c r="BJ1565" s="2">
        <v>3.4</v>
      </c>
      <c r="BK1565" s="2">
        <v>4.5</v>
      </c>
      <c r="BL1565" s="2">
        <v>103.32</v>
      </c>
      <c r="BM1565" s="2">
        <v>14.46</v>
      </c>
      <c r="BN1565" s="2">
        <v>117.78</v>
      </c>
      <c r="BO1565" s="2">
        <v>117.78</v>
      </c>
      <c r="BQ1565" s="2" t="s">
        <v>82</v>
      </c>
      <c r="BR1565" s="2" t="s">
        <v>103</v>
      </c>
      <c r="BS1565" s="3">
        <v>43082</v>
      </c>
      <c r="BT1565" s="4">
        <v>0.42777777777777781</v>
      </c>
      <c r="BU1565" s="2" t="s">
        <v>1993</v>
      </c>
      <c r="BV1565" s="2" t="s">
        <v>85</v>
      </c>
      <c r="BY1565" s="2">
        <v>16863.150000000001</v>
      </c>
      <c r="BZ1565" s="2" t="s">
        <v>27</v>
      </c>
      <c r="CA1565" s="2" t="s">
        <v>247</v>
      </c>
      <c r="CC1565" s="2" t="s">
        <v>174</v>
      </c>
      <c r="CD1565" s="2">
        <v>7530</v>
      </c>
      <c r="CE1565" s="2" t="s">
        <v>288</v>
      </c>
      <c r="CF1565" s="3">
        <v>43083</v>
      </c>
      <c r="CI1565" s="2">
        <v>1</v>
      </c>
      <c r="CJ1565" s="2">
        <v>1</v>
      </c>
      <c r="CK1565" s="2">
        <v>21</v>
      </c>
      <c r="CL1565" s="2" t="s">
        <v>89</v>
      </c>
    </row>
    <row r="1566" spans="1:90">
      <c r="A1566" s="2" t="s">
        <v>71</v>
      </c>
      <c r="B1566" s="2" t="s">
        <v>72</v>
      </c>
      <c r="C1566" s="2" t="s">
        <v>73</v>
      </c>
      <c r="E1566" s="2" t="str">
        <f>"FES1162595364"</f>
        <v>FES1162595364</v>
      </c>
      <c r="F1566" s="3">
        <v>43081</v>
      </c>
      <c r="G1566" s="2">
        <v>201806</v>
      </c>
      <c r="H1566" s="2" t="s">
        <v>74</v>
      </c>
      <c r="I1566" s="2" t="s">
        <v>75</v>
      </c>
      <c r="J1566" s="2" t="s">
        <v>97</v>
      </c>
      <c r="K1566" s="2" t="s">
        <v>77</v>
      </c>
      <c r="L1566" s="2" t="s">
        <v>173</v>
      </c>
      <c r="M1566" s="2" t="s">
        <v>174</v>
      </c>
      <c r="N1566" s="2" t="s">
        <v>433</v>
      </c>
      <c r="O1566" s="2" t="s">
        <v>101</v>
      </c>
      <c r="P1566" s="2" t="str">
        <f>"217060721                     "</f>
        <v xml:space="preserve">217060721 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6.43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1.2</v>
      </c>
      <c r="BJ1566" s="2">
        <v>0.7</v>
      </c>
      <c r="BK1566" s="2">
        <v>1.5</v>
      </c>
      <c r="BL1566" s="2">
        <v>45.93</v>
      </c>
      <c r="BM1566" s="2">
        <v>6.43</v>
      </c>
      <c r="BN1566" s="2">
        <v>52.36</v>
      </c>
      <c r="BO1566" s="2">
        <v>52.36</v>
      </c>
      <c r="BQ1566" s="2" t="s">
        <v>102</v>
      </c>
      <c r="BR1566" s="2" t="s">
        <v>103</v>
      </c>
      <c r="BS1566" s="3">
        <v>43082</v>
      </c>
      <c r="BT1566" s="4">
        <v>0.52013888888888882</v>
      </c>
      <c r="BU1566" s="2" t="s">
        <v>434</v>
      </c>
      <c r="BV1566" s="2" t="s">
        <v>89</v>
      </c>
      <c r="BW1566" s="2" t="s">
        <v>149</v>
      </c>
      <c r="BX1566" s="2" t="s">
        <v>368</v>
      </c>
      <c r="BY1566" s="2">
        <v>3739.2</v>
      </c>
      <c r="BZ1566" s="2" t="s">
        <v>27</v>
      </c>
      <c r="CA1566" s="2" t="s">
        <v>177</v>
      </c>
      <c r="CC1566" s="2" t="s">
        <v>174</v>
      </c>
      <c r="CD1566" s="2">
        <v>7441</v>
      </c>
      <c r="CE1566" s="2" t="s">
        <v>282</v>
      </c>
      <c r="CF1566" s="3">
        <v>43083</v>
      </c>
      <c r="CI1566" s="2">
        <v>1</v>
      </c>
      <c r="CJ1566" s="2">
        <v>1</v>
      </c>
      <c r="CK1566" s="2">
        <v>21</v>
      </c>
      <c r="CL1566" s="2" t="s">
        <v>89</v>
      </c>
    </row>
    <row r="1567" spans="1:90">
      <c r="A1567" s="2" t="s">
        <v>71</v>
      </c>
      <c r="B1567" s="2" t="s">
        <v>72</v>
      </c>
      <c r="C1567" s="2" t="s">
        <v>73</v>
      </c>
      <c r="E1567" s="2" t="str">
        <f>"FES1162595392"</f>
        <v>FES1162595392</v>
      </c>
      <c r="F1567" s="3">
        <v>43081</v>
      </c>
      <c r="G1567" s="2">
        <v>201806</v>
      </c>
      <c r="H1567" s="2" t="s">
        <v>74</v>
      </c>
      <c r="I1567" s="2" t="s">
        <v>75</v>
      </c>
      <c r="J1567" s="2" t="s">
        <v>97</v>
      </c>
      <c r="K1567" s="2" t="s">
        <v>77</v>
      </c>
      <c r="L1567" s="2" t="s">
        <v>189</v>
      </c>
      <c r="M1567" s="2" t="s">
        <v>190</v>
      </c>
      <c r="N1567" s="2" t="s">
        <v>1834</v>
      </c>
      <c r="O1567" s="2" t="s">
        <v>101</v>
      </c>
      <c r="P1567" s="2" t="str">
        <f>"2170607248                    "</f>
        <v xml:space="preserve">2170607248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6.43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</v>
      </c>
      <c r="BJ1567" s="2">
        <v>0.2</v>
      </c>
      <c r="BK1567" s="2">
        <v>1</v>
      </c>
      <c r="BL1567" s="2">
        <v>45.93</v>
      </c>
      <c r="BM1567" s="2">
        <v>6.43</v>
      </c>
      <c r="BN1567" s="2">
        <v>52.36</v>
      </c>
      <c r="BO1567" s="2">
        <v>52.36</v>
      </c>
      <c r="BQ1567" s="2" t="s">
        <v>102</v>
      </c>
      <c r="BR1567" s="2" t="s">
        <v>103</v>
      </c>
      <c r="BS1567" s="3">
        <v>43082</v>
      </c>
      <c r="BT1567" s="4">
        <v>0.50902777777777775</v>
      </c>
      <c r="BU1567" s="2" t="s">
        <v>2020</v>
      </c>
      <c r="BV1567" s="2" t="s">
        <v>89</v>
      </c>
      <c r="BW1567" s="2" t="s">
        <v>156</v>
      </c>
      <c r="BX1567" s="2" t="s">
        <v>668</v>
      </c>
      <c r="BY1567" s="2">
        <v>1200</v>
      </c>
      <c r="BZ1567" s="2" t="s">
        <v>27</v>
      </c>
      <c r="CC1567" s="2" t="s">
        <v>190</v>
      </c>
      <c r="CD1567" s="2">
        <v>157</v>
      </c>
      <c r="CE1567" s="2" t="s">
        <v>383</v>
      </c>
      <c r="CF1567" s="3">
        <v>43084</v>
      </c>
      <c r="CI1567" s="2">
        <v>1</v>
      </c>
      <c r="CJ1567" s="2">
        <v>1</v>
      </c>
      <c r="CK1567" s="2">
        <v>21</v>
      </c>
      <c r="CL1567" s="2" t="s">
        <v>89</v>
      </c>
    </row>
    <row r="1568" spans="1:90">
      <c r="A1568" s="2" t="s">
        <v>71</v>
      </c>
      <c r="B1568" s="2" t="s">
        <v>72</v>
      </c>
      <c r="C1568" s="2" t="s">
        <v>73</v>
      </c>
      <c r="E1568" s="2" t="str">
        <f>"FES1162595372"</f>
        <v>FES1162595372</v>
      </c>
      <c r="F1568" s="3">
        <v>43081</v>
      </c>
      <c r="G1568" s="2">
        <v>201806</v>
      </c>
      <c r="H1568" s="2" t="s">
        <v>74</v>
      </c>
      <c r="I1568" s="2" t="s">
        <v>75</v>
      </c>
      <c r="J1568" s="2" t="s">
        <v>97</v>
      </c>
      <c r="K1568" s="2" t="s">
        <v>77</v>
      </c>
      <c r="L1568" s="2" t="s">
        <v>74</v>
      </c>
      <c r="M1568" s="2" t="s">
        <v>75</v>
      </c>
      <c r="N1568" s="2" t="s">
        <v>1094</v>
      </c>
      <c r="O1568" s="2" t="s">
        <v>101</v>
      </c>
      <c r="P1568" s="2" t="str">
        <f>"2170607222                    "</f>
        <v xml:space="preserve">2170607222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5.03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35.89</v>
      </c>
      <c r="BM1568" s="2">
        <v>5.0199999999999996</v>
      </c>
      <c r="BN1568" s="2">
        <v>40.909999999999997</v>
      </c>
      <c r="BO1568" s="2">
        <v>40.909999999999997</v>
      </c>
      <c r="BQ1568" s="2" t="s">
        <v>82</v>
      </c>
      <c r="BR1568" s="2" t="s">
        <v>103</v>
      </c>
      <c r="BS1568" s="3">
        <v>43082</v>
      </c>
      <c r="BT1568" s="4">
        <v>0.4375</v>
      </c>
      <c r="BU1568" s="2" t="s">
        <v>2021</v>
      </c>
      <c r="BV1568" s="2" t="s">
        <v>85</v>
      </c>
      <c r="BY1568" s="2">
        <v>1200</v>
      </c>
      <c r="BZ1568" s="2" t="s">
        <v>27</v>
      </c>
      <c r="CA1568" s="2" t="s">
        <v>203</v>
      </c>
      <c r="CC1568" s="2" t="s">
        <v>75</v>
      </c>
      <c r="CD1568" s="2">
        <v>1666</v>
      </c>
      <c r="CE1568" s="2" t="s">
        <v>120</v>
      </c>
      <c r="CF1568" s="3">
        <v>43083</v>
      </c>
      <c r="CI1568" s="2">
        <v>1</v>
      </c>
      <c r="CJ1568" s="2">
        <v>1</v>
      </c>
      <c r="CK1568" s="2">
        <v>22</v>
      </c>
      <c r="CL1568" s="2" t="s">
        <v>89</v>
      </c>
    </row>
    <row r="1569" spans="1:90">
      <c r="A1569" s="2" t="s">
        <v>71</v>
      </c>
      <c r="B1569" s="2" t="s">
        <v>72</v>
      </c>
      <c r="C1569" s="2" t="s">
        <v>73</v>
      </c>
      <c r="E1569" s="2" t="str">
        <f>"FES1162595196"</f>
        <v>FES1162595196</v>
      </c>
      <c r="F1569" s="3">
        <v>43081</v>
      </c>
      <c r="G1569" s="2">
        <v>201806</v>
      </c>
      <c r="H1569" s="2" t="s">
        <v>74</v>
      </c>
      <c r="I1569" s="2" t="s">
        <v>75</v>
      </c>
      <c r="J1569" s="2" t="s">
        <v>97</v>
      </c>
      <c r="K1569" s="2" t="s">
        <v>77</v>
      </c>
      <c r="L1569" s="2" t="s">
        <v>651</v>
      </c>
      <c r="M1569" s="2" t="s">
        <v>652</v>
      </c>
      <c r="N1569" s="2" t="s">
        <v>949</v>
      </c>
      <c r="O1569" s="2" t="s">
        <v>101</v>
      </c>
      <c r="P1569" s="2" t="str">
        <f>"2170607092                    "</f>
        <v xml:space="preserve">2170607092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9.0500000000000007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1</v>
      </c>
      <c r="BJ1569" s="2">
        <v>0.2</v>
      </c>
      <c r="BK1569" s="2">
        <v>1</v>
      </c>
      <c r="BL1569" s="2">
        <v>64.599999999999994</v>
      </c>
      <c r="BM1569" s="2">
        <v>9.0399999999999991</v>
      </c>
      <c r="BN1569" s="2">
        <v>73.64</v>
      </c>
      <c r="BO1569" s="2">
        <v>73.64</v>
      </c>
      <c r="BQ1569" s="2" t="s">
        <v>82</v>
      </c>
      <c r="BR1569" s="2" t="s">
        <v>103</v>
      </c>
      <c r="BS1569" s="3">
        <v>43082</v>
      </c>
      <c r="BT1569" s="4">
        <v>0.48958333333333331</v>
      </c>
      <c r="BU1569" s="2" t="s">
        <v>2022</v>
      </c>
      <c r="BV1569" s="2" t="s">
        <v>85</v>
      </c>
      <c r="BY1569" s="2">
        <v>1200</v>
      </c>
      <c r="BZ1569" s="2" t="s">
        <v>27</v>
      </c>
      <c r="CA1569" s="2" t="s">
        <v>656</v>
      </c>
      <c r="CC1569" s="2" t="s">
        <v>652</v>
      </c>
      <c r="CD1569" s="2">
        <v>250</v>
      </c>
      <c r="CE1569" s="2" t="s">
        <v>383</v>
      </c>
      <c r="CF1569" s="3">
        <v>43084</v>
      </c>
      <c r="CI1569" s="2">
        <v>1</v>
      </c>
      <c r="CJ1569" s="2">
        <v>1</v>
      </c>
      <c r="CK1569" s="2">
        <v>24</v>
      </c>
      <c r="CL1569" s="2" t="s">
        <v>89</v>
      </c>
    </row>
    <row r="1570" spans="1:90">
      <c r="A1570" s="2" t="s">
        <v>71</v>
      </c>
      <c r="B1570" s="2" t="s">
        <v>72</v>
      </c>
      <c r="C1570" s="2" t="s">
        <v>73</v>
      </c>
      <c r="E1570" s="2" t="str">
        <f>"FES1162595349"</f>
        <v>FES1162595349</v>
      </c>
      <c r="F1570" s="3">
        <v>43081</v>
      </c>
      <c r="G1570" s="2">
        <v>201806</v>
      </c>
      <c r="H1570" s="2" t="s">
        <v>74</v>
      </c>
      <c r="I1570" s="2" t="s">
        <v>75</v>
      </c>
      <c r="J1570" s="2" t="s">
        <v>97</v>
      </c>
      <c r="K1570" s="2" t="s">
        <v>77</v>
      </c>
      <c r="L1570" s="2" t="s">
        <v>74</v>
      </c>
      <c r="M1570" s="2" t="s">
        <v>75</v>
      </c>
      <c r="N1570" s="2" t="s">
        <v>201</v>
      </c>
      <c r="O1570" s="2" t="s">
        <v>101</v>
      </c>
      <c r="P1570" s="2" t="str">
        <f>"2170604493                    "</f>
        <v xml:space="preserve">2170604493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5.03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</v>
      </c>
      <c r="BJ1570" s="2">
        <v>0.2</v>
      </c>
      <c r="BK1570" s="2">
        <v>1</v>
      </c>
      <c r="BL1570" s="2">
        <v>35.89</v>
      </c>
      <c r="BM1570" s="2">
        <v>5.0199999999999996</v>
      </c>
      <c r="BN1570" s="2">
        <v>40.909999999999997</v>
      </c>
      <c r="BO1570" s="2">
        <v>40.909999999999997</v>
      </c>
      <c r="BQ1570" s="2" t="s">
        <v>102</v>
      </c>
      <c r="BR1570" s="2" t="s">
        <v>103</v>
      </c>
      <c r="BS1570" s="3">
        <v>43082</v>
      </c>
      <c r="BT1570" s="4">
        <v>0.4375</v>
      </c>
      <c r="BU1570" s="2" t="s">
        <v>202</v>
      </c>
      <c r="BV1570" s="2" t="s">
        <v>85</v>
      </c>
      <c r="BY1570" s="2">
        <v>1200</v>
      </c>
      <c r="BZ1570" s="2" t="s">
        <v>27</v>
      </c>
      <c r="CA1570" s="2" t="s">
        <v>203</v>
      </c>
      <c r="CC1570" s="2" t="s">
        <v>75</v>
      </c>
      <c r="CD1570" s="2">
        <v>1665</v>
      </c>
      <c r="CE1570" s="2" t="s">
        <v>120</v>
      </c>
      <c r="CF1570" s="3">
        <v>43083</v>
      </c>
      <c r="CI1570" s="2">
        <v>1</v>
      </c>
      <c r="CJ1570" s="2">
        <v>1</v>
      </c>
      <c r="CK1570" s="2">
        <v>22</v>
      </c>
      <c r="CL1570" s="2" t="s">
        <v>89</v>
      </c>
    </row>
    <row r="1571" spans="1:90">
      <c r="A1571" s="2" t="s">
        <v>71</v>
      </c>
      <c r="B1571" s="2" t="s">
        <v>72</v>
      </c>
      <c r="C1571" s="2" t="s">
        <v>73</v>
      </c>
      <c r="E1571" s="2" t="str">
        <f>"FES1162595102"</f>
        <v>FES1162595102</v>
      </c>
      <c r="F1571" s="3">
        <v>43081</v>
      </c>
      <c r="G1571" s="2">
        <v>201806</v>
      </c>
      <c r="H1571" s="2" t="s">
        <v>74</v>
      </c>
      <c r="I1571" s="2" t="s">
        <v>75</v>
      </c>
      <c r="J1571" s="2" t="s">
        <v>97</v>
      </c>
      <c r="K1571" s="2" t="s">
        <v>77</v>
      </c>
      <c r="L1571" s="2" t="s">
        <v>158</v>
      </c>
      <c r="M1571" s="2" t="s">
        <v>159</v>
      </c>
      <c r="N1571" s="2" t="s">
        <v>963</v>
      </c>
      <c r="O1571" s="2" t="s">
        <v>101</v>
      </c>
      <c r="P1571" s="2" t="str">
        <f>"2170602616                    "</f>
        <v xml:space="preserve">2170602616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6.43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2</v>
      </c>
      <c r="BJ1571" s="2">
        <v>0.2</v>
      </c>
      <c r="BK1571" s="2">
        <v>2</v>
      </c>
      <c r="BL1571" s="2">
        <v>45.93</v>
      </c>
      <c r="BM1571" s="2">
        <v>6.43</v>
      </c>
      <c r="BN1571" s="2">
        <v>52.36</v>
      </c>
      <c r="BO1571" s="2">
        <v>52.36</v>
      </c>
      <c r="BQ1571" s="2" t="s">
        <v>82</v>
      </c>
      <c r="BR1571" s="2" t="s">
        <v>103</v>
      </c>
      <c r="BS1571" s="3">
        <v>43082</v>
      </c>
      <c r="BT1571" s="4">
        <v>0.49513888888888885</v>
      </c>
      <c r="BU1571" s="2" t="s">
        <v>2023</v>
      </c>
      <c r="BV1571" s="2" t="s">
        <v>89</v>
      </c>
      <c r="BW1571" s="2" t="s">
        <v>156</v>
      </c>
      <c r="BX1571" s="2" t="s">
        <v>668</v>
      </c>
      <c r="BY1571" s="2">
        <v>1200</v>
      </c>
      <c r="BZ1571" s="2" t="s">
        <v>27</v>
      </c>
      <c r="CC1571" s="2" t="s">
        <v>159</v>
      </c>
      <c r="CD1571" s="2">
        <v>1</v>
      </c>
      <c r="CE1571" s="2" t="s">
        <v>383</v>
      </c>
      <c r="CF1571" s="3">
        <v>43084</v>
      </c>
      <c r="CI1571" s="2">
        <v>1</v>
      </c>
      <c r="CJ1571" s="2">
        <v>1</v>
      </c>
      <c r="CK1571" s="2">
        <v>21</v>
      </c>
      <c r="CL1571" s="2" t="s">
        <v>89</v>
      </c>
    </row>
    <row r="1572" spans="1:90">
      <c r="A1572" s="2" t="s">
        <v>71</v>
      </c>
      <c r="B1572" s="2" t="s">
        <v>72</v>
      </c>
      <c r="C1572" s="2" t="s">
        <v>73</v>
      </c>
      <c r="E1572" s="2" t="str">
        <f>"FES1162595276"</f>
        <v>FES1162595276</v>
      </c>
      <c r="F1572" s="3">
        <v>43081</v>
      </c>
      <c r="G1572" s="2">
        <v>201806</v>
      </c>
      <c r="H1572" s="2" t="s">
        <v>74</v>
      </c>
      <c r="I1572" s="2" t="s">
        <v>75</v>
      </c>
      <c r="J1572" s="2" t="s">
        <v>97</v>
      </c>
      <c r="K1572" s="2" t="s">
        <v>77</v>
      </c>
      <c r="L1572" s="2" t="s">
        <v>158</v>
      </c>
      <c r="M1572" s="2" t="s">
        <v>159</v>
      </c>
      <c r="N1572" s="2" t="s">
        <v>164</v>
      </c>
      <c r="O1572" s="2" t="s">
        <v>101</v>
      </c>
      <c r="P1572" s="2" t="str">
        <f>"2170606526                    "</f>
        <v xml:space="preserve">2170606526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6.43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</v>
      </c>
      <c r="BJ1572" s="2">
        <v>0.2</v>
      </c>
      <c r="BK1572" s="2">
        <v>1</v>
      </c>
      <c r="BL1572" s="2">
        <v>45.93</v>
      </c>
      <c r="BM1572" s="2">
        <v>6.43</v>
      </c>
      <c r="BN1572" s="2">
        <v>52.36</v>
      </c>
      <c r="BO1572" s="2">
        <v>52.36</v>
      </c>
      <c r="BQ1572" s="2" t="s">
        <v>102</v>
      </c>
      <c r="BR1572" s="2" t="s">
        <v>103</v>
      </c>
      <c r="BS1572" s="3">
        <v>43082</v>
      </c>
      <c r="BT1572" s="4">
        <v>0.52777777777777779</v>
      </c>
      <c r="BU1572" s="2" t="s">
        <v>2024</v>
      </c>
      <c r="BV1572" s="2" t="s">
        <v>89</v>
      </c>
      <c r="BW1572" s="2" t="s">
        <v>156</v>
      </c>
      <c r="BX1572" s="2" t="s">
        <v>565</v>
      </c>
      <c r="BY1572" s="2">
        <v>1200</v>
      </c>
      <c r="BZ1572" s="2" t="s">
        <v>27</v>
      </c>
      <c r="CA1572" s="2" t="s">
        <v>293</v>
      </c>
      <c r="CC1572" s="2" t="s">
        <v>159</v>
      </c>
      <c r="CD1572" s="2">
        <v>200</v>
      </c>
      <c r="CE1572" s="2" t="s">
        <v>383</v>
      </c>
      <c r="CF1572" s="3">
        <v>43084</v>
      </c>
      <c r="CI1572" s="2">
        <v>1</v>
      </c>
      <c r="CJ1572" s="2">
        <v>1</v>
      </c>
      <c r="CK1572" s="2">
        <v>21</v>
      </c>
      <c r="CL1572" s="2" t="s">
        <v>89</v>
      </c>
    </row>
    <row r="1573" spans="1:90">
      <c r="A1573" s="2" t="s">
        <v>71</v>
      </c>
      <c r="B1573" s="2" t="s">
        <v>72</v>
      </c>
      <c r="C1573" s="2" t="s">
        <v>73</v>
      </c>
      <c r="E1573" s="2" t="str">
        <f>"FES1162594625"</f>
        <v>FES1162594625</v>
      </c>
      <c r="F1573" s="3">
        <v>43081</v>
      </c>
      <c r="G1573" s="2">
        <v>201806</v>
      </c>
      <c r="H1573" s="2" t="s">
        <v>74</v>
      </c>
      <c r="I1573" s="2" t="s">
        <v>75</v>
      </c>
      <c r="J1573" s="2" t="s">
        <v>97</v>
      </c>
      <c r="K1573" s="2" t="s">
        <v>77</v>
      </c>
      <c r="L1573" s="2" t="s">
        <v>158</v>
      </c>
      <c r="M1573" s="2" t="s">
        <v>159</v>
      </c>
      <c r="N1573" s="2" t="s">
        <v>2025</v>
      </c>
      <c r="O1573" s="2" t="s">
        <v>101</v>
      </c>
      <c r="P1573" s="2" t="str">
        <f>"2170606465                    "</f>
        <v xml:space="preserve">2170606465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6.43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</v>
      </c>
      <c r="BJ1573" s="2">
        <v>0.2</v>
      </c>
      <c r="BK1573" s="2">
        <v>1</v>
      </c>
      <c r="BL1573" s="2">
        <v>45.93</v>
      </c>
      <c r="BM1573" s="2">
        <v>6.43</v>
      </c>
      <c r="BN1573" s="2">
        <v>52.36</v>
      </c>
      <c r="BO1573" s="2">
        <v>52.36</v>
      </c>
      <c r="BQ1573" s="2" t="s">
        <v>82</v>
      </c>
      <c r="BR1573" s="2" t="s">
        <v>103</v>
      </c>
      <c r="BS1573" s="3">
        <v>43082</v>
      </c>
      <c r="BT1573" s="4">
        <v>0.5625</v>
      </c>
      <c r="BU1573" s="2" t="s">
        <v>2026</v>
      </c>
      <c r="BV1573" s="2" t="s">
        <v>89</v>
      </c>
      <c r="BW1573" s="2" t="s">
        <v>156</v>
      </c>
      <c r="BX1573" s="2" t="s">
        <v>565</v>
      </c>
      <c r="BY1573" s="2">
        <v>1200</v>
      </c>
      <c r="BZ1573" s="2" t="s">
        <v>27</v>
      </c>
      <c r="CA1573" s="2" t="s">
        <v>293</v>
      </c>
      <c r="CC1573" s="2" t="s">
        <v>159</v>
      </c>
      <c r="CD1573" s="2">
        <v>200</v>
      </c>
      <c r="CE1573" s="2" t="s">
        <v>383</v>
      </c>
      <c r="CF1573" s="3">
        <v>43084</v>
      </c>
      <c r="CI1573" s="2">
        <v>1</v>
      </c>
      <c r="CJ1573" s="2">
        <v>1</v>
      </c>
      <c r="CK1573" s="2">
        <v>21</v>
      </c>
      <c r="CL1573" s="2" t="s">
        <v>89</v>
      </c>
    </row>
    <row r="1574" spans="1:90">
      <c r="A1574" s="2" t="s">
        <v>71</v>
      </c>
      <c r="B1574" s="2" t="s">
        <v>72</v>
      </c>
      <c r="C1574" s="2" t="s">
        <v>73</v>
      </c>
      <c r="E1574" s="2" t="str">
        <f>"FES1162595085"</f>
        <v>FES1162595085</v>
      </c>
      <c r="F1574" s="3">
        <v>43081</v>
      </c>
      <c r="G1574" s="2">
        <v>201806</v>
      </c>
      <c r="H1574" s="2" t="s">
        <v>74</v>
      </c>
      <c r="I1574" s="2" t="s">
        <v>75</v>
      </c>
      <c r="J1574" s="2" t="s">
        <v>97</v>
      </c>
      <c r="K1574" s="2" t="s">
        <v>77</v>
      </c>
      <c r="L1574" s="2" t="s">
        <v>158</v>
      </c>
      <c r="M1574" s="2" t="s">
        <v>159</v>
      </c>
      <c r="N1574" s="2" t="s">
        <v>1320</v>
      </c>
      <c r="O1574" s="2" t="s">
        <v>101</v>
      </c>
      <c r="P1574" s="2" t="str">
        <f>"2170606992                    "</f>
        <v xml:space="preserve">2170606992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6.43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</v>
      </c>
      <c r="BJ1574" s="2">
        <v>0.2</v>
      </c>
      <c r="BK1574" s="2">
        <v>1</v>
      </c>
      <c r="BL1574" s="2">
        <v>45.93</v>
      </c>
      <c r="BM1574" s="2">
        <v>6.43</v>
      </c>
      <c r="BN1574" s="2">
        <v>52.36</v>
      </c>
      <c r="BO1574" s="2">
        <v>52.36</v>
      </c>
      <c r="BQ1574" s="2" t="s">
        <v>102</v>
      </c>
      <c r="BR1574" s="2" t="s">
        <v>103</v>
      </c>
      <c r="BS1574" s="3">
        <v>43082</v>
      </c>
      <c r="BT1574" s="4">
        <v>0.42986111111111108</v>
      </c>
      <c r="BU1574" s="2" t="s">
        <v>2027</v>
      </c>
      <c r="BV1574" s="2" t="s">
        <v>85</v>
      </c>
      <c r="BY1574" s="2">
        <v>1200</v>
      </c>
      <c r="BZ1574" s="2" t="s">
        <v>27</v>
      </c>
      <c r="CC1574" s="2" t="s">
        <v>159</v>
      </c>
      <c r="CD1574" s="2">
        <v>117</v>
      </c>
      <c r="CE1574" s="2" t="s">
        <v>383</v>
      </c>
      <c r="CF1574" s="3">
        <v>43084</v>
      </c>
      <c r="CI1574" s="2">
        <v>1</v>
      </c>
      <c r="CJ1574" s="2">
        <v>1</v>
      </c>
      <c r="CK1574" s="2">
        <v>21</v>
      </c>
      <c r="CL1574" s="2" t="s">
        <v>89</v>
      </c>
    </row>
    <row r="1575" spans="1:90">
      <c r="A1575" s="2" t="s">
        <v>71</v>
      </c>
      <c r="B1575" s="2" t="s">
        <v>72</v>
      </c>
      <c r="C1575" s="2" t="s">
        <v>73</v>
      </c>
      <c r="E1575" s="2" t="str">
        <f>"FES1162595270"</f>
        <v>FES1162595270</v>
      </c>
      <c r="F1575" s="3">
        <v>43081</v>
      </c>
      <c r="G1575" s="2">
        <v>201806</v>
      </c>
      <c r="H1575" s="2" t="s">
        <v>74</v>
      </c>
      <c r="I1575" s="2" t="s">
        <v>75</v>
      </c>
      <c r="J1575" s="2" t="s">
        <v>97</v>
      </c>
      <c r="K1575" s="2" t="s">
        <v>77</v>
      </c>
      <c r="L1575" s="2" t="s">
        <v>158</v>
      </c>
      <c r="M1575" s="2" t="s">
        <v>159</v>
      </c>
      <c r="N1575" s="2" t="s">
        <v>164</v>
      </c>
      <c r="O1575" s="2" t="s">
        <v>101</v>
      </c>
      <c r="P1575" s="2" t="str">
        <f>"2170606259                    "</f>
        <v xml:space="preserve">2170606259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6.43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1</v>
      </c>
      <c r="BJ1575" s="2">
        <v>0.2</v>
      </c>
      <c r="BK1575" s="2">
        <v>1</v>
      </c>
      <c r="BL1575" s="2">
        <v>45.93</v>
      </c>
      <c r="BM1575" s="2">
        <v>6.43</v>
      </c>
      <c r="BN1575" s="2">
        <v>52.36</v>
      </c>
      <c r="BO1575" s="2">
        <v>52.36</v>
      </c>
      <c r="BQ1575" s="2" t="s">
        <v>102</v>
      </c>
      <c r="BR1575" s="2" t="s">
        <v>103</v>
      </c>
      <c r="BS1575" s="3">
        <v>43082</v>
      </c>
      <c r="BT1575" s="4">
        <v>0.52777777777777779</v>
      </c>
      <c r="BU1575" s="2" t="s">
        <v>2024</v>
      </c>
      <c r="BV1575" s="2" t="s">
        <v>89</v>
      </c>
      <c r="BW1575" s="2" t="s">
        <v>156</v>
      </c>
      <c r="BX1575" s="2" t="s">
        <v>565</v>
      </c>
      <c r="BY1575" s="2">
        <v>1200</v>
      </c>
      <c r="BZ1575" s="2" t="s">
        <v>27</v>
      </c>
      <c r="CA1575" s="2" t="s">
        <v>293</v>
      </c>
      <c r="CC1575" s="2" t="s">
        <v>159</v>
      </c>
      <c r="CD1575" s="2">
        <v>200</v>
      </c>
      <c r="CE1575" s="2" t="s">
        <v>383</v>
      </c>
      <c r="CF1575" s="3">
        <v>43084</v>
      </c>
      <c r="CI1575" s="2">
        <v>1</v>
      </c>
      <c r="CJ1575" s="2">
        <v>1</v>
      </c>
      <c r="CK1575" s="2">
        <v>21</v>
      </c>
      <c r="CL1575" s="2" t="s">
        <v>89</v>
      </c>
    </row>
    <row r="1576" spans="1:90">
      <c r="A1576" s="2" t="s">
        <v>71</v>
      </c>
      <c r="B1576" s="2" t="s">
        <v>72</v>
      </c>
      <c r="C1576" s="2" t="s">
        <v>73</v>
      </c>
      <c r="E1576" s="2" t="str">
        <f>"FES1162595252"</f>
        <v>FES1162595252</v>
      </c>
      <c r="F1576" s="3">
        <v>43081</v>
      </c>
      <c r="G1576" s="2">
        <v>201806</v>
      </c>
      <c r="H1576" s="2" t="s">
        <v>74</v>
      </c>
      <c r="I1576" s="2" t="s">
        <v>75</v>
      </c>
      <c r="J1576" s="2" t="s">
        <v>97</v>
      </c>
      <c r="K1576" s="2" t="s">
        <v>77</v>
      </c>
      <c r="L1576" s="2" t="s">
        <v>136</v>
      </c>
      <c r="M1576" s="2" t="s">
        <v>137</v>
      </c>
      <c r="N1576" s="2" t="s">
        <v>258</v>
      </c>
      <c r="O1576" s="2" t="s">
        <v>101</v>
      </c>
      <c r="P1576" s="2" t="str">
        <f>"2170602763                    "</f>
        <v xml:space="preserve">2170602763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45.02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13.8</v>
      </c>
      <c r="BJ1576" s="2">
        <v>5.6</v>
      </c>
      <c r="BK1576" s="2">
        <v>14</v>
      </c>
      <c r="BL1576" s="2">
        <v>321.39999999999998</v>
      </c>
      <c r="BM1576" s="2">
        <v>45</v>
      </c>
      <c r="BN1576" s="2">
        <v>366.4</v>
      </c>
      <c r="BO1576" s="2">
        <v>366.4</v>
      </c>
      <c r="BQ1576" s="2" t="s">
        <v>102</v>
      </c>
      <c r="BR1576" s="2" t="s">
        <v>103</v>
      </c>
      <c r="BS1576" s="3">
        <v>43082</v>
      </c>
      <c r="BT1576" s="4">
        <v>0.45833333333333331</v>
      </c>
      <c r="BU1576" s="2" t="s">
        <v>2028</v>
      </c>
      <c r="BV1576" s="2" t="s">
        <v>89</v>
      </c>
      <c r="BW1576" s="2" t="s">
        <v>156</v>
      </c>
      <c r="BX1576" s="2" t="s">
        <v>314</v>
      </c>
      <c r="BY1576" s="2">
        <v>27976.74</v>
      </c>
      <c r="BZ1576" s="2" t="s">
        <v>27</v>
      </c>
      <c r="CC1576" s="2" t="s">
        <v>137</v>
      </c>
      <c r="CD1576" s="2">
        <v>6001</v>
      </c>
      <c r="CE1576" s="2" t="s">
        <v>288</v>
      </c>
      <c r="CF1576" s="3">
        <v>43084</v>
      </c>
      <c r="CI1576" s="2">
        <v>1</v>
      </c>
      <c r="CJ1576" s="2">
        <v>1</v>
      </c>
      <c r="CK1576" s="2">
        <v>21</v>
      </c>
      <c r="CL1576" s="2" t="s">
        <v>89</v>
      </c>
    </row>
    <row r="1577" spans="1:90">
      <c r="A1577" s="2" t="s">
        <v>71</v>
      </c>
      <c r="B1577" s="2" t="s">
        <v>72</v>
      </c>
      <c r="C1577" s="2" t="s">
        <v>73</v>
      </c>
      <c r="E1577" s="2" t="str">
        <f>"FES1162595253"</f>
        <v>FES1162595253</v>
      </c>
      <c r="F1577" s="3">
        <v>43081</v>
      </c>
      <c r="G1577" s="2">
        <v>201806</v>
      </c>
      <c r="H1577" s="2" t="s">
        <v>74</v>
      </c>
      <c r="I1577" s="2" t="s">
        <v>75</v>
      </c>
      <c r="J1577" s="2" t="s">
        <v>97</v>
      </c>
      <c r="K1577" s="2" t="s">
        <v>77</v>
      </c>
      <c r="L1577" s="2" t="s">
        <v>136</v>
      </c>
      <c r="M1577" s="2" t="s">
        <v>137</v>
      </c>
      <c r="N1577" s="2" t="s">
        <v>258</v>
      </c>
      <c r="O1577" s="2" t="s">
        <v>101</v>
      </c>
      <c r="P1577" s="2" t="str">
        <f>"2170602764                    "</f>
        <v xml:space="preserve">2170602764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6.43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</v>
      </c>
      <c r="BJ1577" s="2">
        <v>0.2</v>
      </c>
      <c r="BK1577" s="2">
        <v>1</v>
      </c>
      <c r="BL1577" s="2">
        <v>45.93</v>
      </c>
      <c r="BM1577" s="2">
        <v>6.43</v>
      </c>
      <c r="BN1577" s="2">
        <v>52.36</v>
      </c>
      <c r="BO1577" s="2">
        <v>52.36</v>
      </c>
      <c r="BQ1577" s="2" t="s">
        <v>102</v>
      </c>
      <c r="BR1577" s="2" t="s">
        <v>103</v>
      </c>
      <c r="BS1577" s="3">
        <v>43082</v>
      </c>
      <c r="BT1577" s="4">
        <v>0.45833333333333331</v>
      </c>
      <c r="BU1577" s="2" t="s">
        <v>2029</v>
      </c>
      <c r="BV1577" s="2" t="s">
        <v>89</v>
      </c>
      <c r="BW1577" s="2" t="s">
        <v>156</v>
      </c>
      <c r="BX1577" s="2" t="s">
        <v>314</v>
      </c>
      <c r="BY1577" s="2">
        <v>1200</v>
      </c>
      <c r="BZ1577" s="2" t="s">
        <v>27</v>
      </c>
      <c r="CC1577" s="2" t="s">
        <v>137</v>
      </c>
      <c r="CD1577" s="2">
        <v>6001</v>
      </c>
      <c r="CE1577" s="2" t="s">
        <v>383</v>
      </c>
      <c r="CF1577" s="3">
        <v>43084</v>
      </c>
      <c r="CI1577" s="2">
        <v>1</v>
      </c>
      <c r="CJ1577" s="2">
        <v>1</v>
      </c>
      <c r="CK1577" s="2">
        <v>21</v>
      </c>
      <c r="CL1577" s="2" t="s">
        <v>89</v>
      </c>
    </row>
    <row r="1578" spans="1:90">
      <c r="A1578" s="2" t="s">
        <v>71</v>
      </c>
      <c r="B1578" s="2" t="s">
        <v>72</v>
      </c>
      <c r="C1578" s="2" t="s">
        <v>73</v>
      </c>
      <c r="E1578" s="2" t="str">
        <f>"FES1162595333"</f>
        <v>FES1162595333</v>
      </c>
      <c r="F1578" s="3">
        <v>43081</v>
      </c>
      <c r="G1578" s="2">
        <v>201806</v>
      </c>
      <c r="H1578" s="2" t="s">
        <v>74</v>
      </c>
      <c r="I1578" s="2" t="s">
        <v>75</v>
      </c>
      <c r="J1578" s="2" t="s">
        <v>97</v>
      </c>
      <c r="K1578" s="2" t="s">
        <v>77</v>
      </c>
      <c r="L1578" s="2" t="s">
        <v>145</v>
      </c>
      <c r="M1578" s="2" t="s">
        <v>146</v>
      </c>
      <c r="N1578" s="2" t="s">
        <v>2030</v>
      </c>
      <c r="O1578" s="2" t="s">
        <v>101</v>
      </c>
      <c r="P1578" s="2" t="str">
        <f>"2170607209                    "</f>
        <v xml:space="preserve">2170607209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6.43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</v>
      </c>
      <c r="BJ1578" s="2">
        <v>0.2</v>
      </c>
      <c r="BK1578" s="2">
        <v>1</v>
      </c>
      <c r="BL1578" s="2">
        <v>45.93</v>
      </c>
      <c r="BM1578" s="2">
        <v>6.43</v>
      </c>
      <c r="BN1578" s="2">
        <v>52.36</v>
      </c>
      <c r="BO1578" s="2">
        <v>52.36</v>
      </c>
      <c r="BQ1578" s="2" t="s">
        <v>82</v>
      </c>
      <c r="BR1578" s="2" t="s">
        <v>103</v>
      </c>
      <c r="BS1578" s="3">
        <v>43082</v>
      </c>
      <c r="BT1578" s="4">
        <v>0.5</v>
      </c>
      <c r="BU1578" s="2" t="s">
        <v>2031</v>
      </c>
      <c r="BV1578" s="2" t="s">
        <v>85</v>
      </c>
      <c r="BY1578" s="2">
        <v>1200</v>
      </c>
      <c r="BZ1578" s="2" t="s">
        <v>27</v>
      </c>
      <c r="CC1578" s="2" t="s">
        <v>146</v>
      </c>
      <c r="CD1578" s="2">
        <v>5201</v>
      </c>
      <c r="CE1578" s="2" t="s">
        <v>383</v>
      </c>
      <c r="CF1578" s="3">
        <v>43087</v>
      </c>
      <c r="CI1578" s="2">
        <v>1</v>
      </c>
      <c r="CJ1578" s="2">
        <v>1</v>
      </c>
      <c r="CK1578" s="2">
        <v>21</v>
      </c>
      <c r="CL1578" s="2" t="s">
        <v>89</v>
      </c>
    </row>
    <row r="1579" spans="1:90">
      <c r="A1579" s="2" t="s">
        <v>71</v>
      </c>
      <c r="B1579" s="2" t="s">
        <v>72</v>
      </c>
      <c r="C1579" s="2" t="s">
        <v>73</v>
      </c>
      <c r="E1579" s="2" t="str">
        <f>"FES1162595259"</f>
        <v>FES1162595259</v>
      </c>
      <c r="F1579" s="3">
        <v>43081</v>
      </c>
      <c r="G1579" s="2">
        <v>201806</v>
      </c>
      <c r="H1579" s="2" t="s">
        <v>74</v>
      </c>
      <c r="I1579" s="2" t="s">
        <v>75</v>
      </c>
      <c r="J1579" s="2" t="s">
        <v>97</v>
      </c>
      <c r="K1579" s="2" t="s">
        <v>77</v>
      </c>
      <c r="L1579" s="2" t="s">
        <v>136</v>
      </c>
      <c r="M1579" s="2" t="s">
        <v>137</v>
      </c>
      <c r="N1579" s="2" t="s">
        <v>1735</v>
      </c>
      <c r="O1579" s="2" t="s">
        <v>101</v>
      </c>
      <c r="P1579" s="2" t="str">
        <f>"2170604772                    "</f>
        <v xml:space="preserve">2170604772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6.43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1</v>
      </c>
      <c r="BJ1579" s="2">
        <v>0.2</v>
      </c>
      <c r="BK1579" s="2">
        <v>1</v>
      </c>
      <c r="BL1579" s="2">
        <v>45.93</v>
      </c>
      <c r="BM1579" s="2">
        <v>6.43</v>
      </c>
      <c r="BN1579" s="2">
        <v>52.36</v>
      </c>
      <c r="BO1579" s="2">
        <v>52.36</v>
      </c>
      <c r="BQ1579" s="2" t="s">
        <v>82</v>
      </c>
      <c r="BR1579" s="2" t="s">
        <v>103</v>
      </c>
      <c r="BS1579" s="3">
        <v>43082</v>
      </c>
      <c r="BT1579" s="4">
        <v>0.45833333333333331</v>
      </c>
      <c r="BU1579" s="2" t="s">
        <v>2028</v>
      </c>
      <c r="BV1579" s="2" t="s">
        <v>89</v>
      </c>
      <c r="BW1579" s="2" t="s">
        <v>156</v>
      </c>
      <c r="BX1579" s="2" t="s">
        <v>314</v>
      </c>
      <c r="BY1579" s="2">
        <v>1200</v>
      </c>
      <c r="BZ1579" s="2" t="s">
        <v>27</v>
      </c>
      <c r="CC1579" s="2" t="s">
        <v>137</v>
      </c>
      <c r="CD1579" s="2">
        <v>6001</v>
      </c>
      <c r="CE1579" s="2" t="s">
        <v>383</v>
      </c>
      <c r="CF1579" s="3">
        <v>43084</v>
      </c>
      <c r="CI1579" s="2">
        <v>1</v>
      </c>
      <c r="CJ1579" s="2">
        <v>1</v>
      </c>
      <c r="CK1579" s="2">
        <v>21</v>
      </c>
      <c r="CL1579" s="2" t="s">
        <v>89</v>
      </c>
    </row>
    <row r="1580" spans="1:90">
      <c r="A1580" s="2" t="s">
        <v>71</v>
      </c>
      <c r="B1580" s="2" t="s">
        <v>72</v>
      </c>
      <c r="C1580" s="2" t="s">
        <v>73</v>
      </c>
      <c r="E1580" s="2" t="str">
        <f>"FES1162595425"</f>
        <v>FES1162595425</v>
      </c>
      <c r="F1580" s="3">
        <v>43081</v>
      </c>
      <c r="G1580" s="2">
        <v>201806</v>
      </c>
      <c r="H1580" s="2" t="s">
        <v>74</v>
      </c>
      <c r="I1580" s="2" t="s">
        <v>75</v>
      </c>
      <c r="J1580" s="2" t="s">
        <v>97</v>
      </c>
      <c r="K1580" s="2" t="s">
        <v>77</v>
      </c>
      <c r="L1580" s="2" t="s">
        <v>136</v>
      </c>
      <c r="M1580" s="2" t="s">
        <v>137</v>
      </c>
      <c r="N1580" s="2" t="s">
        <v>1161</v>
      </c>
      <c r="O1580" s="2" t="s">
        <v>101</v>
      </c>
      <c r="P1580" s="2" t="str">
        <f>"2170607145                    "</f>
        <v xml:space="preserve">2170607145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14.47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2</v>
      </c>
      <c r="BJ1580" s="2">
        <v>4.4000000000000004</v>
      </c>
      <c r="BK1580" s="2">
        <v>4.5</v>
      </c>
      <c r="BL1580" s="2">
        <v>103.32</v>
      </c>
      <c r="BM1580" s="2">
        <v>14.46</v>
      </c>
      <c r="BN1580" s="2">
        <v>117.78</v>
      </c>
      <c r="BO1580" s="2">
        <v>117.78</v>
      </c>
      <c r="BQ1580" s="2" t="s">
        <v>82</v>
      </c>
      <c r="BR1580" s="2" t="s">
        <v>103</v>
      </c>
      <c r="BS1580" s="3">
        <v>43082</v>
      </c>
      <c r="BT1580" s="4">
        <v>0.41666666666666669</v>
      </c>
      <c r="BU1580" s="2" t="s">
        <v>2032</v>
      </c>
      <c r="BV1580" s="2" t="s">
        <v>85</v>
      </c>
      <c r="BY1580" s="2">
        <v>21780</v>
      </c>
      <c r="BZ1580" s="2" t="s">
        <v>27</v>
      </c>
      <c r="CA1580" s="2" t="s">
        <v>180</v>
      </c>
      <c r="CC1580" s="2" t="s">
        <v>137</v>
      </c>
      <c r="CD1580" s="2">
        <v>6014</v>
      </c>
      <c r="CE1580" s="2" t="s">
        <v>288</v>
      </c>
      <c r="CF1580" s="3">
        <v>43084</v>
      </c>
      <c r="CI1580" s="2">
        <v>1</v>
      </c>
      <c r="CJ1580" s="2">
        <v>1</v>
      </c>
      <c r="CK1580" s="2">
        <v>21</v>
      </c>
      <c r="CL1580" s="2" t="s">
        <v>89</v>
      </c>
    </row>
    <row r="1581" spans="1:90">
      <c r="A1581" s="2" t="s">
        <v>71</v>
      </c>
      <c r="B1581" s="2" t="s">
        <v>72</v>
      </c>
      <c r="C1581" s="2" t="s">
        <v>73</v>
      </c>
      <c r="E1581" s="2" t="str">
        <f>"FES1162595325"</f>
        <v>FES1162595325</v>
      </c>
      <c r="F1581" s="3">
        <v>43081</v>
      </c>
      <c r="G1581" s="2">
        <v>201806</v>
      </c>
      <c r="H1581" s="2" t="s">
        <v>74</v>
      </c>
      <c r="I1581" s="2" t="s">
        <v>75</v>
      </c>
      <c r="J1581" s="2" t="s">
        <v>97</v>
      </c>
      <c r="K1581" s="2" t="s">
        <v>77</v>
      </c>
      <c r="L1581" s="2" t="s">
        <v>136</v>
      </c>
      <c r="M1581" s="2" t="s">
        <v>137</v>
      </c>
      <c r="N1581" s="2" t="s">
        <v>1542</v>
      </c>
      <c r="O1581" s="2" t="s">
        <v>101</v>
      </c>
      <c r="P1581" s="2" t="str">
        <f>"2170607197                    "</f>
        <v xml:space="preserve">2170607197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12.87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2</v>
      </c>
      <c r="BJ1581" s="2">
        <v>3.8</v>
      </c>
      <c r="BK1581" s="2">
        <v>4</v>
      </c>
      <c r="BL1581" s="2">
        <v>91.85</v>
      </c>
      <c r="BM1581" s="2">
        <v>12.86</v>
      </c>
      <c r="BN1581" s="2">
        <v>104.71</v>
      </c>
      <c r="BO1581" s="2">
        <v>104.71</v>
      </c>
      <c r="BQ1581" s="2" t="s">
        <v>128</v>
      </c>
      <c r="BR1581" s="2" t="s">
        <v>103</v>
      </c>
      <c r="BS1581" s="3">
        <v>43082</v>
      </c>
      <c r="BT1581" s="4">
        <v>0.34722222222222227</v>
      </c>
      <c r="BU1581" s="2" t="s">
        <v>2033</v>
      </c>
      <c r="BV1581" s="2" t="s">
        <v>85</v>
      </c>
      <c r="BY1581" s="2">
        <v>19166</v>
      </c>
      <c r="BZ1581" s="2" t="s">
        <v>27</v>
      </c>
      <c r="CA1581" s="2" t="s">
        <v>140</v>
      </c>
      <c r="CC1581" s="2" t="s">
        <v>137</v>
      </c>
      <c r="CD1581" s="2">
        <v>6001</v>
      </c>
      <c r="CE1581" s="2" t="s">
        <v>288</v>
      </c>
      <c r="CF1581" s="3">
        <v>43084</v>
      </c>
      <c r="CI1581" s="2">
        <v>1</v>
      </c>
      <c r="CJ1581" s="2">
        <v>1</v>
      </c>
      <c r="CK1581" s="2">
        <v>21</v>
      </c>
      <c r="CL1581" s="2" t="s">
        <v>89</v>
      </c>
    </row>
    <row r="1582" spans="1:90">
      <c r="A1582" s="2" t="s">
        <v>71</v>
      </c>
      <c r="B1582" s="2" t="s">
        <v>72</v>
      </c>
      <c r="C1582" s="2" t="s">
        <v>73</v>
      </c>
      <c r="E1582" s="2" t="str">
        <f>"FES1162595427"</f>
        <v>FES1162595427</v>
      </c>
      <c r="F1582" s="3">
        <v>43081</v>
      </c>
      <c r="G1582" s="2">
        <v>201806</v>
      </c>
      <c r="H1582" s="2" t="s">
        <v>74</v>
      </c>
      <c r="I1582" s="2" t="s">
        <v>75</v>
      </c>
      <c r="J1582" s="2" t="s">
        <v>97</v>
      </c>
      <c r="K1582" s="2" t="s">
        <v>77</v>
      </c>
      <c r="L1582" s="2" t="s">
        <v>136</v>
      </c>
      <c r="M1582" s="2" t="s">
        <v>137</v>
      </c>
      <c r="N1582" s="2" t="s">
        <v>259</v>
      </c>
      <c r="O1582" s="2" t="s">
        <v>101</v>
      </c>
      <c r="P1582" s="2" t="str">
        <f>"2170607262                    "</f>
        <v xml:space="preserve">2170607262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6.43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</v>
      </c>
      <c r="BJ1582" s="2">
        <v>0.2</v>
      </c>
      <c r="BK1582" s="2">
        <v>1</v>
      </c>
      <c r="BL1582" s="2">
        <v>45.93</v>
      </c>
      <c r="BM1582" s="2">
        <v>6.43</v>
      </c>
      <c r="BN1582" s="2">
        <v>52.36</v>
      </c>
      <c r="BO1582" s="2">
        <v>52.36</v>
      </c>
      <c r="BQ1582" s="2" t="s">
        <v>102</v>
      </c>
      <c r="BR1582" s="2" t="s">
        <v>103</v>
      </c>
      <c r="BS1582" s="3">
        <v>43082</v>
      </c>
      <c r="BT1582" s="4">
        <v>0.40833333333333338</v>
      </c>
      <c r="BU1582" s="2" t="s">
        <v>2034</v>
      </c>
      <c r="BV1582" s="2" t="s">
        <v>85</v>
      </c>
      <c r="BY1582" s="2">
        <v>1200</v>
      </c>
      <c r="BZ1582" s="2" t="s">
        <v>27</v>
      </c>
      <c r="CA1582" s="2" t="s">
        <v>261</v>
      </c>
      <c r="CC1582" s="2" t="s">
        <v>137</v>
      </c>
      <c r="CD1582" s="2">
        <v>6001</v>
      </c>
      <c r="CE1582" s="2" t="s">
        <v>383</v>
      </c>
      <c r="CF1582" s="3">
        <v>43084</v>
      </c>
      <c r="CI1582" s="2">
        <v>1</v>
      </c>
      <c r="CJ1582" s="2">
        <v>1</v>
      </c>
      <c r="CK1582" s="2">
        <v>21</v>
      </c>
      <c r="CL1582" s="2" t="s">
        <v>89</v>
      </c>
    </row>
    <row r="1583" spans="1:90">
      <c r="A1583" s="2" t="s">
        <v>71</v>
      </c>
      <c r="B1583" s="2" t="s">
        <v>72</v>
      </c>
      <c r="C1583" s="2" t="s">
        <v>73</v>
      </c>
      <c r="E1583" s="2" t="str">
        <f>"FES1162595404"</f>
        <v>FES1162595404</v>
      </c>
      <c r="F1583" s="3">
        <v>43081</v>
      </c>
      <c r="G1583" s="2">
        <v>201806</v>
      </c>
      <c r="H1583" s="2" t="s">
        <v>74</v>
      </c>
      <c r="I1583" s="2" t="s">
        <v>75</v>
      </c>
      <c r="J1583" s="2" t="s">
        <v>97</v>
      </c>
      <c r="K1583" s="2" t="s">
        <v>77</v>
      </c>
      <c r="L1583" s="2" t="s">
        <v>145</v>
      </c>
      <c r="M1583" s="2" t="s">
        <v>146</v>
      </c>
      <c r="N1583" s="2" t="s">
        <v>181</v>
      </c>
      <c r="O1583" s="2" t="s">
        <v>101</v>
      </c>
      <c r="P1583" s="2" t="str">
        <f>"2170607152                    "</f>
        <v xml:space="preserve">2170607152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6.43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</v>
      </c>
      <c r="BJ1583" s="2">
        <v>0.2</v>
      </c>
      <c r="BK1583" s="2">
        <v>1</v>
      </c>
      <c r="BL1583" s="2">
        <v>45.93</v>
      </c>
      <c r="BM1583" s="2">
        <v>6.43</v>
      </c>
      <c r="BN1583" s="2">
        <v>52.36</v>
      </c>
      <c r="BO1583" s="2">
        <v>52.36</v>
      </c>
      <c r="BQ1583" s="2" t="s">
        <v>82</v>
      </c>
      <c r="BR1583" s="2" t="s">
        <v>103</v>
      </c>
      <c r="BS1583" s="3">
        <v>43082</v>
      </c>
      <c r="BT1583" s="4">
        <v>0.38055555555555554</v>
      </c>
      <c r="BU1583" s="2" t="s">
        <v>1905</v>
      </c>
      <c r="BV1583" s="2" t="s">
        <v>85</v>
      </c>
      <c r="BY1583" s="2">
        <v>1200</v>
      </c>
      <c r="BZ1583" s="2" t="s">
        <v>27</v>
      </c>
      <c r="CA1583" s="2" t="s">
        <v>183</v>
      </c>
      <c r="CC1583" s="2" t="s">
        <v>146</v>
      </c>
      <c r="CD1583" s="2">
        <v>5201</v>
      </c>
      <c r="CE1583" s="2" t="s">
        <v>383</v>
      </c>
      <c r="CF1583" s="3">
        <v>43087</v>
      </c>
      <c r="CI1583" s="2">
        <v>1</v>
      </c>
      <c r="CJ1583" s="2">
        <v>1</v>
      </c>
      <c r="CK1583" s="2">
        <v>21</v>
      </c>
      <c r="CL1583" s="2" t="s">
        <v>89</v>
      </c>
    </row>
    <row r="1584" spans="1:90">
      <c r="A1584" s="2" t="s">
        <v>71</v>
      </c>
      <c r="B1584" s="2" t="s">
        <v>72</v>
      </c>
      <c r="C1584" s="2" t="s">
        <v>73</v>
      </c>
      <c r="E1584" s="2" t="str">
        <f>"FES1162595405"</f>
        <v>FES1162595405</v>
      </c>
      <c r="F1584" s="3">
        <v>43081</v>
      </c>
      <c r="G1584" s="2">
        <v>201806</v>
      </c>
      <c r="H1584" s="2" t="s">
        <v>74</v>
      </c>
      <c r="I1584" s="2" t="s">
        <v>75</v>
      </c>
      <c r="J1584" s="2" t="s">
        <v>97</v>
      </c>
      <c r="K1584" s="2" t="s">
        <v>77</v>
      </c>
      <c r="L1584" s="2" t="s">
        <v>682</v>
      </c>
      <c r="M1584" s="2" t="s">
        <v>683</v>
      </c>
      <c r="N1584" s="2" t="s">
        <v>684</v>
      </c>
      <c r="O1584" s="2" t="s">
        <v>101</v>
      </c>
      <c r="P1584" s="2" t="str">
        <f>"2170607265                    "</f>
        <v xml:space="preserve">2170607265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12.47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</v>
      </c>
      <c r="BJ1584" s="2">
        <v>0.2</v>
      </c>
      <c r="BK1584" s="2">
        <v>1</v>
      </c>
      <c r="BL1584" s="2">
        <v>89</v>
      </c>
      <c r="BM1584" s="2">
        <v>12.46</v>
      </c>
      <c r="BN1584" s="2">
        <v>101.46</v>
      </c>
      <c r="BO1584" s="2">
        <v>101.46</v>
      </c>
      <c r="BQ1584" s="2" t="s">
        <v>128</v>
      </c>
      <c r="BR1584" s="2" t="s">
        <v>103</v>
      </c>
      <c r="BS1584" s="3">
        <v>43083</v>
      </c>
      <c r="BT1584" s="4">
        <v>0.60416666666666663</v>
      </c>
      <c r="BU1584" s="2" t="s">
        <v>2035</v>
      </c>
      <c r="BV1584" s="2" t="s">
        <v>85</v>
      </c>
      <c r="BY1584" s="2">
        <v>1200</v>
      </c>
      <c r="BZ1584" s="2" t="s">
        <v>27</v>
      </c>
      <c r="CA1584" s="2" t="s">
        <v>2036</v>
      </c>
      <c r="CC1584" s="2" t="s">
        <v>683</v>
      </c>
      <c r="CD1584" s="2">
        <v>6300</v>
      </c>
      <c r="CE1584" s="2" t="s">
        <v>383</v>
      </c>
      <c r="CF1584" s="3">
        <v>43084</v>
      </c>
      <c r="CI1584" s="2">
        <v>3</v>
      </c>
      <c r="CJ1584" s="2">
        <v>2</v>
      </c>
      <c r="CK1584" s="2">
        <v>23</v>
      </c>
      <c r="CL1584" s="2" t="s">
        <v>89</v>
      </c>
    </row>
    <row r="1585" spans="1:90">
      <c r="A1585" s="2" t="s">
        <v>71</v>
      </c>
      <c r="B1585" s="2" t="s">
        <v>72</v>
      </c>
      <c r="C1585" s="2" t="s">
        <v>73</v>
      </c>
      <c r="E1585" s="2" t="str">
        <f>"FES1162595342"</f>
        <v>FES1162595342</v>
      </c>
      <c r="F1585" s="3">
        <v>43081</v>
      </c>
      <c r="G1585" s="2">
        <v>201806</v>
      </c>
      <c r="H1585" s="2" t="s">
        <v>74</v>
      </c>
      <c r="I1585" s="2" t="s">
        <v>75</v>
      </c>
      <c r="J1585" s="2" t="s">
        <v>97</v>
      </c>
      <c r="K1585" s="2" t="s">
        <v>77</v>
      </c>
      <c r="L1585" s="2" t="s">
        <v>173</v>
      </c>
      <c r="M1585" s="2" t="s">
        <v>174</v>
      </c>
      <c r="N1585" s="2" t="s">
        <v>349</v>
      </c>
      <c r="O1585" s="2" t="s">
        <v>101</v>
      </c>
      <c r="P1585" s="2" t="str">
        <f>"2170602972                    "</f>
        <v xml:space="preserve">2170602972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6.43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0.5</v>
      </c>
      <c r="BJ1585" s="2">
        <v>1.6</v>
      </c>
      <c r="BK1585" s="2">
        <v>2</v>
      </c>
      <c r="BL1585" s="2">
        <v>45.93</v>
      </c>
      <c r="BM1585" s="2">
        <v>6.43</v>
      </c>
      <c r="BN1585" s="2">
        <v>52.36</v>
      </c>
      <c r="BO1585" s="2">
        <v>52.36</v>
      </c>
      <c r="BQ1585" s="2" t="s">
        <v>879</v>
      </c>
      <c r="BR1585" s="2" t="s">
        <v>103</v>
      </c>
      <c r="BS1585" s="3">
        <v>43082</v>
      </c>
      <c r="BT1585" s="4">
        <v>0.41666666666666669</v>
      </c>
      <c r="BU1585" s="2" t="s">
        <v>880</v>
      </c>
      <c r="BV1585" s="2" t="s">
        <v>85</v>
      </c>
      <c r="BY1585" s="2">
        <v>8187.82</v>
      </c>
      <c r="BZ1585" s="2" t="s">
        <v>27</v>
      </c>
      <c r="CA1585" s="2" t="s">
        <v>1713</v>
      </c>
      <c r="CC1585" s="2" t="s">
        <v>174</v>
      </c>
      <c r="CD1585" s="2">
        <v>7800</v>
      </c>
      <c r="CE1585" s="2" t="s">
        <v>288</v>
      </c>
      <c r="CF1585" s="3">
        <v>43083</v>
      </c>
      <c r="CI1585" s="2">
        <v>1</v>
      </c>
      <c r="CJ1585" s="2">
        <v>1</v>
      </c>
      <c r="CK1585" s="2">
        <v>21</v>
      </c>
      <c r="CL1585" s="2" t="s">
        <v>89</v>
      </c>
    </row>
    <row r="1586" spans="1:90">
      <c r="A1586" s="2" t="s">
        <v>71</v>
      </c>
      <c r="B1586" s="2" t="s">
        <v>72</v>
      </c>
      <c r="C1586" s="2" t="s">
        <v>73</v>
      </c>
      <c r="E1586" s="2" t="str">
        <f>"FES1162594741"</f>
        <v>FES1162594741</v>
      </c>
      <c r="F1586" s="3">
        <v>43081</v>
      </c>
      <c r="G1586" s="2">
        <v>201806</v>
      </c>
      <c r="H1586" s="2" t="s">
        <v>74</v>
      </c>
      <c r="I1586" s="2" t="s">
        <v>75</v>
      </c>
      <c r="J1586" s="2" t="s">
        <v>97</v>
      </c>
      <c r="K1586" s="2" t="s">
        <v>77</v>
      </c>
      <c r="L1586" s="2" t="s">
        <v>521</v>
      </c>
      <c r="M1586" s="2" t="s">
        <v>522</v>
      </c>
      <c r="N1586" s="2" t="s">
        <v>523</v>
      </c>
      <c r="O1586" s="2" t="s">
        <v>101</v>
      </c>
      <c r="P1586" s="2" t="str">
        <f>"2170606623                    "</f>
        <v xml:space="preserve">2170606623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11.26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1.4</v>
      </c>
      <c r="BJ1586" s="2">
        <v>3.2</v>
      </c>
      <c r="BK1586" s="2">
        <v>3.5</v>
      </c>
      <c r="BL1586" s="2">
        <v>80.37</v>
      </c>
      <c r="BM1586" s="2">
        <v>11.25</v>
      </c>
      <c r="BN1586" s="2">
        <v>91.62</v>
      </c>
      <c r="BO1586" s="2">
        <v>91.62</v>
      </c>
      <c r="BQ1586" s="2" t="s">
        <v>102</v>
      </c>
      <c r="BR1586" s="2" t="s">
        <v>103</v>
      </c>
      <c r="BS1586" s="3">
        <v>43082</v>
      </c>
      <c r="BT1586" s="4">
        <v>0.40625</v>
      </c>
      <c r="BU1586" s="2" t="s">
        <v>2037</v>
      </c>
      <c r="BV1586" s="2" t="s">
        <v>85</v>
      </c>
      <c r="BY1586" s="2">
        <v>15973.2</v>
      </c>
      <c r="BZ1586" s="2" t="s">
        <v>27</v>
      </c>
      <c r="CC1586" s="2" t="s">
        <v>522</v>
      </c>
      <c r="CD1586" s="2">
        <v>6536</v>
      </c>
      <c r="CE1586" s="2" t="s">
        <v>282</v>
      </c>
      <c r="CF1586" s="3">
        <v>43084</v>
      </c>
      <c r="CI1586" s="2">
        <v>1</v>
      </c>
      <c r="CJ1586" s="2">
        <v>1</v>
      </c>
      <c r="CK1586" s="2">
        <v>21</v>
      </c>
      <c r="CL1586" s="2" t="s">
        <v>89</v>
      </c>
    </row>
    <row r="1587" spans="1:90">
      <c r="A1587" s="2" t="s">
        <v>71</v>
      </c>
      <c r="B1587" s="2" t="s">
        <v>72</v>
      </c>
      <c r="C1587" s="2" t="s">
        <v>73</v>
      </c>
      <c r="E1587" s="2" t="str">
        <f>"FES1162595327"</f>
        <v>FES1162595327</v>
      </c>
      <c r="F1587" s="3">
        <v>43081</v>
      </c>
      <c r="G1587" s="2">
        <v>201806</v>
      </c>
      <c r="H1587" s="2" t="s">
        <v>74</v>
      </c>
      <c r="I1587" s="2" t="s">
        <v>75</v>
      </c>
      <c r="J1587" s="2" t="s">
        <v>97</v>
      </c>
      <c r="K1587" s="2" t="s">
        <v>77</v>
      </c>
      <c r="L1587" s="2" t="s">
        <v>277</v>
      </c>
      <c r="M1587" s="2" t="s">
        <v>278</v>
      </c>
      <c r="N1587" s="2" t="s">
        <v>639</v>
      </c>
      <c r="O1587" s="2" t="s">
        <v>101</v>
      </c>
      <c r="P1587" s="2" t="str">
        <f>"2170607202                    "</f>
        <v xml:space="preserve">2170607202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5.03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</v>
      </c>
      <c r="BJ1587" s="2">
        <v>0.2</v>
      </c>
      <c r="BK1587" s="2">
        <v>1</v>
      </c>
      <c r="BL1587" s="2">
        <v>35.89</v>
      </c>
      <c r="BM1587" s="2">
        <v>5.0199999999999996</v>
      </c>
      <c r="BN1587" s="2">
        <v>40.909999999999997</v>
      </c>
      <c r="BO1587" s="2">
        <v>40.909999999999997</v>
      </c>
      <c r="BQ1587" s="2" t="s">
        <v>82</v>
      </c>
      <c r="BR1587" s="2" t="s">
        <v>103</v>
      </c>
      <c r="BS1587" s="3">
        <v>43082</v>
      </c>
      <c r="BT1587" s="4">
        <v>0.41250000000000003</v>
      </c>
      <c r="BU1587" s="2" t="s">
        <v>640</v>
      </c>
      <c r="BV1587" s="2" t="s">
        <v>85</v>
      </c>
      <c r="BY1587" s="2">
        <v>1200</v>
      </c>
      <c r="BZ1587" s="2" t="s">
        <v>27</v>
      </c>
      <c r="CA1587" s="2" t="s">
        <v>320</v>
      </c>
      <c r="CC1587" s="2" t="s">
        <v>278</v>
      </c>
      <c r="CD1587" s="2">
        <v>2163</v>
      </c>
      <c r="CE1587" s="2" t="s">
        <v>120</v>
      </c>
      <c r="CF1587" s="3">
        <v>43084</v>
      </c>
      <c r="CI1587" s="2">
        <v>1</v>
      </c>
      <c r="CJ1587" s="2">
        <v>1</v>
      </c>
      <c r="CK1587" s="2">
        <v>22</v>
      </c>
      <c r="CL1587" s="2" t="s">
        <v>89</v>
      </c>
    </row>
    <row r="1588" spans="1:90">
      <c r="A1588" s="2" t="s">
        <v>71</v>
      </c>
      <c r="B1588" s="2" t="s">
        <v>72</v>
      </c>
      <c r="C1588" s="2" t="s">
        <v>73</v>
      </c>
      <c r="E1588" s="2" t="str">
        <f>"FES1162595357"</f>
        <v>FES1162595357</v>
      </c>
      <c r="F1588" s="3">
        <v>43081</v>
      </c>
      <c r="G1588" s="2">
        <v>201806</v>
      </c>
      <c r="H1588" s="2" t="s">
        <v>74</v>
      </c>
      <c r="I1588" s="2" t="s">
        <v>75</v>
      </c>
      <c r="J1588" s="2" t="s">
        <v>97</v>
      </c>
      <c r="K1588" s="2" t="s">
        <v>77</v>
      </c>
      <c r="L1588" s="2" t="s">
        <v>526</v>
      </c>
      <c r="M1588" s="2" t="s">
        <v>527</v>
      </c>
      <c r="N1588" s="2" t="s">
        <v>797</v>
      </c>
      <c r="O1588" s="2" t="s">
        <v>101</v>
      </c>
      <c r="P1588" s="2" t="str">
        <f>"2170605014                    "</f>
        <v xml:space="preserve">2170605014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6.43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</v>
      </c>
      <c r="BJ1588" s="2">
        <v>0.2</v>
      </c>
      <c r="BK1588" s="2">
        <v>1</v>
      </c>
      <c r="BL1588" s="2">
        <v>45.93</v>
      </c>
      <c r="BM1588" s="2">
        <v>6.43</v>
      </c>
      <c r="BN1588" s="2">
        <v>52.36</v>
      </c>
      <c r="BO1588" s="2">
        <v>52.36</v>
      </c>
      <c r="BQ1588" s="2" t="s">
        <v>798</v>
      </c>
      <c r="BR1588" s="2" t="s">
        <v>103</v>
      </c>
      <c r="BS1588" s="3">
        <v>43082</v>
      </c>
      <c r="BT1588" s="4">
        <v>0.41666666666666669</v>
      </c>
      <c r="BU1588" s="2" t="s">
        <v>200</v>
      </c>
      <c r="BV1588" s="2" t="s">
        <v>85</v>
      </c>
      <c r="BY1588" s="2">
        <v>1200</v>
      </c>
      <c r="BZ1588" s="2" t="s">
        <v>27</v>
      </c>
      <c r="CA1588" s="2" t="s">
        <v>530</v>
      </c>
      <c r="CC1588" s="2" t="s">
        <v>527</v>
      </c>
      <c r="CD1588" s="2">
        <v>6850</v>
      </c>
      <c r="CE1588" s="2" t="s">
        <v>383</v>
      </c>
      <c r="CF1588" s="3">
        <v>43082</v>
      </c>
      <c r="CI1588" s="2">
        <v>3</v>
      </c>
      <c r="CJ1588" s="2">
        <v>1</v>
      </c>
      <c r="CK1588" s="2">
        <v>21</v>
      </c>
      <c r="CL1588" s="2" t="s">
        <v>89</v>
      </c>
    </row>
    <row r="1589" spans="1:90">
      <c r="A1589" s="2" t="s">
        <v>71</v>
      </c>
      <c r="B1589" s="2" t="s">
        <v>72</v>
      </c>
      <c r="C1589" s="2" t="s">
        <v>73</v>
      </c>
      <c r="E1589" s="2" t="str">
        <f>"FES1162595370"</f>
        <v>FES1162595370</v>
      </c>
      <c r="F1589" s="3">
        <v>43081</v>
      </c>
      <c r="G1589" s="2">
        <v>201806</v>
      </c>
      <c r="H1589" s="2" t="s">
        <v>74</v>
      </c>
      <c r="I1589" s="2" t="s">
        <v>75</v>
      </c>
      <c r="J1589" s="2" t="s">
        <v>97</v>
      </c>
      <c r="K1589" s="2" t="s">
        <v>77</v>
      </c>
      <c r="L1589" s="2" t="s">
        <v>173</v>
      </c>
      <c r="M1589" s="2" t="s">
        <v>174</v>
      </c>
      <c r="N1589" s="2" t="s">
        <v>1753</v>
      </c>
      <c r="O1589" s="2" t="s">
        <v>101</v>
      </c>
      <c r="P1589" s="2" t="str">
        <f>"2170607216                    "</f>
        <v xml:space="preserve">2170607216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6.43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0.2</v>
      </c>
      <c r="BK1589" s="2">
        <v>1</v>
      </c>
      <c r="BL1589" s="2">
        <v>45.93</v>
      </c>
      <c r="BM1589" s="2">
        <v>6.43</v>
      </c>
      <c r="BN1589" s="2">
        <v>52.36</v>
      </c>
      <c r="BO1589" s="2">
        <v>52.36</v>
      </c>
      <c r="BQ1589" s="2" t="s">
        <v>82</v>
      </c>
      <c r="BR1589" s="2" t="s">
        <v>103</v>
      </c>
      <c r="BS1589" s="3">
        <v>43082</v>
      </c>
      <c r="BT1589" s="4">
        <v>0.42777777777777781</v>
      </c>
      <c r="BU1589" s="2" t="s">
        <v>2038</v>
      </c>
      <c r="BV1589" s="2" t="s">
        <v>85</v>
      </c>
      <c r="BY1589" s="2">
        <v>1200</v>
      </c>
      <c r="BZ1589" s="2" t="s">
        <v>27</v>
      </c>
      <c r="CA1589" s="2" t="s">
        <v>247</v>
      </c>
      <c r="CC1589" s="2" t="s">
        <v>174</v>
      </c>
      <c r="CD1589" s="2">
        <v>7530</v>
      </c>
      <c r="CE1589" s="2" t="s">
        <v>383</v>
      </c>
      <c r="CF1589" s="3">
        <v>43083</v>
      </c>
      <c r="CI1589" s="2">
        <v>1</v>
      </c>
      <c r="CJ1589" s="2">
        <v>1</v>
      </c>
      <c r="CK1589" s="2">
        <v>21</v>
      </c>
      <c r="CL1589" s="2" t="s">
        <v>89</v>
      </c>
    </row>
    <row r="1590" spans="1:90">
      <c r="A1590" s="2" t="s">
        <v>71</v>
      </c>
      <c r="B1590" s="2" t="s">
        <v>72</v>
      </c>
      <c r="C1590" s="2" t="s">
        <v>73</v>
      </c>
      <c r="E1590" s="2" t="str">
        <f>"FES1162595360"</f>
        <v>FES1162595360</v>
      </c>
      <c r="F1590" s="3">
        <v>43081</v>
      </c>
      <c r="G1590" s="2">
        <v>201806</v>
      </c>
      <c r="H1590" s="2" t="s">
        <v>74</v>
      </c>
      <c r="I1590" s="2" t="s">
        <v>75</v>
      </c>
      <c r="J1590" s="2" t="s">
        <v>97</v>
      </c>
      <c r="K1590" s="2" t="s">
        <v>77</v>
      </c>
      <c r="L1590" s="2" t="s">
        <v>173</v>
      </c>
      <c r="M1590" s="2" t="s">
        <v>174</v>
      </c>
      <c r="N1590" s="2" t="s">
        <v>349</v>
      </c>
      <c r="O1590" s="2" t="s">
        <v>101</v>
      </c>
      <c r="P1590" s="2" t="str">
        <f>"2170605845                    "</f>
        <v xml:space="preserve">2170605845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6.43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</v>
      </c>
      <c r="BJ1590" s="2">
        <v>0.2</v>
      </c>
      <c r="BK1590" s="2">
        <v>1</v>
      </c>
      <c r="BL1590" s="2">
        <v>45.93</v>
      </c>
      <c r="BM1590" s="2">
        <v>6.43</v>
      </c>
      <c r="BN1590" s="2">
        <v>52.36</v>
      </c>
      <c r="BO1590" s="2">
        <v>52.36</v>
      </c>
      <c r="BQ1590" s="2" t="s">
        <v>879</v>
      </c>
      <c r="BR1590" s="2" t="s">
        <v>103</v>
      </c>
      <c r="BS1590" s="3">
        <v>43082</v>
      </c>
      <c r="BT1590" s="4">
        <v>0.41666666666666669</v>
      </c>
      <c r="BU1590" s="2" t="s">
        <v>2039</v>
      </c>
      <c r="BV1590" s="2" t="s">
        <v>85</v>
      </c>
      <c r="BY1590" s="2">
        <v>1200</v>
      </c>
      <c r="BZ1590" s="2" t="s">
        <v>27</v>
      </c>
      <c r="CA1590" s="2" t="s">
        <v>1713</v>
      </c>
      <c r="CC1590" s="2" t="s">
        <v>174</v>
      </c>
      <c r="CD1590" s="2">
        <v>7800</v>
      </c>
      <c r="CE1590" s="2" t="s">
        <v>383</v>
      </c>
      <c r="CF1590" s="3">
        <v>43082</v>
      </c>
      <c r="CI1590" s="2">
        <v>1</v>
      </c>
      <c r="CJ1590" s="2">
        <v>1</v>
      </c>
      <c r="CK1590" s="2">
        <v>21</v>
      </c>
      <c r="CL1590" s="2" t="s">
        <v>89</v>
      </c>
    </row>
    <row r="1591" spans="1:90">
      <c r="A1591" s="2" t="s">
        <v>71</v>
      </c>
      <c r="B1591" s="2" t="s">
        <v>72</v>
      </c>
      <c r="C1591" s="2" t="s">
        <v>73</v>
      </c>
      <c r="E1591" s="2" t="str">
        <f>"FES1162595331"</f>
        <v>FES1162595331</v>
      </c>
      <c r="F1591" s="3">
        <v>43081</v>
      </c>
      <c r="G1591" s="2">
        <v>201806</v>
      </c>
      <c r="H1591" s="2" t="s">
        <v>74</v>
      </c>
      <c r="I1591" s="2" t="s">
        <v>75</v>
      </c>
      <c r="J1591" s="2" t="s">
        <v>97</v>
      </c>
      <c r="K1591" s="2" t="s">
        <v>77</v>
      </c>
      <c r="L1591" s="2" t="s">
        <v>325</v>
      </c>
      <c r="M1591" s="2" t="s">
        <v>326</v>
      </c>
      <c r="N1591" s="2" t="s">
        <v>1138</v>
      </c>
      <c r="O1591" s="2" t="s">
        <v>101</v>
      </c>
      <c r="P1591" s="2" t="str">
        <f>"2170607198                    "</f>
        <v xml:space="preserve">2170607198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6.43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1</v>
      </c>
      <c r="BJ1591" s="2">
        <v>0.2</v>
      </c>
      <c r="BK1591" s="2">
        <v>1</v>
      </c>
      <c r="BL1591" s="2">
        <v>45.93</v>
      </c>
      <c r="BM1591" s="2">
        <v>6.43</v>
      </c>
      <c r="BN1591" s="2">
        <v>52.36</v>
      </c>
      <c r="BO1591" s="2">
        <v>52.36</v>
      </c>
      <c r="BQ1591" s="2" t="s">
        <v>82</v>
      </c>
      <c r="BR1591" s="2" t="s">
        <v>103</v>
      </c>
      <c r="BS1591" s="3">
        <v>43082</v>
      </c>
      <c r="BT1591" s="4">
        <v>0.625</v>
      </c>
      <c r="BU1591" s="2" t="s">
        <v>303</v>
      </c>
      <c r="BV1591" s="2" t="s">
        <v>89</v>
      </c>
      <c r="BY1591" s="2">
        <v>1200</v>
      </c>
      <c r="BZ1591" s="2" t="s">
        <v>27</v>
      </c>
      <c r="CC1591" s="2" t="s">
        <v>326</v>
      </c>
      <c r="CD1591" s="2">
        <v>1872</v>
      </c>
      <c r="CE1591" s="2" t="s">
        <v>383</v>
      </c>
      <c r="CF1591" s="3">
        <v>43084</v>
      </c>
      <c r="CI1591" s="2">
        <v>1</v>
      </c>
      <c r="CJ1591" s="2">
        <v>1</v>
      </c>
      <c r="CK1591" s="2">
        <v>21</v>
      </c>
      <c r="CL1591" s="2" t="s">
        <v>89</v>
      </c>
    </row>
    <row r="1592" spans="1:90">
      <c r="A1592" s="2" t="s">
        <v>71</v>
      </c>
      <c r="B1592" s="2" t="s">
        <v>72</v>
      </c>
      <c r="C1592" s="2" t="s">
        <v>73</v>
      </c>
      <c r="E1592" s="2" t="str">
        <f>"FES1162595263"</f>
        <v>FES1162595263</v>
      </c>
      <c r="F1592" s="3">
        <v>43081</v>
      </c>
      <c r="G1592" s="2">
        <v>201806</v>
      </c>
      <c r="H1592" s="2" t="s">
        <v>74</v>
      </c>
      <c r="I1592" s="2" t="s">
        <v>75</v>
      </c>
      <c r="J1592" s="2" t="s">
        <v>97</v>
      </c>
      <c r="K1592" s="2" t="s">
        <v>77</v>
      </c>
      <c r="L1592" s="2" t="s">
        <v>74</v>
      </c>
      <c r="M1592" s="2" t="s">
        <v>75</v>
      </c>
      <c r="N1592" s="2" t="s">
        <v>1233</v>
      </c>
      <c r="O1592" s="2" t="s">
        <v>101</v>
      </c>
      <c r="P1592" s="2" t="str">
        <f>"2170605512                    "</f>
        <v xml:space="preserve">2170605512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5.03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</v>
      </c>
      <c r="BJ1592" s="2">
        <v>0.2</v>
      </c>
      <c r="BK1592" s="2">
        <v>1</v>
      </c>
      <c r="BL1592" s="2">
        <v>35.89</v>
      </c>
      <c r="BM1592" s="2">
        <v>5.0199999999999996</v>
      </c>
      <c r="BN1592" s="2">
        <v>40.909999999999997</v>
      </c>
      <c r="BO1592" s="2">
        <v>40.909999999999997</v>
      </c>
      <c r="BQ1592" s="2" t="s">
        <v>82</v>
      </c>
      <c r="BR1592" s="2" t="s">
        <v>103</v>
      </c>
      <c r="BS1592" s="3">
        <v>43082</v>
      </c>
      <c r="BT1592" s="4">
        <v>0.35138888888888892</v>
      </c>
      <c r="BU1592" s="2" t="s">
        <v>2040</v>
      </c>
      <c r="BV1592" s="2" t="s">
        <v>85</v>
      </c>
      <c r="BY1592" s="2">
        <v>1200</v>
      </c>
      <c r="BZ1592" s="2" t="s">
        <v>27</v>
      </c>
      <c r="CA1592" s="2" t="s">
        <v>206</v>
      </c>
      <c r="CC1592" s="2" t="s">
        <v>75</v>
      </c>
      <c r="CD1592" s="2">
        <v>1609</v>
      </c>
      <c r="CE1592" s="2" t="s">
        <v>120</v>
      </c>
      <c r="CF1592" s="3">
        <v>43083</v>
      </c>
      <c r="CI1592" s="2">
        <v>1</v>
      </c>
      <c r="CJ1592" s="2">
        <v>1</v>
      </c>
      <c r="CK1592" s="2">
        <v>22</v>
      </c>
      <c r="CL1592" s="2" t="s">
        <v>89</v>
      </c>
    </row>
    <row r="1593" spans="1:90">
      <c r="A1593" s="2" t="s">
        <v>71</v>
      </c>
      <c r="B1593" s="2" t="s">
        <v>72</v>
      </c>
      <c r="C1593" s="2" t="s">
        <v>73</v>
      </c>
      <c r="E1593" s="2" t="str">
        <f>"FES1162595302"</f>
        <v>FES1162595302</v>
      </c>
      <c r="F1593" s="3">
        <v>43081</v>
      </c>
      <c r="G1593" s="2">
        <v>201806</v>
      </c>
      <c r="H1593" s="2" t="s">
        <v>74</v>
      </c>
      <c r="I1593" s="2" t="s">
        <v>75</v>
      </c>
      <c r="J1593" s="2" t="s">
        <v>97</v>
      </c>
      <c r="K1593" s="2" t="s">
        <v>77</v>
      </c>
      <c r="L1593" s="2" t="s">
        <v>173</v>
      </c>
      <c r="M1593" s="2" t="s">
        <v>174</v>
      </c>
      <c r="N1593" s="2" t="s">
        <v>1301</v>
      </c>
      <c r="O1593" s="2" t="s">
        <v>101</v>
      </c>
      <c r="P1593" s="2" t="str">
        <f>"2170607169                    "</f>
        <v xml:space="preserve">2170607169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6.43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1</v>
      </c>
      <c r="BJ1593" s="2">
        <v>0.2</v>
      </c>
      <c r="BK1593" s="2">
        <v>1</v>
      </c>
      <c r="BL1593" s="2">
        <v>45.93</v>
      </c>
      <c r="BM1593" s="2">
        <v>6.43</v>
      </c>
      <c r="BN1593" s="2">
        <v>52.36</v>
      </c>
      <c r="BO1593" s="2">
        <v>52.36</v>
      </c>
      <c r="BQ1593" s="2" t="s">
        <v>82</v>
      </c>
      <c r="BR1593" s="2" t="s">
        <v>103</v>
      </c>
      <c r="BS1593" s="3">
        <v>43083</v>
      </c>
      <c r="BT1593" s="4">
        <v>0.41597222222222219</v>
      </c>
      <c r="BU1593" s="2" t="s">
        <v>2041</v>
      </c>
      <c r="BV1593" s="2" t="s">
        <v>89</v>
      </c>
      <c r="BW1593" s="2" t="s">
        <v>149</v>
      </c>
      <c r="BX1593" s="2" t="s">
        <v>246</v>
      </c>
      <c r="BY1593" s="2">
        <v>1200</v>
      </c>
      <c r="BZ1593" s="2" t="s">
        <v>27</v>
      </c>
      <c r="CA1593" s="2" t="s">
        <v>247</v>
      </c>
      <c r="CC1593" s="2" t="s">
        <v>174</v>
      </c>
      <c r="CD1593" s="2">
        <v>7493</v>
      </c>
      <c r="CE1593" s="2" t="s">
        <v>383</v>
      </c>
      <c r="CF1593" s="3">
        <v>43084</v>
      </c>
      <c r="CI1593" s="2">
        <v>1</v>
      </c>
      <c r="CJ1593" s="2">
        <v>2</v>
      </c>
      <c r="CK1593" s="2">
        <v>21</v>
      </c>
      <c r="CL1593" s="2" t="s">
        <v>89</v>
      </c>
    </row>
    <row r="1594" spans="1:90">
      <c r="A1594" s="2" t="s">
        <v>71</v>
      </c>
      <c r="B1594" s="2" t="s">
        <v>72</v>
      </c>
      <c r="C1594" s="2" t="s">
        <v>73</v>
      </c>
      <c r="E1594" s="2" t="str">
        <f>"FES1162595326"</f>
        <v>FES1162595326</v>
      </c>
      <c r="F1594" s="3">
        <v>43081</v>
      </c>
      <c r="G1594" s="2">
        <v>201806</v>
      </c>
      <c r="H1594" s="2" t="s">
        <v>74</v>
      </c>
      <c r="I1594" s="2" t="s">
        <v>75</v>
      </c>
      <c r="J1594" s="2" t="s">
        <v>97</v>
      </c>
      <c r="K1594" s="2" t="s">
        <v>77</v>
      </c>
      <c r="L1594" s="2" t="s">
        <v>173</v>
      </c>
      <c r="M1594" s="2" t="s">
        <v>174</v>
      </c>
      <c r="N1594" s="2" t="s">
        <v>2042</v>
      </c>
      <c r="O1594" s="2" t="s">
        <v>101</v>
      </c>
      <c r="P1594" s="2" t="str">
        <f>"2170607199                    "</f>
        <v xml:space="preserve">2170607199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6.43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</v>
      </c>
      <c r="BJ1594" s="2">
        <v>0.2</v>
      </c>
      <c r="BK1594" s="2">
        <v>1</v>
      </c>
      <c r="BL1594" s="2">
        <v>45.93</v>
      </c>
      <c r="BM1594" s="2">
        <v>6.43</v>
      </c>
      <c r="BN1594" s="2">
        <v>52.36</v>
      </c>
      <c r="BO1594" s="2">
        <v>52.36</v>
      </c>
      <c r="BR1594" s="2" t="s">
        <v>103</v>
      </c>
      <c r="BS1594" s="3">
        <v>43082</v>
      </c>
      <c r="BT1594" s="4">
        <v>0.54305555555555551</v>
      </c>
      <c r="BU1594" s="2" t="s">
        <v>2043</v>
      </c>
      <c r="BV1594" s="2" t="s">
        <v>89</v>
      </c>
      <c r="BW1594" s="2" t="s">
        <v>313</v>
      </c>
      <c r="BX1594" s="2" t="s">
        <v>246</v>
      </c>
      <c r="BY1594" s="2">
        <v>1200</v>
      </c>
      <c r="BZ1594" s="2" t="s">
        <v>27</v>
      </c>
      <c r="CA1594" s="2" t="s">
        <v>743</v>
      </c>
      <c r="CC1594" s="2" t="s">
        <v>174</v>
      </c>
      <c r="CD1594" s="2">
        <v>7925</v>
      </c>
      <c r="CE1594" s="2" t="s">
        <v>383</v>
      </c>
      <c r="CF1594" s="3">
        <v>43083</v>
      </c>
      <c r="CI1594" s="2">
        <v>1</v>
      </c>
      <c r="CJ1594" s="2">
        <v>1</v>
      </c>
      <c r="CK1594" s="2">
        <v>21</v>
      </c>
      <c r="CL1594" s="2" t="s">
        <v>89</v>
      </c>
    </row>
    <row r="1595" spans="1:90">
      <c r="A1595" s="2" t="s">
        <v>71</v>
      </c>
      <c r="B1595" s="2" t="s">
        <v>72</v>
      </c>
      <c r="C1595" s="2" t="s">
        <v>73</v>
      </c>
      <c r="E1595" s="2" t="str">
        <f>"FES1162595292"</f>
        <v>FES1162595292</v>
      </c>
      <c r="F1595" s="3">
        <v>43081</v>
      </c>
      <c r="G1595" s="2">
        <v>201806</v>
      </c>
      <c r="H1595" s="2" t="s">
        <v>74</v>
      </c>
      <c r="I1595" s="2" t="s">
        <v>75</v>
      </c>
      <c r="J1595" s="2" t="s">
        <v>97</v>
      </c>
      <c r="K1595" s="2" t="s">
        <v>77</v>
      </c>
      <c r="L1595" s="2" t="s">
        <v>173</v>
      </c>
      <c r="M1595" s="2" t="s">
        <v>174</v>
      </c>
      <c r="N1595" s="2" t="s">
        <v>498</v>
      </c>
      <c r="O1595" s="2" t="s">
        <v>101</v>
      </c>
      <c r="P1595" s="2" t="str">
        <f>"2170607163                    "</f>
        <v xml:space="preserve">2170607163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6.43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</v>
      </c>
      <c r="BJ1595" s="2">
        <v>0.2</v>
      </c>
      <c r="BK1595" s="2">
        <v>1</v>
      </c>
      <c r="BL1595" s="2">
        <v>45.93</v>
      </c>
      <c r="BM1595" s="2">
        <v>6.43</v>
      </c>
      <c r="BN1595" s="2">
        <v>52.36</v>
      </c>
      <c r="BO1595" s="2">
        <v>52.36</v>
      </c>
      <c r="BQ1595" s="2" t="s">
        <v>499</v>
      </c>
      <c r="BR1595" s="2" t="s">
        <v>103</v>
      </c>
      <c r="BS1595" s="3">
        <v>43082</v>
      </c>
      <c r="BT1595" s="4">
        <v>0.41666666666666669</v>
      </c>
      <c r="BU1595" s="2" t="s">
        <v>500</v>
      </c>
      <c r="BV1595" s="2" t="s">
        <v>85</v>
      </c>
      <c r="BY1595" s="2">
        <v>1200</v>
      </c>
      <c r="BZ1595" s="2" t="s">
        <v>27</v>
      </c>
      <c r="CA1595" s="2" t="s">
        <v>360</v>
      </c>
      <c r="CC1595" s="2" t="s">
        <v>174</v>
      </c>
      <c r="CD1595" s="2">
        <v>7405</v>
      </c>
      <c r="CE1595" s="2" t="s">
        <v>383</v>
      </c>
      <c r="CF1595" s="3">
        <v>43083</v>
      </c>
      <c r="CI1595" s="2">
        <v>1</v>
      </c>
      <c r="CJ1595" s="2">
        <v>1</v>
      </c>
      <c r="CK1595" s="2">
        <v>21</v>
      </c>
      <c r="CL1595" s="2" t="s">
        <v>89</v>
      </c>
    </row>
    <row r="1596" spans="1:90">
      <c r="A1596" s="2" t="s">
        <v>71</v>
      </c>
      <c r="B1596" s="2" t="s">
        <v>72</v>
      </c>
      <c r="C1596" s="2" t="s">
        <v>73</v>
      </c>
      <c r="E1596" s="2" t="str">
        <f>"FES1162595332"</f>
        <v>FES1162595332</v>
      </c>
      <c r="F1596" s="3">
        <v>43081</v>
      </c>
      <c r="G1596" s="2">
        <v>201806</v>
      </c>
      <c r="H1596" s="2" t="s">
        <v>74</v>
      </c>
      <c r="I1596" s="2" t="s">
        <v>75</v>
      </c>
      <c r="J1596" s="2" t="s">
        <v>97</v>
      </c>
      <c r="K1596" s="2" t="s">
        <v>77</v>
      </c>
      <c r="L1596" s="2" t="s">
        <v>173</v>
      </c>
      <c r="M1596" s="2" t="s">
        <v>174</v>
      </c>
      <c r="N1596" s="2" t="s">
        <v>2044</v>
      </c>
      <c r="O1596" s="2" t="s">
        <v>101</v>
      </c>
      <c r="P1596" s="2" t="str">
        <f>"2170607203                    "</f>
        <v xml:space="preserve">2170607203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6.43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1</v>
      </c>
      <c r="BJ1596" s="2">
        <v>0.2</v>
      </c>
      <c r="BK1596" s="2">
        <v>1</v>
      </c>
      <c r="BL1596" s="2">
        <v>45.93</v>
      </c>
      <c r="BM1596" s="2">
        <v>6.43</v>
      </c>
      <c r="BN1596" s="2">
        <v>52.36</v>
      </c>
      <c r="BO1596" s="2">
        <v>52.36</v>
      </c>
      <c r="BQ1596" s="2" t="s">
        <v>2045</v>
      </c>
      <c r="BR1596" s="2" t="s">
        <v>103</v>
      </c>
      <c r="BS1596" s="3">
        <v>43082</v>
      </c>
      <c r="BT1596" s="4">
        <v>0.3888888888888889</v>
      </c>
      <c r="BU1596" s="2" t="s">
        <v>2046</v>
      </c>
      <c r="BV1596" s="2" t="s">
        <v>85</v>
      </c>
      <c r="BY1596" s="2">
        <v>1200</v>
      </c>
      <c r="BZ1596" s="2" t="s">
        <v>27</v>
      </c>
      <c r="CA1596" s="2" t="s">
        <v>510</v>
      </c>
      <c r="CC1596" s="2" t="s">
        <v>174</v>
      </c>
      <c r="CD1596" s="2">
        <v>7460</v>
      </c>
      <c r="CE1596" s="2" t="s">
        <v>383</v>
      </c>
      <c r="CF1596" s="3">
        <v>43083</v>
      </c>
      <c r="CI1596" s="2">
        <v>1</v>
      </c>
      <c r="CJ1596" s="2">
        <v>1</v>
      </c>
      <c r="CK1596" s="2">
        <v>21</v>
      </c>
      <c r="CL1596" s="2" t="s">
        <v>89</v>
      </c>
    </row>
    <row r="1597" spans="1:90">
      <c r="A1597" s="2" t="s">
        <v>71</v>
      </c>
      <c r="B1597" s="2" t="s">
        <v>72</v>
      </c>
      <c r="C1597" s="2" t="s">
        <v>73</v>
      </c>
      <c r="E1597" s="2" t="str">
        <f>"FES1162595324"</f>
        <v>FES1162595324</v>
      </c>
      <c r="F1597" s="3">
        <v>43081</v>
      </c>
      <c r="G1597" s="2">
        <v>201806</v>
      </c>
      <c r="H1597" s="2" t="s">
        <v>74</v>
      </c>
      <c r="I1597" s="2" t="s">
        <v>75</v>
      </c>
      <c r="J1597" s="2" t="s">
        <v>97</v>
      </c>
      <c r="K1597" s="2" t="s">
        <v>77</v>
      </c>
      <c r="L1597" s="2" t="s">
        <v>526</v>
      </c>
      <c r="M1597" s="2" t="s">
        <v>527</v>
      </c>
      <c r="N1597" s="2" t="s">
        <v>2047</v>
      </c>
      <c r="O1597" s="2" t="s">
        <v>101</v>
      </c>
      <c r="P1597" s="2" t="str">
        <f>"2170587691                    "</f>
        <v xml:space="preserve">2170587691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6.43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1</v>
      </c>
      <c r="BJ1597" s="2">
        <v>0.2</v>
      </c>
      <c r="BK1597" s="2">
        <v>1</v>
      </c>
      <c r="BL1597" s="2">
        <v>45.93</v>
      </c>
      <c r="BM1597" s="2">
        <v>6.43</v>
      </c>
      <c r="BN1597" s="2">
        <v>52.36</v>
      </c>
      <c r="BO1597" s="2">
        <v>52.36</v>
      </c>
      <c r="BQ1597" s="2" t="s">
        <v>82</v>
      </c>
      <c r="BR1597" s="2" t="s">
        <v>103</v>
      </c>
      <c r="BS1597" s="3">
        <v>43082</v>
      </c>
      <c r="BT1597" s="4">
        <v>0.43958333333333338</v>
      </c>
      <c r="BU1597" s="2" t="s">
        <v>2048</v>
      </c>
      <c r="BV1597" s="2" t="s">
        <v>85</v>
      </c>
      <c r="BY1597" s="2">
        <v>1200</v>
      </c>
      <c r="BZ1597" s="2" t="s">
        <v>27</v>
      </c>
      <c r="CA1597" s="2" t="s">
        <v>530</v>
      </c>
      <c r="CC1597" s="2" t="s">
        <v>527</v>
      </c>
      <c r="CD1597" s="2">
        <v>6850</v>
      </c>
      <c r="CE1597" s="2" t="s">
        <v>383</v>
      </c>
      <c r="CF1597" s="3">
        <v>43082</v>
      </c>
      <c r="CI1597" s="2">
        <v>3</v>
      </c>
      <c r="CJ1597" s="2">
        <v>1</v>
      </c>
      <c r="CK1597" s="2">
        <v>21</v>
      </c>
      <c r="CL1597" s="2" t="s">
        <v>89</v>
      </c>
    </row>
    <row r="1598" spans="1:90">
      <c r="A1598" s="2" t="s">
        <v>71</v>
      </c>
      <c r="B1598" s="2" t="s">
        <v>72</v>
      </c>
      <c r="C1598" s="2" t="s">
        <v>73</v>
      </c>
      <c r="E1598" s="2" t="str">
        <f>"FES1162595367"</f>
        <v>FES1162595367</v>
      </c>
      <c r="F1598" s="3">
        <v>43081</v>
      </c>
      <c r="G1598" s="2">
        <v>201806</v>
      </c>
      <c r="H1598" s="2" t="s">
        <v>74</v>
      </c>
      <c r="I1598" s="2" t="s">
        <v>75</v>
      </c>
      <c r="J1598" s="2" t="s">
        <v>97</v>
      </c>
      <c r="K1598" s="2" t="s">
        <v>77</v>
      </c>
      <c r="L1598" s="2" t="s">
        <v>173</v>
      </c>
      <c r="M1598" s="2" t="s">
        <v>174</v>
      </c>
      <c r="N1598" s="2" t="s">
        <v>433</v>
      </c>
      <c r="O1598" s="2" t="s">
        <v>101</v>
      </c>
      <c r="P1598" s="2" t="str">
        <f>"2170607007                    "</f>
        <v xml:space="preserve">2170607007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6.43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0.2</v>
      </c>
      <c r="BK1598" s="2">
        <v>1</v>
      </c>
      <c r="BL1598" s="2">
        <v>45.93</v>
      </c>
      <c r="BM1598" s="2">
        <v>6.43</v>
      </c>
      <c r="BN1598" s="2">
        <v>52.36</v>
      </c>
      <c r="BO1598" s="2">
        <v>52.36</v>
      </c>
      <c r="BQ1598" s="2" t="s">
        <v>102</v>
      </c>
      <c r="BR1598" s="2" t="s">
        <v>103</v>
      </c>
      <c r="BS1598" s="3">
        <v>43082</v>
      </c>
      <c r="BT1598" s="4">
        <v>0.52013888888888882</v>
      </c>
      <c r="BU1598" s="2" t="s">
        <v>434</v>
      </c>
      <c r="BV1598" s="2" t="s">
        <v>89</v>
      </c>
      <c r="BW1598" s="2" t="s">
        <v>149</v>
      </c>
      <c r="BX1598" s="2" t="s">
        <v>368</v>
      </c>
      <c r="BY1598" s="2">
        <v>1200</v>
      </c>
      <c r="BZ1598" s="2" t="s">
        <v>27</v>
      </c>
      <c r="CA1598" s="2" t="s">
        <v>177</v>
      </c>
      <c r="CC1598" s="2" t="s">
        <v>174</v>
      </c>
      <c r="CD1598" s="2">
        <v>7441</v>
      </c>
      <c r="CE1598" s="2" t="s">
        <v>383</v>
      </c>
      <c r="CF1598" s="3">
        <v>43083</v>
      </c>
      <c r="CI1598" s="2">
        <v>1</v>
      </c>
      <c r="CJ1598" s="2">
        <v>1</v>
      </c>
      <c r="CK1598" s="2">
        <v>21</v>
      </c>
      <c r="CL1598" s="2" t="s">
        <v>89</v>
      </c>
    </row>
    <row r="1599" spans="1:90">
      <c r="A1599" s="2" t="s">
        <v>71</v>
      </c>
      <c r="B1599" s="2" t="s">
        <v>72</v>
      </c>
      <c r="C1599" s="2" t="s">
        <v>73</v>
      </c>
      <c r="E1599" s="2" t="str">
        <f>"FES1162595305"</f>
        <v>FES1162595305</v>
      </c>
      <c r="F1599" s="3">
        <v>43081</v>
      </c>
      <c r="G1599" s="2">
        <v>201806</v>
      </c>
      <c r="H1599" s="2" t="s">
        <v>74</v>
      </c>
      <c r="I1599" s="2" t="s">
        <v>75</v>
      </c>
      <c r="J1599" s="2" t="s">
        <v>97</v>
      </c>
      <c r="K1599" s="2" t="s">
        <v>77</v>
      </c>
      <c r="L1599" s="2" t="s">
        <v>883</v>
      </c>
      <c r="M1599" s="2" t="s">
        <v>884</v>
      </c>
      <c r="N1599" s="2" t="s">
        <v>934</v>
      </c>
      <c r="O1599" s="2" t="s">
        <v>101</v>
      </c>
      <c r="P1599" s="2" t="str">
        <f>"217060591974                  "</f>
        <v xml:space="preserve">217060591974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6.43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</v>
      </c>
      <c r="BJ1599" s="2">
        <v>0.2</v>
      </c>
      <c r="BK1599" s="2">
        <v>1</v>
      </c>
      <c r="BL1599" s="2">
        <v>45.93</v>
      </c>
      <c r="BM1599" s="2">
        <v>6.43</v>
      </c>
      <c r="BN1599" s="2">
        <v>52.36</v>
      </c>
      <c r="BO1599" s="2">
        <v>52.36</v>
      </c>
      <c r="BQ1599" s="2" t="s">
        <v>82</v>
      </c>
      <c r="BR1599" s="2" t="s">
        <v>103</v>
      </c>
      <c r="BS1599" s="3">
        <v>43082</v>
      </c>
      <c r="BT1599" s="4">
        <v>0.41666666666666669</v>
      </c>
      <c r="BU1599" s="2" t="s">
        <v>2049</v>
      </c>
      <c r="BV1599" s="2" t="s">
        <v>85</v>
      </c>
      <c r="BY1599" s="2">
        <v>1200</v>
      </c>
      <c r="BZ1599" s="2" t="s">
        <v>27</v>
      </c>
      <c r="CC1599" s="2" t="s">
        <v>884</v>
      </c>
      <c r="CD1599" s="2">
        <v>7600</v>
      </c>
      <c r="CE1599" s="2" t="s">
        <v>383</v>
      </c>
      <c r="CF1599" s="3">
        <v>43083</v>
      </c>
      <c r="CI1599" s="2">
        <v>1</v>
      </c>
      <c r="CJ1599" s="2">
        <v>1</v>
      </c>
      <c r="CK1599" s="2">
        <v>21</v>
      </c>
      <c r="CL1599" s="2" t="s">
        <v>89</v>
      </c>
    </row>
    <row r="1600" spans="1:90">
      <c r="A1600" s="2" t="s">
        <v>71</v>
      </c>
      <c r="B1600" s="2" t="s">
        <v>72</v>
      </c>
      <c r="C1600" s="2" t="s">
        <v>73</v>
      </c>
      <c r="E1600" s="2" t="str">
        <f>"FES1162595268"</f>
        <v>FES1162595268</v>
      </c>
      <c r="F1600" s="3">
        <v>43081</v>
      </c>
      <c r="G1600" s="2">
        <v>201806</v>
      </c>
      <c r="H1600" s="2" t="s">
        <v>74</v>
      </c>
      <c r="I1600" s="2" t="s">
        <v>75</v>
      </c>
      <c r="J1600" s="2" t="s">
        <v>97</v>
      </c>
      <c r="K1600" s="2" t="s">
        <v>77</v>
      </c>
      <c r="L1600" s="2" t="s">
        <v>173</v>
      </c>
      <c r="M1600" s="2" t="s">
        <v>174</v>
      </c>
      <c r="N1600" s="2" t="s">
        <v>1229</v>
      </c>
      <c r="O1600" s="2" t="s">
        <v>101</v>
      </c>
      <c r="P1600" s="2" t="str">
        <f>"2170606084                    "</f>
        <v xml:space="preserve">2170606084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6.43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</v>
      </c>
      <c r="BJ1600" s="2">
        <v>0.2</v>
      </c>
      <c r="BK1600" s="2">
        <v>1</v>
      </c>
      <c r="BL1600" s="2">
        <v>45.93</v>
      </c>
      <c r="BM1600" s="2">
        <v>6.43</v>
      </c>
      <c r="BN1600" s="2">
        <v>52.36</v>
      </c>
      <c r="BO1600" s="2">
        <v>52.36</v>
      </c>
      <c r="BQ1600" s="2" t="s">
        <v>229</v>
      </c>
      <c r="BR1600" s="2" t="s">
        <v>103</v>
      </c>
      <c r="BS1600" s="3">
        <v>43082</v>
      </c>
      <c r="BT1600" s="4">
        <v>0.3659722222222222</v>
      </c>
      <c r="BU1600" s="2" t="s">
        <v>1911</v>
      </c>
      <c r="BV1600" s="2" t="s">
        <v>85</v>
      </c>
      <c r="BY1600" s="2">
        <v>1200</v>
      </c>
      <c r="BZ1600" s="2" t="s">
        <v>27</v>
      </c>
      <c r="CA1600" s="2" t="s">
        <v>1389</v>
      </c>
      <c r="CC1600" s="2" t="s">
        <v>174</v>
      </c>
      <c r="CD1600" s="2">
        <v>7460</v>
      </c>
      <c r="CE1600" s="2" t="s">
        <v>383</v>
      </c>
      <c r="CF1600" s="3">
        <v>43083</v>
      </c>
      <c r="CI1600" s="2">
        <v>1</v>
      </c>
      <c r="CJ1600" s="2">
        <v>1</v>
      </c>
      <c r="CK1600" s="2">
        <v>21</v>
      </c>
      <c r="CL1600" s="2" t="s">
        <v>89</v>
      </c>
    </row>
    <row r="1601" spans="1:90">
      <c r="A1601" s="2" t="s">
        <v>71</v>
      </c>
      <c r="B1601" s="2" t="s">
        <v>72</v>
      </c>
      <c r="C1601" s="2" t="s">
        <v>73</v>
      </c>
      <c r="E1601" s="2" t="str">
        <f>"FES1162595341"</f>
        <v>FES1162595341</v>
      </c>
      <c r="F1601" s="3">
        <v>43081</v>
      </c>
      <c r="G1601" s="2">
        <v>201806</v>
      </c>
      <c r="H1601" s="2" t="s">
        <v>74</v>
      </c>
      <c r="I1601" s="2" t="s">
        <v>75</v>
      </c>
      <c r="J1601" s="2" t="s">
        <v>97</v>
      </c>
      <c r="K1601" s="2" t="s">
        <v>77</v>
      </c>
      <c r="L1601" s="2" t="s">
        <v>173</v>
      </c>
      <c r="M1601" s="2" t="s">
        <v>174</v>
      </c>
      <c r="N1601" s="2" t="s">
        <v>1188</v>
      </c>
      <c r="O1601" s="2" t="s">
        <v>101</v>
      </c>
      <c r="P1601" s="2" t="str">
        <f>"2170602002                    "</f>
        <v xml:space="preserve">2170602002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6.43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45.93</v>
      </c>
      <c r="BM1601" s="2">
        <v>6.43</v>
      </c>
      <c r="BN1601" s="2">
        <v>52.36</v>
      </c>
      <c r="BO1601" s="2">
        <v>52.36</v>
      </c>
      <c r="BQ1601" s="2" t="s">
        <v>128</v>
      </c>
      <c r="BR1601" s="2" t="s">
        <v>103</v>
      </c>
      <c r="BS1601" s="3">
        <v>43082</v>
      </c>
      <c r="BT1601" s="4">
        <v>0.41666666666666669</v>
      </c>
      <c r="BU1601" s="2" t="s">
        <v>2050</v>
      </c>
      <c r="BV1601" s="2" t="s">
        <v>85</v>
      </c>
      <c r="BY1601" s="2">
        <v>1200</v>
      </c>
      <c r="BZ1601" s="2" t="s">
        <v>27</v>
      </c>
      <c r="CA1601" s="2" t="s">
        <v>1713</v>
      </c>
      <c r="CC1601" s="2" t="s">
        <v>174</v>
      </c>
      <c r="CD1601" s="2">
        <v>7800</v>
      </c>
      <c r="CE1601" s="2" t="s">
        <v>383</v>
      </c>
      <c r="CF1601" s="3">
        <v>43082</v>
      </c>
      <c r="CI1601" s="2">
        <v>1</v>
      </c>
      <c r="CJ1601" s="2">
        <v>1</v>
      </c>
      <c r="CK1601" s="2">
        <v>21</v>
      </c>
      <c r="CL1601" s="2" t="s">
        <v>89</v>
      </c>
    </row>
    <row r="1602" spans="1:90">
      <c r="A1602" s="2" t="s">
        <v>71</v>
      </c>
      <c r="B1602" s="2" t="s">
        <v>72</v>
      </c>
      <c r="C1602" s="2" t="s">
        <v>73</v>
      </c>
      <c r="E1602" s="2" t="str">
        <f>"FES1162595260"</f>
        <v>FES1162595260</v>
      </c>
      <c r="F1602" s="3">
        <v>43081</v>
      </c>
      <c r="G1602" s="2">
        <v>201806</v>
      </c>
      <c r="H1602" s="2" t="s">
        <v>74</v>
      </c>
      <c r="I1602" s="2" t="s">
        <v>75</v>
      </c>
      <c r="J1602" s="2" t="s">
        <v>97</v>
      </c>
      <c r="K1602" s="2" t="s">
        <v>77</v>
      </c>
      <c r="L1602" s="2" t="s">
        <v>173</v>
      </c>
      <c r="M1602" s="2" t="s">
        <v>174</v>
      </c>
      <c r="N1602" s="2" t="s">
        <v>175</v>
      </c>
      <c r="O1602" s="2" t="s">
        <v>101</v>
      </c>
      <c r="P1602" s="2" t="str">
        <f>"2170604954                    "</f>
        <v xml:space="preserve">2170604954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6.43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45.93</v>
      </c>
      <c r="BM1602" s="2">
        <v>6.43</v>
      </c>
      <c r="BN1602" s="2">
        <v>52.36</v>
      </c>
      <c r="BO1602" s="2">
        <v>52.36</v>
      </c>
      <c r="BQ1602" s="2" t="s">
        <v>102</v>
      </c>
      <c r="BR1602" s="2" t="s">
        <v>103</v>
      </c>
      <c r="BS1602" s="3">
        <v>43082</v>
      </c>
      <c r="BT1602" s="4">
        <v>0.52708333333333335</v>
      </c>
      <c r="BU1602" s="2" t="s">
        <v>176</v>
      </c>
      <c r="BV1602" s="2" t="s">
        <v>89</v>
      </c>
      <c r="BW1602" s="2" t="s">
        <v>149</v>
      </c>
      <c r="BX1602" s="2" t="s">
        <v>368</v>
      </c>
      <c r="BY1602" s="2">
        <v>1200</v>
      </c>
      <c r="BZ1602" s="2" t="s">
        <v>27</v>
      </c>
      <c r="CA1602" s="2" t="s">
        <v>2051</v>
      </c>
      <c r="CC1602" s="2" t="s">
        <v>174</v>
      </c>
      <c r="CD1602" s="2">
        <v>7405</v>
      </c>
      <c r="CE1602" s="2" t="s">
        <v>383</v>
      </c>
      <c r="CF1602" s="3">
        <v>43083</v>
      </c>
      <c r="CI1602" s="2">
        <v>1</v>
      </c>
      <c r="CJ1602" s="2">
        <v>1</v>
      </c>
      <c r="CK1602" s="2">
        <v>21</v>
      </c>
      <c r="CL1602" s="2" t="s">
        <v>89</v>
      </c>
    </row>
    <row r="1603" spans="1:90">
      <c r="A1603" s="2" t="s">
        <v>71</v>
      </c>
      <c r="B1603" s="2" t="s">
        <v>72</v>
      </c>
      <c r="C1603" s="2" t="s">
        <v>73</v>
      </c>
      <c r="E1603" s="2" t="str">
        <f>"FES1162595317"</f>
        <v>FES1162595317</v>
      </c>
      <c r="F1603" s="3">
        <v>43081</v>
      </c>
      <c r="G1603" s="2">
        <v>201806</v>
      </c>
      <c r="H1603" s="2" t="s">
        <v>74</v>
      </c>
      <c r="I1603" s="2" t="s">
        <v>75</v>
      </c>
      <c r="J1603" s="2" t="s">
        <v>97</v>
      </c>
      <c r="K1603" s="2" t="s">
        <v>77</v>
      </c>
      <c r="L1603" s="2" t="s">
        <v>111</v>
      </c>
      <c r="M1603" s="2" t="s">
        <v>112</v>
      </c>
      <c r="N1603" s="2" t="s">
        <v>113</v>
      </c>
      <c r="O1603" s="2" t="s">
        <v>101</v>
      </c>
      <c r="P1603" s="2" t="str">
        <f>"2170607182                    "</f>
        <v xml:space="preserve">2170607182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11.26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1.7</v>
      </c>
      <c r="BJ1603" s="2">
        <v>3.3</v>
      </c>
      <c r="BK1603" s="2">
        <v>3.5</v>
      </c>
      <c r="BL1603" s="2">
        <v>80.37</v>
      </c>
      <c r="BM1603" s="2">
        <v>11.25</v>
      </c>
      <c r="BN1603" s="2">
        <v>91.62</v>
      </c>
      <c r="BO1603" s="2">
        <v>91.62</v>
      </c>
      <c r="BQ1603" s="2" t="s">
        <v>82</v>
      </c>
      <c r="BR1603" s="2" t="s">
        <v>103</v>
      </c>
      <c r="BS1603" s="3">
        <v>43082</v>
      </c>
      <c r="BT1603" s="4">
        <v>0.34722222222222227</v>
      </c>
      <c r="BU1603" s="2" t="s">
        <v>2052</v>
      </c>
      <c r="BV1603" s="2" t="s">
        <v>85</v>
      </c>
      <c r="BY1603" s="2">
        <v>16718.400000000001</v>
      </c>
      <c r="BZ1603" s="2" t="s">
        <v>27</v>
      </c>
      <c r="CC1603" s="2" t="s">
        <v>112</v>
      </c>
      <c r="CD1603" s="2">
        <v>6220</v>
      </c>
      <c r="CE1603" s="2" t="s">
        <v>288</v>
      </c>
      <c r="CF1603" s="3">
        <v>43084</v>
      </c>
      <c r="CI1603" s="2">
        <v>1</v>
      </c>
      <c r="CJ1603" s="2">
        <v>1</v>
      </c>
      <c r="CK1603" s="2">
        <v>21</v>
      </c>
      <c r="CL1603" s="2" t="s">
        <v>89</v>
      </c>
    </row>
    <row r="1604" spans="1:90">
      <c r="A1604" s="2" t="s">
        <v>71</v>
      </c>
      <c r="B1604" s="2" t="s">
        <v>72</v>
      </c>
      <c r="C1604" s="2" t="s">
        <v>73</v>
      </c>
      <c r="E1604" s="2" t="str">
        <f>"FES1162595271"</f>
        <v>FES1162595271</v>
      </c>
      <c r="F1604" s="3">
        <v>43081</v>
      </c>
      <c r="G1604" s="2">
        <v>201806</v>
      </c>
      <c r="H1604" s="2" t="s">
        <v>74</v>
      </c>
      <c r="I1604" s="2" t="s">
        <v>75</v>
      </c>
      <c r="J1604" s="2" t="s">
        <v>97</v>
      </c>
      <c r="K1604" s="2" t="s">
        <v>77</v>
      </c>
      <c r="L1604" s="2" t="s">
        <v>136</v>
      </c>
      <c r="M1604" s="2" t="s">
        <v>137</v>
      </c>
      <c r="N1604" s="2" t="s">
        <v>823</v>
      </c>
      <c r="O1604" s="2" t="s">
        <v>101</v>
      </c>
      <c r="P1604" s="2" t="str">
        <f>"2170606363                    "</f>
        <v xml:space="preserve">2170606363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6.43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2</v>
      </c>
      <c r="BJ1604" s="2">
        <v>0.2</v>
      </c>
      <c r="BK1604" s="2">
        <v>2</v>
      </c>
      <c r="BL1604" s="2">
        <v>45.93</v>
      </c>
      <c r="BM1604" s="2">
        <v>6.43</v>
      </c>
      <c r="BN1604" s="2">
        <v>52.36</v>
      </c>
      <c r="BO1604" s="2">
        <v>52.36</v>
      </c>
      <c r="BQ1604" s="2" t="s">
        <v>82</v>
      </c>
      <c r="BR1604" s="2" t="s">
        <v>103</v>
      </c>
      <c r="BS1604" s="3">
        <v>43082</v>
      </c>
      <c r="BT1604" s="4">
        <v>0.33333333333333331</v>
      </c>
      <c r="BU1604" s="2" t="s">
        <v>1031</v>
      </c>
      <c r="BV1604" s="2" t="s">
        <v>85</v>
      </c>
      <c r="BY1604" s="2">
        <v>1200</v>
      </c>
      <c r="BZ1604" s="2" t="s">
        <v>27</v>
      </c>
      <c r="CA1604" s="2" t="s">
        <v>180</v>
      </c>
      <c r="CC1604" s="2" t="s">
        <v>137</v>
      </c>
      <c r="CD1604" s="2">
        <v>6001</v>
      </c>
      <c r="CE1604" s="2" t="s">
        <v>383</v>
      </c>
      <c r="CF1604" s="3">
        <v>43084</v>
      </c>
      <c r="CI1604" s="2">
        <v>1</v>
      </c>
      <c r="CJ1604" s="2">
        <v>1</v>
      </c>
      <c r="CK1604" s="2">
        <v>21</v>
      </c>
      <c r="CL1604" s="2" t="s">
        <v>89</v>
      </c>
    </row>
    <row r="1605" spans="1:90">
      <c r="A1605" s="2" t="s">
        <v>71</v>
      </c>
      <c r="B1605" s="2" t="s">
        <v>72</v>
      </c>
      <c r="C1605" s="2" t="s">
        <v>73</v>
      </c>
      <c r="E1605" s="2" t="str">
        <f>"FES1162595356"</f>
        <v>FES1162595356</v>
      </c>
      <c r="F1605" s="3">
        <v>43081</v>
      </c>
      <c r="G1605" s="2">
        <v>201806</v>
      </c>
      <c r="H1605" s="2" t="s">
        <v>74</v>
      </c>
      <c r="I1605" s="2" t="s">
        <v>75</v>
      </c>
      <c r="J1605" s="2" t="s">
        <v>97</v>
      </c>
      <c r="K1605" s="2" t="s">
        <v>77</v>
      </c>
      <c r="L1605" s="2" t="s">
        <v>173</v>
      </c>
      <c r="M1605" s="2" t="s">
        <v>174</v>
      </c>
      <c r="N1605" s="2" t="s">
        <v>175</v>
      </c>
      <c r="O1605" s="2" t="s">
        <v>101</v>
      </c>
      <c r="P1605" s="2" t="str">
        <f>"2170604954                    "</f>
        <v xml:space="preserve">2170604954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6.43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</v>
      </c>
      <c r="BJ1605" s="2">
        <v>0.2</v>
      </c>
      <c r="BK1605" s="2">
        <v>1</v>
      </c>
      <c r="BL1605" s="2">
        <v>45.93</v>
      </c>
      <c r="BM1605" s="2">
        <v>6.43</v>
      </c>
      <c r="BN1605" s="2">
        <v>52.36</v>
      </c>
      <c r="BO1605" s="2">
        <v>52.36</v>
      </c>
      <c r="BQ1605" s="2" t="s">
        <v>102</v>
      </c>
      <c r="BR1605" s="2" t="s">
        <v>103</v>
      </c>
      <c r="BS1605" s="3">
        <v>43082</v>
      </c>
      <c r="BT1605" s="4">
        <v>0.52638888888888891</v>
      </c>
      <c r="BU1605" s="2" t="s">
        <v>176</v>
      </c>
      <c r="BV1605" s="2" t="s">
        <v>89</v>
      </c>
      <c r="BW1605" s="2" t="s">
        <v>149</v>
      </c>
      <c r="BX1605" s="2" t="s">
        <v>368</v>
      </c>
      <c r="BY1605" s="2">
        <v>1200</v>
      </c>
      <c r="BZ1605" s="2" t="s">
        <v>27</v>
      </c>
      <c r="CA1605" s="2" t="s">
        <v>177</v>
      </c>
      <c r="CC1605" s="2" t="s">
        <v>174</v>
      </c>
      <c r="CD1605" s="2">
        <v>7405</v>
      </c>
      <c r="CE1605" s="2" t="s">
        <v>383</v>
      </c>
      <c r="CF1605" s="3">
        <v>43083</v>
      </c>
      <c r="CI1605" s="2">
        <v>1</v>
      </c>
      <c r="CJ1605" s="2">
        <v>1</v>
      </c>
      <c r="CK1605" s="2">
        <v>21</v>
      </c>
      <c r="CL1605" s="2" t="s">
        <v>89</v>
      </c>
    </row>
    <row r="1606" spans="1:90">
      <c r="A1606" s="2" t="s">
        <v>71</v>
      </c>
      <c r="B1606" s="2" t="s">
        <v>72</v>
      </c>
      <c r="C1606" s="2" t="s">
        <v>73</v>
      </c>
      <c r="E1606" s="2" t="str">
        <f>"FES1162595206"</f>
        <v>FES1162595206</v>
      </c>
      <c r="F1606" s="3">
        <v>43081</v>
      </c>
      <c r="G1606" s="2">
        <v>201806</v>
      </c>
      <c r="H1606" s="2" t="s">
        <v>74</v>
      </c>
      <c r="I1606" s="2" t="s">
        <v>75</v>
      </c>
      <c r="J1606" s="2" t="s">
        <v>97</v>
      </c>
      <c r="K1606" s="2" t="s">
        <v>77</v>
      </c>
      <c r="L1606" s="2" t="s">
        <v>106</v>
      </c>
      <c r="M1606" s="2" t="s">
        <v>107</v>
      </c>
      <c r="N1606" s="2" t="s">
        <v>108</v>
      </c>
      <c r="O1606" s="2" t="s">
        <v>101</v>
      </c>
      <c r="P1606" s="2" t="str">
        <f>"2170607101                    "</f>
        <v xml:space="preserve">2170607101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5.03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1</v>
      </c>
      <c r="BJ1606" s="2">
        <v>0.2</v>
      </c>
      <c r="BK1606" s="2">
        <v>1</v>
      </c>
      <c r="BL1606" s="2">
        <v>35.89</v>
      </c>
      <c r="BM1606" s="2">
        <v>5.0199999999999996</v>
      </c>
      <c r="BN1606" s="2">
        <v>40.909999999999997</v>
      </c>
      <c r="BO1606" s="2">
        <v>40.909999999999997</v>
      </c>
      <c r="BQ1606" s="2" t="s">
        <v>82</v>
      </c>
      <c r="BR1606" s="2" t="s">
        <v>103</v>
      </c>
      <c r="BS1606" s="3">
        <v>43082</v>
      </c>
      <c r="BT1606" s="4">
        <v>0.3888888888888889</v>
      </c>
      <c r="BU1606" s="2" t="s">
        <v>109</v>
      </c>
      <c r="BV1606" s="2" t="s">
        <v>85</v>
      </c>
      <c r="BY1606" s="2">
        <v>1200</v>
      </c>
      <c r="BZ1606" s="2" t="s">
        <v>27</v>
      </c>
      <c r="CC1606" s="2" t="s">
        <v>107</v>
      </c>
      <c r="CD1606" s="2">
        <v>2094</v>
      </c>
      <c r="CE1606" s="2" t="s">
        <v>120</v>
      </c>
      <c r="CF1606" s="3">
        <v>43083</v>
      </c>
      <c r="CI1606" s="2">
        <v>1</v>
      </c>
      <c r="CJ1606" s="2">
        <v>1</v>
      </c>
      <c r="CK1606" s="2">
        <v>22</v>
      </c>
      <c r="CL1606" s="2" t="s">
        <v>89</v>
      </c>
    </row>
    <row r="1607" spans="1:90">
      <c r="A1607" s="2" t="s">
        <v>71</v>
      </c>
      <c r="B1607" s="2" t="s">
        <v>72</v>
      </c>
      <c r="C1607" s="2" t="s">
        <v>73</v>
      </c>
      <c r="E1607" s="2" t="str">
        <f>"FES1162595169"</f>
        <v>FES1162595169</v>
      </c>
      <c r="F1607" s="3">
        <v>43081</v>
      </c>
      <c r="G1607" s="2">
        <v>201806</v>
      </c>
      <c r="H1607" s="2" t="s">
        <v>74</v>
      </c>
      <c r="I1607" s="2" t="s">
        <v>75</v>
      </c>
      <c r="J1607" s="2" t="s">
        <v>97</v>
      </c>
      <c r="K1607" s="2" t="s">
        <v>77</v>
      </c>
      <c r="L1607" s="2" t="s">
        <v>106</v>
      </c>
      <c r="M1607" s="2" t="s">
        <v>107</v>
      </c>
      <c r="N1607" s="2" t="s">
        <v>108</v>
      </c>
      <c r="O1607" s="2" t="s">
        <v>101</v>
      </c>
      <c r="P1607" s="2" t="str">
        <f>"2170607069                    "</f>
        <v xml:space="preserve">2170607069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5.03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</v>
      </c>
      <c r="BJ1607" s="2">
        <v>0.2</v>
      </c>
      <c r="BK1607" s="2">
        <v>1</v>
      </c>
      <c r="BL1607" s="2">
        <v>35.89</v>
      </c>
      <c r="BM1607" s="2">
        <v>5.0199999999999996</v>
      </c>
      <c r="BN1607" s="2">
        <v>40.909999999999997</v>
      </c>
      <c r="BO1607" s="2">
        <v>40.909999999999997</v>
      </c>
      <c r="BQ1607" s="2" t="s">
        <v>82</v>
      </c>
      <c r="BR1607" s="2" t="s">
        <v>103</v>
      </c>
      <c r="BS1607" s="3">
        <v>43082</v>
      </c>
      <c r="BT1607" s="4">
        <v>0.3888888888888889</v>
      </c>
      <c r="BU1607" s="2" t="s">
        <v>109</v>
      </c>
      <c r="BV1607" s="2" t="s">
        <v>85</v>
      </c>
      <c r="BY1607" s="2">
        <v>1200</v>
      </c>
      <c r="BZ1607" s="2" t="s">
        <v>27</v>
      </c>
      <c r="CA1607" s="2" t="s">
        <v>110</v>
      </c>
      <c r="CC1607" s="2" t="s">
        <v>107</v>
      </c>
      <c r="CD1607" s="2">
        <v>2094</v>
      </c>
      <c r="CE1607" s="2" t="s">
        <v>120</v>
      </c>
      <c r="CF1607" s="3">
        <v>43083</v>
      </c>
      <c r="CI1607" s="2">
        <v>1</v>
      </c>
      <c r="CJ1607" s="2">
        <v>1</v>
      </c>
      <c r="CK1607" s="2">
        <v>22</v>
      </c>
      <c r="CL1607" s="2" t="s">
        <v>89</v>
      </c>
    </row>
    <row r="1608" spans="1:90">
      <c r="A1608" s="2" t="s">
        <v>71</v>
      </c>
      <c r="B1608" s="2" t="s">
        <v>72</v>
      </c>
      <c r="C1608" s="2" t="s">
        <v>73</v>
      </c>
      <c r="E1608" s="2" t="str">
        <f>"FES1162595114"</f>
        <v>FES1162595114</v>
      </c>
      <c r="F1608" s="3">
        <v>43081</v>
      </c>
      <c r="G1608" s="2">
        <v>201806</v>
      </c>
      <c r="H1608" s="2" t="s">
        <v>74</v>
      </c>
      <c r="I1608" s="2" t="s">
        <v>75</v>
      </c>
      <c r="J1608" s="2" t="s">
        <v>97</v>
      </c>
      <c r="K1608" s="2" t="s">
        <v>77</v>
      </c>
      <c r="L1608" s="2" t="s">
        <v>325</v>
      </c>
      <c r="M1608" s="2" t="s">
        <v>326</v>
      </c>
      <c r="N1608" s="2" t="s">
        <v>2053</v>
      </c>
      <c r="O1608" s="2" t="s">
        <v>101</v>
      </c>
      <c r="P1608" s="2" t="str">
        <f>"2170607015                    "</f>
        <v xml:space="preserve">2170607015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6.43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</v>
      </c>
      <c r="BJ1608" s="2">
        <v>0.2</v>
      </c>
      <c r="BK1608" s="2">
        <v>1</v>
      </c>
      <c r="BL1608" s="2">
        <v>45.93</v>
      </c>
      <c r="BM1608" s="2">
        <v>6.43</v>
      </c>
      <c r="BN1608" s="2">
        <v>52.36</v>
      </c>
      <c r="BO1608" s="2">
        <v>52.36</v>
      </c>
      <c r="BQ1608" s="2" t="s">
        <v>82</v>
      </c>
      <c r="BR1608" s="2" t="s">
        <v>103</v>
      </c>
      <c r="BS1608" s="3">
        <v>43082</v>
      </c>
      <c r="BT1608" s="4">
        <v>0.6</v>
      </c>
      <c r="BU1608" s="2" t="s">
        <v>2054</v>
      </c>
      <c r="BV1608" s="2" t="s">
        <v>89</v>
      </c>
      <c r="BY1608" s="2">
        <v>1200</v>
      </c>
      <c r="BZ1608" s="2" t="s">
        <v>27</v>
      </c>
      <c r="CA1608" s="2" t="s">
        <v>329</v>
      </c>
      <c r="CC1608" s="2" t="s">
        <v>326</v>
      </c>
      <c r="CD1608" s="2">
        <v>1873</v>
      </c>
      <c r="CE1608" s="2" t="s">
        <v>383</v>
      </c>
      <c r="CF1608" s="3">
        <v>43084</v>
      </c>
      <c r="CI1608" s="2">
        <v>1</v>
      </c>
      <c r="CJ1608" s="2">
        <v>1</v>
      </c>
      <c r="CK1608" s="2">
        <v>21</v>
      </c>
      <c r="CL1608" s="2" t="s">
        <v>89</v>
      </c>
    </row>
    <row r="1609" spans="1:90">
      <c r="A1609" s="2" t="s">
        <v>71</v>
      </c>
      <c r="B1609" s="2" t="s">
        <v>72</v>
      </c>
      <c r="C1609" s="2" t="s">
        <v>73</v>
      </c>
      <c r="E1609" s="2" t="str">
        <f>"FES1162595185"</f>
        <v>FES1162595185</v>
      </c>
      <c r="F1609" s="3">
        <v>43081</v>
      </c>
      <c r="G1609" s="2">
        <v>201806</v>
      </c>
      <c r="H1609" s="2" t="s">
        <v>74</v>
      </c>
      <c r="I1609" s="2" t="s">
        <v>75</v>
      </c>
      <c r="J1609" s="2" t="s">
        <v>97</v>
      </c>
      <c r="K1609" s="2" t="s">
        <v>77</v>
      </c>
      <c r="L1609" s="2" t="s">
        <v>173</v>
      </c>
      <c r="M1609" s="2" t="s">
        <v>174</v>
      </c>
      <c r="N1609" s="2" t="s">
        <v>2055</v>
      </c>
      <c r="O1609" s="2" t="s">
        <v>101</v>
      </c>
      <c r="P1609" s="2" t="str">
        <f>"2170606173                    "</f>
        <v xml:space="preserve">2170606173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6.43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</v>
      </c>
      <c r="BJ1609" s="2">
        <v>0.2</v>
      </c>
      <c r="BK1609" s="2">
        <v>1</v>
      </c>
      <c r="BL1609" s="2">
        <v>45.93</v>
      </c>
      <c r="BM1609" s="2">
        <v>6.43</v>
      </c>
      <c r="BN1609" s="2">
        <v>52.36</v>
      </c>
      <c r="BO1609" s="2">
        <v>52.36</v>
      </c>
      <c r="BR1609" s="2" t="s">
        <v>103</v>
      </c>
      <c r="BS1609" s="3">
        <v>43082</v>
      </c>
      <c r="BT1609" s="4">
        <v>0.41666666666666669</v>
      </c>
      <c r="BU1609" s="2" t="s">
        <v>2056</v>
      </c>
      <c r="BV1609" s="2" t="s">
        <v>85</v>
      </c>
      <c r="BY1609" s="2">
        <v>1200</v>
      </c>
      <c r="BZ1609" s="2" t="s">
        <v>27</v>
      </c>
      <c r="CC1609" s="2" t="s">
        <v>174</v>
      </c>
      <c r="CD1609" s="2">
        <v>8001</v>
      </c>
      <c r="CE1609" s="2" t="s">
        <v>383</v>
      </c>
      <c r="CF1609" s="3">
        <v>43083</v>
      </c>
      <c r="CI1609" s="2">
        <v>1</v>
      </c>
      <c r="CJ1609" s="2">
        <v>1</v>
      </c>
      <c r="CK1609" s="2">
        <v>21</v>
      </c>
      <c r="CL1609" s="2" t="s">
        <v>89</v>
      </c>
    </row>
    <row r="1610" spans="1:90">
      <c r="A1610" s="2" t="s">
        <v>71</v>
      </c>
      <c r="B1610" s="2" t="s">
        <v>72</v>
      </c>
      <c r="C1610" s="2" t="s">
        <v>73</v>
      </c>
      <c r="E1610" s="2" t="str">
        <f>"FES1162594973"</f>
        <v>FES1162594973</v>
      </c>
      <c r="F1610" s="3">
        <v>43081</v>
      </c>
      <c r="G1610" s="2">
        <v>201806</v>
      </c>
      <c r="H1610" s="2" t="s">
        <v>74</v>
      </c>
      <c r="I1610" s="2" t="s">
        <v>75</v>
      </c>
      <c r="J1610" s="2" t="s">
        <v>97</v>
      </c>
      <c r="K1610" s="2" t="s">
        <v>77</v>
      </c>
      <c r="L1610" s="2" t="s">
        <v>74</v>
      </c>
      <c r="M1610" s="2" t="s">
        <v>75</v>
      </c>
      <c r="N1610" s="2" t="s">
        <v>396</v>
      </c>
      <c r="O1610" s="2" t="s">
        <v>101</v>
      </c>
      <c r="P1610" s="2" t="str">
        <f>"2170606863                    "</f>
        <v xml:space="preserve">2170606863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5.03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35.89</v>
      </c>
      <c r="BM1610" s="2">
        <v>5.0199999999999996</v>
      </c>
      <c r="BN1610" s="2">
        <v>40.909999999999997</v>
      </c>
      <c r="BO1610" s="2">
        <v>40.909999999999997</v>
      </c>
      <c r="BQ1610" s="2" t="s">
        <v>102</v>
      </c>
      <c r="BR1610" s="2" t="s">
        <v>103</v>
      </c>
      <c r="BS1610" s="3">
        <v>43082</v>
      </c>
      <c r="BT1610" s="4">
        <v>0.39999999999999997</v>
      </c>
      <c r="BU1610" s="2" t="s">
        <v>397</v>
      </c>
      <c r="BV1610" s="2" t="s">
        <v>85</v>
      </c>
      <c r="BY1610" s="2">
        <v>1200</v>
      </c>
      <c r="BZ1610" s="2" t="s">
        <v>27</v>
      </c>
      <c r="CA1610" s="2" t="s">
        <v>355</v>
      </c>
      <c r="CC1610" s="2" t="s">
        <v>75</v>
      </c>
      <c r="CD1610" s="2">
        <v>1600</v>
      </c>
      <c r="CE1610" s="2" t="s">
        <v>120</v>
      </c>
      <c r="CF1610" s="3">
        <v>43083</v>
      </c>
      <c r="CI1610" s="2">
        <v>1</v>
      </c>
      <c r="CJ1610" s="2">
        <v>1</v>
      </c>
      <c r="CK1610" s="2">
        <v>22</v>
      </c>
      <c r="CL1610" s="2" t="s">
        <v>89</v>
      </c>
    </row>
    <row r="1611" spans="1:90">
      <c r="A1611" s="2" t="s">
        <v>71</v>
      </c>
      <c r="B1611" s="2" t="s">
        <v>72</v>
      </c>
      <c r="C1611" s="2" t="s">
        <v>73</v>
      </c>
      <c r="E1611" s="2" t="str">
        <f>"FES1162594602"</f>
        <v>FES1162594602</v>
      </c>
      <c r="F1611" s="3">
        <v>43081</v>
      </c>
      <c r="G1611" s="2">
        <v>201806</v>
      </c>
      <c r="H1611" s="2" t="s">
        <v>74</v>
      </c>
      <c r="I1611" s="2" t="s">
        <v>75</v>
      </c>
      <c r="J1611" s="2" t="s">
        <v>97</v>
      </c>
      <c r="K1611" s="2" t="s">
        <v>77</v>
      </c>
      <c r="L1611" s="2" t="s">
        <v>547</v>
      </c>
      <c r="M1611" s="2" t="s">
        <v>548</v>
      </c>
      <c r="N1611" s="2" t="s">
        <v>922</v>
      </c>
      <c r="O1611" s="2" t="s">
        <v>101</v>
      </c>
      <c r="P1611" s="2" t="str">
        <f>"217065740                     "</f>
        <v xml:space="preserve">217065740 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5.03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</v>
      </c>
      <c r="BJ1611" s="2">
        <v>0.2</v>
      </c>
      <c r="BK1611" s="2">
        <v>1</v>
      </c>
      <c r="BL1611" s="2">
        <v>35.89</v>
      </c>
      <c r="BM1611" s="2">
        <v>5.0199999999999996</v>
      </c>
      <c r="BN1611" s="2">
        <v>40.909999999999997</v>
      </c>
      <c r="BO1611" s="2">
        <v>40.909999999999997</v>
      </c>
      <c r="BQ1611" s="2" t="s">
        <v>1794</v>
      </c>
      <c r="BR1611" s="2" t="s">
        <v>103</v>
      </c>
      <c r="BS1611" s="3">
        <v>43082</v>
      </c>
      <c r="BT1611" s="4">
        <v>0.30694444444444441</v>
      </c>
      <c r="BU1611" s="2" t="s">
        <v>998</v>
      </c>
      <c r="BV1611" s="2" t="s">
        <v>85</v>
      </c>
      <c r="BY1611" s="2">
        <v>1200</v>
      </c>
      <c r="BZ1611" s="2" t="s">
        <v>27</v>
      </c>
      <c r="CA1611" s="2" t="s">
        <v>119</v>
      </c>
      <c r="CC1611" s="2" t="s">
        <v>548</v>
      </c>
      <c r="CD1611" s="2">
        <v>1500</v>
      </c>
      <c r="CE1611" s="2" t="s">
        <v>120</v>
      </c>
      <c r="CF1611" s="3">
        <v>43083</v>
      </c>
      <c r="CI1611" s="2">
        <v>1</v>
      </c>
      <c r="CJ1611" s="2">
        <v>1</v>
      </c>
      <c r="CK1611" s="2">
        <v>22</v>
      </c>
      <c r="CL1611" s="2" t="s">
        <v>89</v>
      </c>
    </row>
    <row r="1612" spans="1:90">
      <c r="A1612" s="2" t="s">
        <v>71</v>
      </c>
      <c r="B1612" s="2" t="s">
        <v>72</v>
      </c>
      <c r="C1612" s="2" t="s">
        <v>73</v>
      </c>
      <c r="E1612" s="2" t="str">
        <f>"FES1162595123"</f>
        <v>FES1162595123</v>
      </c>
      <c r="F1612" s="3">
        <v>43081</v>
      </c>
      <c r="G1612" s="2">
        <v>201806</v>
      </c>
      <c r="H1612" s="2" t="s">
        <v>74</v>
      </c>
      <c r="I1612" s="2" t="s">
        <v>75</v>
      </c>
      <c r="J1612" s="2" t="s">
        <v>97</v>
      </c>
      <c r="K1612" s="2" t="s">
        <v>77</v>
      </c>
      <c r="L1612" s="2" t="s">
        <v>106</v>
      </c>
      <c r="M1612" s="2" t="s">
        <v>107</v>
      </c>
      <c r="N1612" s="2" t="s">
        <v>1464</v>
      </c>
      <c r="O1612" s="2" t="s">
        <v>101</v>
      </c>
      <c r="P1612" s="2" t="str">
        <f>"2170607026                    "</f>
        <v xml:space="preserve">2170607026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5.03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35.89</v>
      </c>
      <c r="BM1612" s="2">
        <v>5.0199999999999996</v>
      </c>
      <c r="BN1612" s="2">
        <v>40.909999999999997</v>
      </c>
      <c r="BO1612" s="2">
        <v>40.909999999999997</v>
      </c>
      <c r="BQ1612" s="2" t="s">
        <v>102</v>
      </c>
      <c r="BR1612" s="2" t="s">
        <v>103</v>
      </c>
      <c r="BS1612" s="2" t="s">
        <v>185</v>
      </c>
      <c r="BY1612" s="2">
        <v>1200</v>
      </c>
      <c r="BZ1612" s="2" t="s">
        <v>27</v>
      </c>
      <c r="CC1612" s="2" t="s">
        <v>107</v>
      </c>
      <c r="CD1612" s="2">
        <v>2091</v>
      </c>
      <c r="CE1612" s="2" t="s">
        <v>120</v>
      </c>
      <c r="CI1612" s="2">
        <v>1</v>
      </c>
      <c r="CJ1612" s="2" t="s">
        <v>185</v>
      </c>
      <c r="CK1612" s="2">
        <v>22</v>
      </c>
      <c r="CL1612" s="2" t="s">
        <v>89</v>
      </c>
    </row>
    <row r="1613" spans="1:90">
      <c r="A1613" s="2" t="s">
        <v>71</v>
      </c>
      <c r="B1613" s="2" t="s">
        <v>72</v>
      </c>
      <c r="C1613" s="2" t="s">
        <v>73</v>
      </c>
      <c r="E1613" s="2" t="str">
        <f>"FES1162595030"</f>
        <v>FES1162595030</v>
      </c>
      <c r="F1613" s="3">
        <v>43081</v>
      </c>
      <c r="G1613" s="2">
        <v>201806</v>
      </c>
      <c r="H1613" s="2" t="s">
        <v>74</v>
      </c>
      <c r="I1613" s="2" t="s">
        <v>75</v>
      </c>
      <c r="J1613" s="2" t="s">
        <v>97</v>
      </c>
      <c r="K1613" s="2" t="s">
        <v>77</v>
      </c>
      <c r="L1613" s="2" t="s">
        <v>106</v>
      </c>
      <c r="M1613" s="2" t="s">
        <v>107</v>
      </c>
      <c r="N1613" s="2" t="s">
        <v>108</v>
      </c>
      <c r="O1613" s="2" t="s">
        <v>101</v>
      </c>
      <c r="P1613" s="2" t="str">
        <f>"2170606954                    "</f>
        <v xml:space="preserve">2170606954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5.03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0.2</v>
      </c>
      <c r="BK1613" s="2">
        <v>1</v>
      </c>
      <c r="BL1613" s="2">
        <v>35.89</v>
      </c>
      <c r="BM1613" s="2">
        <v>5.0199999999999996</v>
      </c>
      <c r="BN1613" s="2">
        <v>40.909999999999997</v>
      </c>
      <c r="BO1613" s="2">
        <v>40.909999999999997</v>
      </c>
      <c r="BQ1613" s="2" t="s">
        <v>82</v>
      </c>
      <c r="BR1613" s="2" t="s">
        <v>103</v>
      </c>
      <c r="BS1613" s="3">
        <v>43082</v>
      </c>
      <c r="BT1613" s="4">
        <v>0.3888888888888889</v>
      </c>
      <c r="BU1613" s="2" t="s">
        <v>109</v>
      </c>
      <c r="BV1613" s="2" t="s">
        <v>85</v>
      </c>
      <c r="BY1613" s="2">
        <v>1200</v>
      </c>
      <c r="BZ1613" s="2" t="s">
        <v>27</v>
      </c>
      <c r="CA1613" s="2" t="s">
        <v>110</v>
      </c>
      <c r="CC1613" s="2" t="s">
        <v>107</v>
      </c>
      <c r="CD1613" s="2">
        <v>2094</v>
      </c>
      <c r="CE1613" s="2" t="s">
        <v>120</v>
      </c>
      <c r="CF1613" s="3">
        <v>43083</v>
      </c>
      <c r="CI1613" s="2">
        <v>1</v>
      </c>
      <c r="CJ1613" s="2">
        <v>1</v>
      </c>
      <c r="CK1613" s="2">
        <v>22</v>
      </c>
      <c r="CL1613" s="2" t="s">
        <v>89</v>
      </c>
    </row>
    <row r="1614" spans="1:90">
      <c r="A1614" s="2" t="s">
        <v>71</v>
      </c>
      <c r="B1614" s="2" t="s">
        <v>72</v>
      </c>
      <c r="C1614" s="2" t="s">
        <v>73</v>
      </c>
      <c r="E1614" s="2" t="str">
        <f>"FES1162594633"</f>
        <v>FES1162594633</v>
      </c>
      <c r="F1614" s="3">
        <v>43081</v>
      </c>
      <c r="G1614" s="2">
        <v>201806</v>
      </c>
      <c r="H1614" s="2" t="s">
        <v>74</v>
      </c>
      <c r="I1614" s="2" t="s">
        <v>75</v>
      </c>
      <c r="J1614" s="2" t="s">
        <v>97</v>
      </c>
      <c r="K1614" s="2" t="s">
        <v>77</v>
      </c>
      <c r="L1614" s="2" t="s">
        <v>152</v>
      </c>
      <c r="M1614" s="2" t="s">
        <v>153</v>
      </c>
      <c r="N1614" s="2" t="s">
        <v>1447</v>
      </c>
      <c r="O1614" s="2" t="s">
        <v>101</v>
      </c>
      <c r="P1614" s="2" t="str">
        <f>"2170606475                    "</f>
        <v xml:space="preserve">2170606475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5.03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35.89</v>
      </c>
      <c r="BM1614" s="2">
        <v>5.0199999999999996</v>
      </c>
      <c r="BN1614" s="2">
        <v>40.909999999999997</v>
      </c>
      <c r="BO1614" s="2">
        <v>40.909999999999997</v>
      </c>
      <c r="BQ1614" s="2" t="s">
        <v>1448</v>
      </c>
      <c r="BR1614" s="2" t="s">
        <v>103</v>
      </c>
      <c r="BS1614" s="3">
        <v>43082</v>
      </c>
      <c r="BT1614" s="4">
        <v>0.3979166666666667</v>
      </c>
      <c r="BU1614" s="2" t="s">
        <v>1449</v>
      </c>
      <c r="BV1614" s="2" t="s">
        <v>85</v>
      </c>
      <c r="BY1614" s="2">
        <v>1200</v>
      </c>
      <c r="BZ1614" s="2" t="s">
        <v>27</v>
      </c>
      <c r="CA1614" s="2" t="s">
        <v>337</v>
      </c>
      <c r="CC1614" s="2" t="s">
        <v>153</v>
      </c>
      <c r="CD1614" s="2">
        <v>1401</v>
      </c>
      <c r="CE1614" s="2" t="s">
        <v>120</v>
      </c>
      <c r="CF1614" s="3">
        <v>43083</v>
      </c>
      <c r="CI1614" s="2">
        <v>1</v>
      </c>
      <c r="CJ1614" s="2">
        <v>1</v>
      </c>
      <c r="CK1614" s="2">
        <v>22</v>
      </c>
      <c r="CL1614" s="2" t="s">
        <v>89</v>
      </c>
    </row>
    <row r="1615" spans="1:90">
      <c r="A1615" s="2" t="s">
        <v>71</v>
      </c>
      <c r="B1615" s="2" t="s">
        <v>72</v>
      </c>
      <c r="C1615" s="2" t="s">
        <v>73</v>
      </c>
      <c r="E1615" s="2" t="str">
        <f>"039902635608"</f>
        <v>039902635608</v>
      </c>
      <c r="F1615" s="3">
        <v>43080</v>
      </c>
      <c r="G1615" s="2">
        <v>201806</v>
      </c>
      <c r="H1615" s="2" t="s">
        <v>136</v>
      </c>
      <c r="I1615" s="2" t="s">
        <v>137</v>
      </c>
      <c r="J1615" s="2" t="s">
        <v>2057</v>
      </c>
      <c r="K1615" s="2" t="s">
        <v>77</v>
      </c>
      <c r="L1615" s="2" t="s">
        <v>74</v>
      </c>
      <c r="M1615" s="2" t="s">
        <v>75</v>
      </c>
      <c r="N1615" s="2" t="s">
        <v>76</v>
      </c>
      <c r="O1615" s="2" t="s">
        <v>101</v>
      </c>
      <c r="P1615" s="2" t="str">
        <f>"                              "</f>
        <v xml:space="preserve">          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9.65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3</v>
      </c>
      <c r="BJ1615" s="2">
        <v>2.5</v>
      </c>
      <c r="BK1615" s="2">
        <v>3</v>
      </c>
      <c r="BL1615" s="2">
        <v>68.89</v>
      </c>
      <c r="BM1615" s="2">
        <v>9.64</v>
      </c>
      <c r="BN1615" s="2">
        <v>78.53</v>
      </c>
      <c r="BO1615" s="2">
        <v>78.53</v>
      </c>
      <c r="BP1615" s="2">
        <v>39902657735</v>
      </c>
      <c r="BR1615" s="2" t="s">
        <v>2058</v>
      </c>
      <c r="BS1615" s="3">
        <v>43081</v>
      </c>
      <c r="BT1615" s="4">
        <v>0.44513888888888892</v>
      </c>
      <c r="BU1615" s="2" t="s">
        <v>375</v>
      </c>
      <c r="BV1615" s="2" t="s">
        <v>85</v>
      </c>
      <c r="BY1615" s="2">
        <v>12288</v>
      </c>
      <c r="BZ1615" s="2" t="s">
        <v>27</v>
      </c>
      <c r="CA1615" s="2" t="s">
        <v>366</v>
      </c>
      <c r="CC1615" s="2" t="s">
        <v>75</v>
      </c>
      <c r="CD1615" s="2">
        <v>1600</v>
      </c>
      <c r="CE1615" s="2" t="s">
        <v>95</v>
      </c>
      <c r="CF1615" s="3">
        <v>43083</v>
      </c>
      <c r="CI1615" s="2">
        <v>1</v>
      </c>
      <c r="CJ1615" s="2">
        <v>1</v>
      </c>
      <c r="CK1615" s="2">
        <v>21</v>
      </c>
      <c r="CL1615" s="2" t="s">
        <v>89</v>
      </c>
    </row>
    <row r="1616" spans="1:90">
      <c r="A1616" s="2" t="s">
        <v>71</v>
      </c>
      <c r="B1616" s="2" t="s">
        <v>72</v>
      </c>
      <c r="C1616" s="2" t="s">
        <v>73</v>
      </c>
      <c r="E1616" s="2" t="str">
        <f>"019911052817"</f>
        <v>019911052817</v>
      </c>
      <c r="F1616" s="3">
        <v>43081</v>
      </c>
      <c r="G1616" s="2">
        <v>201806</v>
      </c>
      <c r="H1616" s="2" t="s">
        <v>173</v>
      </c>
      <c r="I1616" s="2" t="s">
        <v>174</v>
      </c>
      <c r="J1616" s="2" t="s">
        <v>76</v>
      </c>
      <c r="K1616" s="2" t="s">
        <v>77</v>
      </c>
      <c r="L1616" s="2" t="s">
        <v>74</v>
      </c>
      <c r="M1616" s="2" t="s">
        <v>75</v>
      </c>
      <c r="N1616" s="2" t="s">
        <v>1722</v>
      </c>
      <c r="O1616" s="2" t="s">
        <v>101</v>
      </c>
      <c r="P1616" s="2" t="str">
        <f>"NA                            "</f>
        <v xml:space="preserve">NA        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6.43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</v>
      </c>
      <c r="BJ1616" s="2">
        <v>0.2</v>
      </c>
      <c r="BK1616" s="2">
        <v>1</v>
      </c>
      <c r="BL1616" s="2">
        <v>45.93</v>
      </c>
      <c r="BM1616" s="2">
        <v>6.43</v>
      </c>
      <c r="BN1616" s="2">
        <v>52.36</v>
      </c>
      <c r="BO1616" s="2">
        <v>52.36</v>
      </c>
      <c r="BQ1616" s="2" t="s">
        <v>2059</v>
      </c>
      <c r="BS1616" s="3">
        <v>43082</v>
      </c>
      <c r="BT1616" s="4">
        <v>0.375</v>
      </c>
      <c r="BU1616" s="2" t="s">
        <v>1724</v>
      </c>
      <c r="BV1616" s="2" t="s">
        <v>85</v>
      </c>
      <c r="BY1616" s="2">
        <v>1200</v>
      </c>
      <c r="BZ1616" s="2" t="s">
        <v>27</v>
      </c>
      <c r="CA1616" s="2" t="s">
        <v>366</v>
      </c>
      <c r="CC1616" s="2" t="s">
        <v>75</v>
      </c>
      <c r="CD1616" s="2">
        <v>1600</v>
      </c>
      <c r="CE1616" s="2" t="s">
        <v>95</v>
      </c>
      <c r="CF1616" s="3">
        <v>43083</v>
      </c>
      <c r="CI1616" s="2">
        <v>1</v>
      </c>
      <c r="CJ1616" s="2">
        <v>1</v>
      </c>
      <c r="CK1616" s="2">
        <v>21</v>
      </c>
      <c r="CL1616" s="2" t="s">
        <v>89</v>
      </c>
    </row>
    <row r="1617" spans="1:90">
      <c r="A1617" s="2" t="s">
        <v>71</v>
      </c>
      <c r="B1617" s="2" t="s">
        <v>72</v>
      </c>
      <c r="C1617" s="2" t="s">
        <v>73</v>
      </c>
      <c r="E1617" s="2" t="str">
        <f>"019911052818"</f>
        <v>019911052818</v>
      </c>
      <c r="F1617" s="3">
        <v>43081</v>
      </c>
      <c r="G1617" s="2">
        <v>201806</v>
      </c>
      <c r="H1617" s="2" t="s">
        <v>173</v>
      </c>
      <c r="I1617" s="2" t="s">
        <v>174</v>
      </c>
      <c r="J1617" s="2" t="s">
        <v>76</v>
      </c>
      <c r="K1617" s="2" t="s">
        <v>77</v>
      </c>
      <c r="L1617" s="2" t="s">
        <v>74</v>
      </c>
      <c r="M1617" s="2" t="s">
        <v>75</v>
      </c>
      <c r="N1617" s="2" t="s">
        <v>1722</v>
      </c>
      <c r="O1617" s="2" t="s">
        <v>101</v>
      </c>
      <c r="P1617" s="2" t="str">
        <f>"NA                            "</f>
        <v xml:space="preserve">NA        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17.690000000000001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5.5</v>
      </c>
      <c r="BJ1617" s="2">
        <v>2</v>
      </c>
      <c r="BK1617" s="2">
        <v>5.5</v>
      </c>
      <c r="BL1617" s="2">
        <v>126.28</v>
      </c>
      <c r="BM1617" s="2">
        <v>17.68</v>
      </c>
      <c r="BN1617" s="2">
        <v>143.96</v>
      </c>
      <c r="BO1617" s="2">
        <v>143.96</v>
      </c>
      <c r="BQ1617" s="2" t="s">
        <v>1723</v>
      </c>
      <c r="BS1617" s="3">
        <v>43082</v>
      </c>
      <c r="BT1617" s="4">
        <v>0.375</v>
      </c>
      <c r="BU1617" s="2" t="s">
        <v>2060</v>
      </c>
      <c r="BV1617" s="2" t="s">
        <v>85</v>
      </c>
      <c r="BY1617" s="2">
        <v>10224.23</v>
      </c>
      <c r="BZ1617" s="2" t="s">
        <v>27</v>
      </c>
      <c r="CA1617" s="2" t="s">
        <v>366</v>
      </c>
      <c r="CC1617" s="2" t="s">
        <v>75</v>
      </c>
      <c r="CD1617" s="2">
        <v>1600</v>
      </c>
      <c r="CE1617" s="2" t="s">
        <v>95</v>
      </c>
      <c r="CF1617" s="3">
        <v>43083</v>
      </c>
      <c r="CI1617" s="2">
        <v>1</v>
      </c>
      <c r="CJ1617" s="2">
        <v>1</v>
      </c>
      <c r="CK1617" s="2">
        <v>21</v>
      </c>
      <c r="CL1617" s="2" t="s">
        <v>89</v>
      </c>
    </row>
    <row r="1618" spans="1:90">
      <c r="A1618" s="2" t="s">
        <v>71</v>
      </c>
      <c r="B1618" s="2" t="s">
        <v>72</v>
      </c>
      <c r="C1618" s="2" t="s">
        <v>73</v>
      </c>
      <c r="E1618" s="2" t="str">
        <f>"FES1162595369"</f>
        <v>FES1162595369</v>
      </c>
      <c r="F1618" s="3">
        <v>43081</v>
      </c>
      <c r="G1618" s="2">
        <v>201806</v>
      </c>
      <c r="H1618" s="2" t="s">
        <v>74</v>
      </c>
      <c r="I1618" s="2" t="s">
        <v>75</v>
      </c>
      <c r="J1618" s="2" t="s">
        <v>97</v>
      </c>
      <c r="K1618" s="2" t="s">
        <v>77</v>
      </c>
      <c r="L1618" s="2" t="s">
        <v>106</v>
      </c>
      <c r="M1618" s="2" t="s">
        <v>107</v>
      </c>
      <c r="N1618" s="2" t="s">
        <v>1994</v>
      </c>
      <c r="O1618" s="2" t="s">
        <v>101</v>
      </c>
      <c r="P1618" s="2" t="str">
        <f>"2170607131                    "</f>
        <v xml:space="preserve">2170607131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5.03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1</v>
      </c>
      <c r="BJ1618" s="2">
        <v>0.2</v>
      </c>
      <c r="BK1618" s="2">
        <v>1</v>
      </c>
      <c r="BL1618" s="2">
        <v>35.89</v>
      </c>
      <c r="BM1618" s="2">
        <v>5.0199999999999996</v>
      </c>
      <c r="BN1618" s="2">
        <v>40.909999999999997</v>
      </c>
      <c r="BO1618" s="2">
        <v>40.909999999999997</v>
      </c>
      <c r="BR1618" s="2" t="s">
        <v>103</v>
      </c>
      <c r="BS1618" s="3">
        <v>43082</v>
      </c>
      <c r="BT1618" s="4">
        <v>0.51597222222222217</v>
      </c>
      <c r="BU1618" s="2" t="s">
        <v>1995</v>
      </c>
      <c r="BV1618" s="2" t="s">
        <v>89</v>
      </c>
      <c r="BW1618" s="2" t="s">
        <v>156</v>
      </c>
      <c r="BX1618" s="2" t="s">
        <v>157</v>
      </c>
      <c r="BY1618" s="2">
        <v>1200</v>
      </c>
      <c r="BZ1618" s="2" t="s">
        <v>27</v>
      </c>
      <c r="CA1618" s="2" t="s">
        <v>94</v>
      </c>
      <c r="CC1618" s="2" t="s">
        <v>107</v>
      </c>
      <c r="CD1618" s="2">
        <v>2013</v>
      </c>
      <c r="CE1618" s="2" t="s">
        <v>120</v>
      </c>
      <c r="CF1618" s="3">
        <v>43083</v>
      </c>
      <c r="CI1618" s="2">
        <v>1</v>
      </c>
      <c r="CJ1618" s="2">
        <v>1</v>
      </c>
      <c r="CK1618" s="2">
        <v>22</v>
      </c>
      <c r="CL1618" s="2" t="s">
        <v>89</v>
      </c>
    </row>
    <row r="1619" spans="1:90">
      <c r="A1619" s="2" t="s">
        <v>71</v>
      </c>
      <c r="B1619" s="2" t="s">
        <v>72</v>
      </c>
      <c r="C1619" s="2" t="s">
        <v>73</v>
      </c>
      <c r="E1619" s="2" t="str">
        <f>"FES1162595204"</f>
        <v>FES1162595204</v>
      </c>
      <c r="F1619" s="3">
        <v>43081</v>
      </c>
      <c r="G1619" s="2">
        <v>201806</v>
      </c>
      <c r="H1619" s="2" t="s">
        <v>74</v>
      </c>
      <c r="I1619" s="2" t="s">
        <v>75</v>
      </c>
      <c r="J1619" s="2" t="s">
        <v>97</v>
      </c>
      <c r="K1619" s="2" t="s">
        <v>77</v>
      </c>
      <c r="L1619" s="2" t="s">
        <v>152</v>
      </c>
      <c r="M1619" s="2" t="s">
        <v>153</v>
      </c>
      <c r="N1619" s="2" t="s">
        <v>603</v>
      </c>
      <c r="O1619" s="2" t="s">
        <v>101</v>
      </c>
      <c r="P1619" s="2" t="str">
        <f>"2170606850                    "</f>
        <v xml:space="preserve">2170606850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5.03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3</v>
      </c>
      <c r="BJ1619" s="2">
        <v>1.2</v>
      </c>
      <c r="BK1619" s="2">
        <v>3</v>
      </c>
      <c r="BL1619" s="2">
        <v>35.89</v>
      </c>
      <c r="BM1619" s="2">
        <v>5.0199999999999996</v>
      </c>
      <c r="BN1619" s="2">
        <v>40.909999999999997</v>
      </c>
      <c r="BO1619" s="2">
        <v>40.909999999999997</v>
      </c>
      <c r="BQ1619" s="2" t="s">
        <v>82</v>
      </c>
      <c r="BR1619" s="2" t="s">
        <v>103</v>
      </c>
      <c r="BS1619" s="3">
        <v>43082</v>
      </c>
      <c r="BT1619" s="4">
        <v>0.71875</v>
      </c>
      <c r="BU1619" s="2" t="s">
        <v>1950</v>
      </c>
      <c r="BV1619" s="2" t="s">
        <v>89</v>
      </c>
      <c r="BW1619" s="2" t="s">
        <v>156</v>
      </c>
      <c r="BX1619" s="2" t="s">
        <v>157</v>
      </c>
      <c r="BY1619" s="2">
        <v>5900</v>
      </c>
      <c r="BZ1619" s="2" t="s">
        <v>27</v>
      </c>
      <c r="CA1619" s="2" t="s">
        <v>1292</v>
      </c>
      <c r="CC1619" s="2" t="s">
        <v>153</v>
      </c>
      <c r="CD1619" s="2">
        <v>1422</v>
      </c>
      <c r="CE1619" s="2" t="s">
        <v>95</v>
      </c>
      <c r="CF1619" s="3">
        <v>43084</v>
      </c>
      <c r="CI1619" s="2">
        <v>1</v>
      </c>
      <c r="CJ1619" s="2">
        <v>1</v>
      </c>
      <c r="CK1619" s="2">
        <v>22</v>
      </c>
      <c r="CL1619" s="2" t="s">
        <v>89</v>
      </c>
    </row>
    <row r="1620" spans="1:90">
      <c r="A1620" s="2" t="s">
        <v>71</v>
      </c>
      <c r="B1620" s="2" t="s">
        <v>72</v>
      </c>
      <c r="C1620" s="2" t="s">
        <v>73</v>
      </c>
      <c r="E1620" s="2" t="str">
        <f>"FES1162595264"</f>
        <v>FES1162595264</v>
      </c>
      <c r="F1620" s="3">
        <v>43081</v>
      </c>
      <c r="G1620" s="2">
        <v>201806</v>
      </c>
      <c r="H1620" s="2" t="s">
        <v>74</v>
      </c>
      <c r="I1620" s="2" t="s">
        <v>75</v>
      </c>
      <c r="J1620" s="2" t="s">
        <v>97</v>
      </c>
      <c r="K1620" s="2" t="s">
        <v>77</v>
      </c>
      <c r="L1620" s="2" t="s">
        <v>152</v>
      </c>
      <c r="M1620" s="2" t="s">
        <v>153</v>
      </c>
      <c r="N1620" s="2" t="s">
        <v>725</v>
      </c>
      <c r="O1620" s="2" t="s">
        <v>101</v>
      </c>
      <c r="P1620" s="2" t="str">
        <f>"2170605607                    "</f>
        <v xml:space="preserve">2170605607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5.03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35.89</v>
      </c>
      <c r="BM1620" s="2">
        <v>5.0199999999999996</v>
      </c>
      <c r="BN1620" s="2">
        <v>40.909999999999997</v>
      </c>
      <c r="BO1620" s="2">
        <v>40.909999999999997</v>
      </c>
      <c r="BQ1620" s="2" t="s">
        <v>102</v>
      </c>
      <c r="BR1620" s="2" t="s">
        <v>103</v>
      </c>
      <c r="BS1620" s="3">
        <v>43082</v>
      </c>
      <c r="BT1620" s="4">
        <v>0.71527777777777779</v>
      </c>
      <c r="BU1620" s="2" t="s">
        <v>1573</v>
      </c>
      <c r="BV1620" s="2" t="s">
        <v>89</v>
      </c>
      <c r="BW1620" s="2" t="s">
        <v>156</v>
      </c>
      <c r="BX1620" s="2" t="s">
        <v>157</v>
      </c>
      <c r="BY1620" s="2">
        <v>1200</v>
      </c>
      <c r="BZ1620" s="2" t="s">
        <v>27</v>
      </c>
      <c r="CA1620" s="2" t="s">
        <v>1292</v>
      </c>
      <c r="CC1620" s="2" t="s">
        <v>153</v>
      </c>
      <c r="CD1620" s="2">
        <v>1428</v>
      </c>
      <c r="CE1620" s="2" t="s">
        <v>120</v>
      </c>
      <c r="CF1620" s="3">
        <v>43084</v>
      </c>
      <c r="CI1620" s="2">
        <v>1</v>
      </c>
      <c r="CJ1620" s="2">
        <v>1</v>
      </c>
      <c r="CK1620" s="2">
        <v>22</v>
      </c>
      <c r="CL1620" s="2" t="s">
        <v>89</v>
      </c>
    </row>
    <row r="1621" spans="1:90">
      <c r="A1621" s="2" t="s">
        <v>71</v>
      </c>
      <c r="B1621" s="2" t="s">
        <v>72</v>
      </c>
      <c r="C1621" s="2" t="s">
        <v>73</v>
      </c>
      <c r="E1621" s="2" t="str">
        <f>"FES1162595373"</f>
        <v>FES1162595373</v>
      </c>
      <c r="F1621" s="3">
        <v>43081</v>
      </c>
      <c r="G1621" s="2">
        <v>201806</v>
      </c>
      <c r="H1621" s="2" t="s">
        <v>74</v>
      </c>
      <c r="I1621" s="2" t="s">
        <v>75</v>
      </c>
      <c r="J1621" s="2" t="s">
        <v>97</v>
      </c>
      <c r="K1621" s="2" t="s">
        <v>77</v>
      </c>
      <c r="L1621" s="2" t="s">
        <v>262</v>
      </c>
      <c r="M1621" s="2" t="s">
        <v>263</v>
      </c>
      <c r="N1621" s="2" t="s">
        <v>1567</v>
      </c>
      <c r="O1621" s="2" t="s">
        <v>101</v>
      </c>
      <c r="P1621" s="2" t="str">
        <f>"2170607227                    "</f>
        <v xml:space="preserve">2170607227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6.43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1</v>
      </c>
      <c r="BJ1621" s="2">
        <v>0.2</v>
      </c>
      <c r="BK1621" s="2">
        <v>1</v>
      </c>
      <c r="BL1621" s="2">
        <v>45.93</v>
      </c>
      <c r="BM1621" s="2">
        <v>6.43</v>
      </c>
      <c r="BN1621" s="2">
        <v>52.36</v>
      </c>
      <c r="BO1621" s="2">
        <v>52.36</v>
      </c>
      <c r="BQ1621" s="2" t="s">
        <v>128</v>
      </c>
      <c r="BR1621" s="2" t="s">
        <v>103</v>
      </c>
      <c r="BS1621" s="3">
        <v>43082</v>
      </c>
      <c r="BT1621" s="4">
        <v>0.47916666666666669</v>
      </c>
      <c r="BU1621" s="2" t="s">
        <v>2061</v>
      </c>
      <c r="BV1621" s="2" t="s">
        <v>89</v>
      </c>
      <c r="BW1621" s="2" t="s">
        <v>313</v>
      </c>
      <c r="BX1621" s="2" t="s">
        <v>314</v>
      </c>
      <c r="BY1621" s="2">
        <v>1200</v>
      </c>
      <c r="BZ1621" s="2" t="s">
        <v>27</v>
      </c>
      <c r="CA1621" s="2" t="s">
        <v>2062</v>
      </c>
      <c r="CC1621" s="2" t="s">
        <v>263</v>
      </c>
      <c r="CD1621" s="2">
        <v>6229</v>
      </c>
      <c r="CE1621" s="2" t="s">
        <v>383</v>
      </c>
      <c r="CF1621" s="3">
        <v>43084</v>
      </c>
      <c r="CI1621" s="2">
        <v>1</v>
      </c>
      <c r="CJ1621" s="2">
        <v>1</v>
      </c>
      <c r="CK1621" s="2">
        <v>21</v>
      </c>
      <c r="CL1621" s="2" t="s">
        <v>89</v>
      </c>
    </row>
    <row r="1622" spans="1:90">
      <c r="A1622" s="2" t="s">
        <v>71</v>
      </c>
      <c r="B1622" s="2" t="s">
        <v>72</v>
      </c>
      <c r="C1622" s="2" t="s">
        <v>73</v>
      </c>
      <c r="E1622" s="2" t="str">
        <f>"FES1162595362"</f>
        <v>FES1162595362</v>
      </c>
      <c r="F1622" s="3">
        <v>43081</v>
      </c>
      <c r="G1622" s="2">
        <v>201806</v>
      </c>
      <c r="H1622" s="2" t="s">
        <v>74</v>
      </c>
      <c r="I1622" s="2" t="s">
        <v>75</v>
      </c>
      <c r="J1622" s="2" t="s">
        <v>97</v>
      </c>
      <c r="K1622" s="2" t="s">
        <v>77</v>
      </c>
      <c r="L1622" s="2" t="s">
        <v>136</v>
      </c>
      <c r="M1622" s="2" t="s">
        <v>137</v>
      </c>
      <c r="N1622" s="2" t="s">
        <v>1042</v>
      </c>
      <c r="O1622" s="2" t="s">
        <v>101</v>
      </c>
      <c r="P1622" s="2" t="str">
        <f>"2170606295                    "</f>
        <v xml:space="preserve">2170606295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6.43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1</v>
      </c>
      <c r="BJ1622" s="2">
        <v>0.2</v>
      </c>
      <c r="BK1622" s="2">
        <v>1</v>
      </c>
      <c r="BL1622" s="2">
        <v>45.93</v>
      </c>
      <c r="BM1622" s="2">
        <v>6.43</v>
      </c>
      <c r="BN1622" s="2">
        <v>52.36</v>
      </c>
      <c r="BO1622" s="2">
        <v>52.36</v>
      </c>
      <c r="BQ1622" s="2" t="s">
        <v>1043</v>
      </c>
      <c r="BR1622" s="2" t="s">
        <v>103</v>
      </c>
      <c r="BS1622" s="3">
        <v>43082</v>
      </c>
      <c r="BT1622" s="4">
        <v>0.30555555555555552</v>
      </c>
      <c r="BU1622" s="2" t="s">
        <v>2063</v>
      </c>
      <c r="BV1622" s="2" t="s">
        <v>85</v>
      </c>
      <c r="BY1622" s="2">
        <v>1200</v>
      </c>
      <c r="BZ1622" s="2" t="s">
        <v>27</v>
      </c>
      <c r="CA1622" s="2" t="s">
        <v>140</v>
      </c>
      <c r="CC1622" s="2" t="s">
        <v>137</v>
      </c>
      <c r="CD1622" s="2">
        <v>6012</v>
      </c>
      <c r="CE1622" s="2" t="s">
        <v>383</v>
      </c>
      <c r="CF1622" s="3">
        <v>43084</v>
      </c>
      <c r="CI1622" s="2">
        <v>1</v>
      </c>
      <c r="CJ1622" s="2">
        <v>1</v>
      </c>
      <c r="CK1622" s="2">
        <v>21</v>
      </c>
      <c r="CL1622" s="2" t="s">
        <v>89</v>
      </c>
    </row>
    <row r="1623" spans="1:90">
      <c r="A1623" s="2" t="s">
        <v>71</v>
      </c>
      <c r="B1623" s="2" t="s">
        <v>72</v>
      </c>
      <c r="C1623" s="2" t="s">
        <v>73</v>
      </c>
      <c r="E1623" s="2" t="str">
        <f>"FES1162595351"</f>
        <v>FES1162595351</v>
      </c>
      <c r="F1623" s="3">
        <v>43081</v>
      </c>
      <c r="G1623" s="2">
        <v>201806</v>
      </c>
      <c r="H1623" s="2" t="s">
        <v>74</v>
      </c>
      <c r="I1623" s="2" t="s">
        <v>75</v>
      </c>
      <c r="J1623" s="2" t="s">
        <v>97</v>
      </c>
      <c r="K1623" s="2" t="s">
        <v>77</v>
      </c>
      <c r="L1623" s="2" t="s">
        <v>136</v>
      </c>
      <c r="M1623" s="2" t="s">
        <v>137</v>
      </c>
      <c r="N1623" s="2" t="s">
        <v>138</v>
      </c>
      <c r="O1623" s="2" t="s">
        <v>101</v>
      </c>
      <c r="P1623" s="2" t="str">
        <f>"2170604641                    "</f>
        <v xml:space="preserve">2170604641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6.43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1</v>
      </c>
      <c r="BJ1623" s="2">
        <v>0.2</v>
      </c>
      <c r="BK1623" s="2">
        <v>1</v>
      </c>
      <c r="BL1623" s="2">
        <v>45.93</v>
      </c>
      <c r="BM1623" s="2">
        <v>6.43</v>
      </c>
      <c r="BN1623" s="2">
        <v>52.36</v>
      </c>
      <c r="BO1623" s="2">
        <v>52.36</v>
      </c>
      <c r="BQ1623" s="2" t="s">
        <v>82</v>
      </c>
      <c r="BR1623" s="2" t="s">
        <v>103</v>
      </c>
      <c r="BS1623" s="3">
        <v>43082</v>
      </c>
      <c r="BT1623" s="4">
        <v>0.35416666666666669</v>
      </c>
      <c r="BU1623" s="2" t="s">
        <v>139</v>
      </c>
      <c r="BV1623" s="2" t="s">
        <v>85</v>
      </c>
      <c r="BY1623" s="2">
        <v>1200</v>
      </c>
      <c r="BZ1623" s="2" t="s">
        <v>27</v>
      </c>
      <c r="CA1623" s="2" t="s">
        <v>140</v>
      </c>
      <c r="CC1623" s="2" t="s">
        <v>137</v>
      </c>
      <c r="CD1623" s="2">
        <v>6001</v>
      </c>
      <c r="CE1623" s="2" t="s">
        <v>383</v>
      </c>
      <c r="CF1623" s="3">
        <v>43084</v>
      </c>
      <c r="CI1623" s="2">
        <v>1</v>
      </c>
      <c r="CJ1623" s="2">
        <v>1</v>
      </c>
      <c r="CK1623" s="2">
        <v>21</v>
      </c>
      <c r="CL1623" s="2" t="s">
        <v>89</v>
      </c>
    </row>
    <row r="1624" spans="1:90">
      <c r="A1624" s="2" t="s">
        <v>71</v>
      </c>
      <c r="B1624" s="2" t="s">
        <v>72</v>
      </c>
      <c r="C1624" s="2" t="s">
        <v>73</v>
      </c>
      <c r="E1624" s="2" t="str">
        <f>"FES1162595347"</f>
        <v>FES1162595347</v>
      </c>
      <c r="F1624" s="3">
        <v>43081</v>
      </c>
      <c r="G1624" s="2">
        <v>201806</v>
      </c>
      <c r="H1624" s="2" t="s">
        <v>74</v>
      </c>
      <c r="I1624" s="2" t="s">
        <v>75</v>
      </c>
      <c r="J1624" s="2" t="s">
        <v>97</v>
      </c>
      <c r="K1624" s="2" t="s">
        <v>77</v>
      </c>
      <c r="L1624" s="2" t="s">
        <v>111</v>
      </c>
      <c r="M1624" s="2" t="s">
        <v>112</v>
      </c>
      <c r="N1624" s="2" t="s">
        <v>113</v>
      </c>
      <c r="O1624" s="2" t="s">
        <v>101</v>
      </c>
      <c r="P1624" s="2" t="str">
        <f>"2170604289                    "</f>
        <v xml:space="preserve">2170604289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6.43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45.93</v>
      </c>
      <c r="BM1624" s="2">
        <v>6.43</v>
      </c>
      <c r="BN1624" s="2">
        <v>52.36</v>
      </c>
      <c r="BO1624" s="2">
        <v>52.36</v>
      </c>
      <c r="BQ1624" s="2" t="s">
        <v>82</v>
      </c>
      <c r="BR1624" s="2" t="s">
        <v>103</v>
      </c>
      <c r="BS1624" s="3">
        <v>43082</v>
      </c>
      <c r="BT1624" s="4">
        <v>0.34722222222222227</v>
      </c>
      <c r="BU1624" s="2" t="s">
        <v>2052</v>
      </c>
      <c r="BV1624" s="2" t="s">
        <v>85</v>
      </c>
      <c r="BY1624" s="2">
        <v>1200</v>
      </c>
      <c r="BZ1624" s="2" t="s">
        <v>27</v>
      </c>
      <c r="CC1624" s="2" t="s">
        <v>112</v>
      </c>
      <c r="CD1624" s="2">
        <v>6220</v>
      </c>
      <c r="CE1624" s="2" t="s">
        <v>383</v>
      </c>
      <c r="CF1624" s="3">
        <v>43084</v>
      </c>
      <c r="CI1624" s="2">
        <v>1</v>
      </c>
      <c r="CJ1624" s="2">
        <v>1</v>
      </c>
      <c r="CK1624" s="2">
        <v>21</v>
      </c>
      <c r="CL1624" s="2" t="s">
        <v>89</v>
      </c>
    </row>
    <row r="1625" spans="1:90">
      <c r="A1625" s="2" t="s">
        <v>71</v>
      </c>
      <c r="B1625" s="2" t="s">
        <v>72</v>
      </c>
      <c r="C1625" s="2" t="s">
        <v>73</v>
      </c>
      <c r="E1625" s="2" t="str">
        <f>"FES1162595384"</f>
        <v>FES1162595384</v>
      </c>
      <c r="F1625" s="3">
        <v>43081</v>
      </c>
      <c r="G1625" s="2">
        <v>201806</v>
      </c>
      <c r="H1625" s="2" t="s">
        <v>74</v>
      </c>
      <c r="I1625" s="2" t="s">
        <v>75</v>
      </c>
      <c r="J1625" s="2" t="s">
        <v>97</v>
      </c>
      <c r="K1625" s="2" t="s">
        <v>77</v>
      </c>
      <c r="L1625" s="2" t="s">
        <v>111</v>
      </c>
      <c r="M1625" s="2" t="s">
        <v>112</v>
      </c>
      <c r="N1625" s="2" t="s">
        <v>113</v>
      </c>
      <c r="O1625" s="2" t="s">
        <v>101</v>
      </c>
      <c r="P1625" s="2" t="str">
        <f>"2170607239                    "</f>
        <v xml:space="preserve">2170607239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6.43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0.2</v>
      </c>
      <c r="BK1625" s="2">
        <v>1</v>
      </c>
      <c r="BL1625" s="2">
        <v>45.93</v>
      </c>
      <c r="BM1625" s="2">
        <v>6.43</v>
      </c>
      <c r="BN1625" s="2">
        <v>52.36</v>
      </c>
      <c r="BO1625" s="2">
        <v>52.36</v>
      </c>
      <c r="BQ1625" s="2" t="s">
        <v>82</v>
      </c>
      <c r="BR1625" s="2" t="s">
        <v>103</v>
      </c>
      <c r="BS1625" s="3">
        <v>43082</v>
      </c>
      <c r="BT1625" s="4">
        <v>0.34722222222222227</v>
      </c>
      <c r="BU1625" s="2" t="s">
        <v>2052</v>
      </c>
      <c r="BV1625" s="2" t="s">
        <v>85</v>
      </c>
      <c r="BY1625" s="2">
        <v>1200</v>
      </c>
      <c r="BZ1625" s="2" t="s">
        <v>27</v>
      </c>
      <c r="CC1625" s="2" t="s">
        <v>112</v>
      </c>
      <c r="CD1625" s="2">
        <v>6220</v>
      </c>
      <c r="CE1625" s="2" t="s">
        <v>383</v>
      </c>
      <c r="CF1625" s="3">
        <v>43084</v>
      </c>
      <c r="CI1625" s="2">
        <v>1</v>
      </c>
      <c r="CJ1625" s="2">
        <v>1</v>
      </c>
      <c r="CK1625" s="2">
        <v>21</v>
      </c>
      <c r="CL1625" s="2" t="s">
        <v>89</v>
      </c>
    </row>
    <row r="1626" spans="1:90">
      <c r="A1626" s="2" t="s">
        <v>71</v>
      </c>
      <c r="B1626" s="2" t="s">
        <v>72</v>
      </c>
      <c r="C1626" s="2" t="s">
        <v>73</v>
      </c>
      <c r="E1626" s="2" t="str">
        <f>"FES1162595319"</f>
        <v>FES1162595319</v>
      </c>
      <c r="F1626" s="3">
        <v>43081</v>
      </c>
      <c r="G1626" s="2">
        <v>201806</v>
      </c>
      <c r="H1626" s="2" t="s">
        <v>74</v>
      </c>
      <c r="I1626" s="2" t="s">
        <v>75</v>
      </c>
      <c r="J1626" s="2" t="s">
        <v>97</v>
      </c>
      <c r="K1626" s="2" t="s">
        <v>77</v>
      </c>
      <c r="L1626" s="2" t="s">
        <v>262</v>
      </c>
      <c r="M1626" s="2" t="s">
        <v>263</v>
      </c>
      <c r="N1626" s="2" t="s">
        <v>2064</v>
      </c>
      <c r="O1626" s="2" t="s">
        <v>101</v>
      </c>
      <c r="P1626" s="2" t="str">
        <f>"2170607186                    "</f>
        <v xml:space="preserve">2170607186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6.43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0.5</v>
      </c>
      <c r="BJ1626" s="2">
        <v>0.2</v>
      </c>
      <c r="BK1626" s="2">
        <v>0.5</v>
      </c>
      <c r="BL1626" s="2">
        <v>45.93</v>
      </c>
      <c r="BM1626" s="2">
        <v>6.43</v>
      </c>
      <c r="BN1626" s="2">
        <v>52.36</v>
      </c>
      <c r="BO1626" s="2">
        <v>52.36</v>
      </c>
      <c r="BQ1626" s="2" t="s">
        <v>2065</v>
      </c>
      <c r="BR1626" s="2" t="s">
        <v>103</v>
      </c>
      <c r="BS1626" s="3">
        <v>43082</v>
      </c>
      <c r="BT1626" s="4">
        <v>0.43333333333333335</v>
      </c>
      <c r="BU1626" s="2" t="s">
        <v>1074</v>
      </c>
      <c r="BV1626" s="2" t="s">
        <v>85</v>
      </c>
      <c r="BY1626" s="2">
        <v>1200</v>
      </c>
      <c r="BZ1626" s="2" t="s">
        <v>27</v>
      </c>
      <c r="CA1626" s="2" t="s">
        <v>266</v>
      </c>
      <c r="CC1626" s="2" t="s">
        <v>263</v>
      </c>
      <c r="CD1626" s="2">
        <v>6229</v>
      </c>
      <c r="CE1626" s="2" t="s">
        <v>383</v>
      </c>
      <c r="CF1626" s="3">
        <v>43084</v>
      </c>
      <c r="CI1626" s="2">
        <v>1</v>
      </c>
      <c r="CJ1626" s="2">
        <v>1</v>
      </c>
      <c r="CK1626" s="2">
        <v>21</v>
      </c>
      <c r="CL1626" s="2" t="s">
        <v>89</v>
      </c>
    </row>
    <row r="1627" spans="1:90">
      <c r="A1627" s="2" t="s">
        <v>71</v>
      </c>
      <c r="B1627" s="2" t="s">
        <v>72</v>
      </c>
      <c r="C1627" s="2" t="s">
        <v>73</v>
      </c>
      <c r="E1627" s="2" t="str">
        <f>"FES11620606525"</f>
        <v>FES11620606525</v>
      </c>
      <c r="F1627" s="3">
        <v>43081</v>
      </c>
      <c r="G1627" s="2">
        <v>201806</v>
      </c>
      <c r="H1627" s="2" t="s">
        <v>74</v>
      </c>
      <c r="I1627" s="2" t="s">
        <v>75</v>
      </c>
      <c r="J1627" s="2" t="s">
        <v>97</v>
      </c>
      <c r="K1627" s="2" t="s">
        <v>77</v>
      </c>
      <c r="L1627" s="2" t="s">
        <v>2066</v>
      </c>
      <c r="M1627" s="2" t="s">
        <v>2067</v>
      </c>
      <c r="N1627" s="2" t="s">
        <v>2068</v>
      </c>
      <c r="O1627" s="2" t="s">
        <v>101</v>
      </c>
      <c r="P1627" s="2" t="str">
        <f>"2170606525                    "</f>
        <v xml:space="preserve">2170606525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18.100000000000001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3</v>
      </c>
      <c r="BJ1627" s="2">
        <v>2.7</v>
      </c>
      <c r="BK1627" s="2">
        <v>3</v>
      </c>
      <c r="BL1627" s="2">
        <v>129.19</v>
      </c>
      <c r="BM1627" s="2">
        <v>18.09</v>
      </c>
      <c r="BN1627" s="2">
        <v>147.28</v>
      </c>
      <c r="BO1627" s="2">
        <v>147.28</v>
      </c>
      <c r="BQ1627" s="2" t="s">
        <v>82</v>
      </c>
      <c r="BR1627" s="2" t="s">
        <v>103</v>
      </c>
      <c r="BS1627" s="2" t="s">
        <v>185</v>
      </c>
      <c r="BY1627" s="2">
        <v>13430</v>
      </c>
      <c r="BZ1627" s="2" t="s">
        <v>27</v>
      </c>
      <c r="CC1627" s="2" t="s">
        <v>2067</v>
      </c>
      <c r="CD1627" s="2">
        <v>9750</v>
      </c>
      <c r="CE1627" s="2" t="s">
        <v>288</v>
      </c>
      <c r="CI1627" s="2">
        <v>3</v>
      </c>
      <c r="CJ1627" s="2" t="s">
        <v>185</v>
      </c>
      <c r="CK1627" s="2">
        <v>23</v>
      </c>
      <c r="CL1627" s="2" t="s">
        <v>89</v>
      </c>
    </row>
    <row r="1628" spans="1:90">
      <c r="A1628" s="2" t="s">
        <v>71</v>
      </c>
      <c r="B1628" s="2" t="s">
        <v>72</v>
      </c>
      <c r="C1628" s="2" t="s">
        <v>73</v>
      </c>
      <c r="E1628" s="2" t="str">
        <f>"FES1162595316"</f>
        <v>FES1162595316</v>
      </c>
      <c r="F1628" s="3">
        <v>43081</v>
      </c>
      <c r="G1628" s="2">
        <v>201806</v>
      </c>
      <c r="H1628" s="2" t="s">
        <v>74</v>
      </c>
      <c r="I1628" s="2" t="s">
        <v>75</v>
      </c>
      <c r="J1628" s="2" t="s">
        <v>97</v>
      </c>
      <c r="K1628" s="2" t="s">
        <v>77</v>
      </c>
      <c r="L1628" s="2" t="s">
        <v>262</v>
      </c>
      <c r="M1628" s="2" t="s">
        <v>263</v>
      </c>
      <c r="N1628" s="2" t="s">
        <v>264</v>
      </c>
      <c r="O1628" s="2" t="s">
        <v>101</v>
      </c>
      <c r="P1628" s="2" t="str">
        <f>"2170607181                    "</f>
        <v xml:space="preserve">2170607181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11.26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1.1000000000000001</v>
      </c>
      <c r="BJ1628" s="2">
        <v>3.4</v>
      </c>
      <c r="BK1628" s="2">
        <v>3.5</v>
      </c>
      <c r="BL1628" s="2">
        <v>80.37</v>
      </c>
      <c r="BM1628" s="2">
        <v>11.25</v>
      </c>
      <c r="BN1628" s="2">
        <v>91.62</v>
      </c>
      <c r="BO1628" s="2">
        <v>91.62</v>
      </c>
      <c r="BQ1628" s="2" t="s">
        <v>102</v>
      </c>
      <c r="BR1628" s="2" t="s">
        <v>103</v>
      </c>
      <c r="BS1628" s="3">
        <v>43082</v>
      </c>
      <c r="BT1628" s="4">
        <v>0.36527777777777781</v>
      </c>
      <c r="BU1628" s="2" t="s">
        <v>2069</v>
      </c>
      <c r="BV1628" s="2" t="s">
        <v>85</v>
      </c>
      <c r="BY1628" s="2">
        <v>16815.36</v>
      </c>
      <c r="BZ1628" s="2" t="s">
        <v>27</v>
      </c>
      <c r="CA1628" s="2" t="s">
        <v>266</v>
      </c>
      <c r="CC1628" s="2" t="s">
        <v>263</v>
      </c>
      <c r="CD1628" s="2">
        <v>6230</v>
      </c>
      <c r="CE1628" s="2" t="s">
        <v>288</v>
      </c>
      <c r="CF1628" s="3">
        <v>43087</v>
      </c>
      <c r="CI1628" s="2">
        <v>1</v>
      </c>
      <c r="CJ1628" s="2">
        <v>1</v>
      </c>
      <c r="CK1628" s="2">
        <v>21</v>
      </c>
      <c r="CL1628" s="2" t="s">
        <v>89</v>
      </c>
    </row>
    <row r="1629" spans="1:90">
      <c r="A1629" s="2" t="s">
        <v>71</v>
      </c>
      <c r="B1629" s="2" t="s">
        <v>72</v>
      </c>
      <c r="C1629" s="2" t="s">
        <v>73</v>
      </c>
      <c r="E1629" s="2" t="str">
        <f>"FES1162595483"</f>
        <v>FES1162595483</v>
      </c>
      <c r="F1629" s="3">
        <v>43081</v>
      </c>
      <c r="G1629" s="2">
        <v>201806</v>
      </c>
      <c r="H1629" s="2" t="s">
        <v>74</v>
      </c>
      <c r="I1629" s="2" t="s">
        <v>75</v>
      </c>
      <c r="J1629" s="2" t="s">
        <v>97</v>
      </c>
      <c r="K1629" s="2" t="s">
        <v>77</v>
      </c>
      <c r="L1629" s="2" t="s">
        <v>136</v>
      </c>
      <c r="M1629" s="2" t="s">
        <v>137</v>
      </c>
      <c r="N1629" s="2" t="s">
        <v>974</v>
      </c>
      <c r="O1629" s="2" t="s">
        <v>101</v>
      </c>
      <c r="P1629" s="2" t="str">
        <f>"2170602088                    "</f>
        <v xml:space="preserve">2170602088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17.690000000000001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5.4</v>
      </c>
      <c r="BJ1629" s="2">
        <v>3.9</v>
      </c>
      <c r="BK1629" s="2">
        <v>5.5</v>
      </c>
      <c r="BL1629" s="2">
        <v>126.28</v>
      </c>
      <c r="BM1629" s="2">
        <v>17.68</v>
      </c>
      <c r="BN1629" s="2">
        <v>143.96</v>
      </c>
      <c r="BO1629" s="2">
        <v>143.96</v>
      </c>
      <c r="BQ1629" s="2" t="s">
        <v>82</v>
      </c>
      <c r="BR1629" s="2" t="s">
        <v>103</v>
      </c>
      <c r="BS1629" s="3">
        <v>43082</v>
      </c>
      <c r="BT1629" s="4">
        <v>0.34027777777777773</v>
      </c>
      <c r="BU1629" s="2" t="s">
        <v>692</v>
      </c>
      <c r="BV1629" s="2" t="s">
        <v>85</v>
      </c>
      <c r="BY1629" s="2">
        <v>19593.599999999999</v>
      </c>
      <c r="BZ1629" s="2" t="s">
        <v>27</v>
      </c>
      <c r="CA1629" s="2" t="s">
        <v>140</v>
      </c>
      <c r="CC1629" s="2" t="s">
        <v>137</v>
      </c>
      <c r="CD1629" s="2">
        <v>6001</v>
      </c>
      <c r="CE1629" s="2" t="s">
        <v>288</v>
      </c>
      <c r="CF1629" s="3">
        <v>43084</v>
      </c>
      <c r="CI1629" s="2">
        <v>1</v>
      </c>
      <c r="CJ1629" s="2">
        <v>1</v>
      </c>
      <c r="CK1629" s="2">
        <v>21</v>
      </c>
      <c r="CL1629" s="2" t="s">
        <v>89</v>
      </c>
    </row>
    <row r="1630" spans="1:90">
      <c r="A1630" s="2" t="s">
        <v>71</v>
      </c>
      <c r="B1630" s="2" t="s">
        <v>72</v>
      </c>
      <c r="C1630" s="2" t="s">
        <v>73</v>
      </c>
      <c r="E1630" s="2" t="str">
        <f>"FES1162595339"</f>
        <v>FES1162595339</v>
      </c>
      <c r="F1630" s="3">
        <v>43081</v>
      </c>
      <c r="G1630" s="2">
        <v>201806</v>
      </c>
      <c r="H1630" s="2" t="s">
        <v>74</v>
      </c>
      <c r="I1630" s="2" t="s">
        <v>75</v>
      </c>
      <c r="J1630" s="2" t="s">
        <v>97</v>
      </c>
      <c r="K1630" s="2" t="s">
        <v>77</v>
      </c>
      <c r="L1630" s="2" t="s">
        <v>136</v>
      </c>
      <c r="M1630" s="2" t="s">
        <v>137</v>
      </c>
      <c r="N1630" s="2" t="s">
        <v>1249</v>
      </c>
      <c r="O1630" s="2" t="s">
        <v>101</v>
      </c>
      <c r="P1630" s="2" t="str">
        <f>"2170599952                    "</f>
        <v xml:space="preserve">2170599952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8.0399999999999991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2</v>
      </c>
      <c r="BJ1630" s="2">
        <v>2.1</v>
      </c>
      <c r="BK1630" s="2">
        <v>2.5</v>
      </c>
      <c r="BL1630" s="2">
        <v>57.41</v>
      </c>
      <c r="BM1630" s="2">
        <v>8.0399999999999991</v>
      </c>
      <c r="BN1630" s="2">
        <v>65.45</v>
      </c>
      <c r="BO1630" s="2">
        <v>65.45</v>
      </c>
      <c r="BQ1630" s="2" t="s">
        <v>82</v>
      </c>
      <c r="BR1630" s="2" t="s">
        <v>103</v>
      </c>
      <c r="BS1630" s="3">
        <v>43082</v>
      </c>
      <c r="BT1630" s="4">
        <v>0.4201388888888889</v>
      </c>
      <c r="BU1630" s="2" t="s">
        <v>1250</v>
      </c>
      <c r="BV1630" s="2" t="s">
        <v>85</v>
      </c>
      <c r="BY1630" s="2">
        <v>10264.799999999999</v>
      </c>
      <c r="BZ1630" s="2" t="s">
        <v>27</v>
      </c>
      <c r="CA1630" s="2" t="s">
        <v>180</v>
      </c>
      <c r="CC1630" s="2" t="s">
        <v>137</v>
      </c>
      <c r="CD1630" s="2">
        <v>6001</v>
      </c>
      <c r="CE1630" s="2" t="s">
        <v>288</v>
      </c>
      <c r="CF1630" s="3">
        <v>43084</v>
      </c>
      <c r="CI1630" s="2">
        <v>1</v>
      </c>
      <c r="CJ1630" s="2">
        <v>1</v>
      </c>
      <c r="CK1630" s="2">
        <v>21</v>
      </c>
      <c r="CL1630" s="2" t="s">
        <v>89</v>
      </c>
    </row>
    <row r="1631" spans="1:90">
      <c r="A1631" s="2" t="s">
        <v>71</v>
      </c>
      <c r="B1631" s="2" t="s">
        <v>72</v>
      </c>
      <c r="C1631" s="2" t="s">
        <v>73</v>
      </c>
      <c r="E1631" s="2" t="str">
        <f>"FES1162595361"</f>
        <v>FES1162595361</v>
      </c>
      <c r="F1631" s="3">
        <v>43081</v>
      </c>
      <c r="G1631" s="2">
        <v>201806</v>
      </c>
      <c r="H1631" s="2" t="s">
        <v>74</v>
      </c>
      <c r="I1631" s="2" t="s">
        <v>75</v>
      </c>
      <c r="J1631" s="2" t="s">
        <v>97</v>
      </c>
      <c r="K1631" s="2" t="s">
        <v>77</v>
      </c>
      <c r="L1631" s="2" t="s">
        <v>136</v>
      </c>
      <c r="M1631" s="2" t="s">
        <v>137</v>
      </c>
      <c r="N1631" s="2" t="s">
        <v>1249</v>
      </c>
      <c r="O1631" s="2" t="s">
        <v>101</v>
      </c>
      <c r="P1631" s="2" t="str">
        <f>"2170605858                    "</f>
        <v xml:space="preserve">2170605858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17.690000000000001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5.3</v>
      </c>
      <c r="BJ1631" s="2">
        <v>3.5</v>
      </c>
      <c r="BK1631" s="2">
        <v>5.5</v>
      </c>
      <c r="BL1631" s="2">
        <v>126.28</v>
      </c>
      <c r="BM1631" s="2">
        <v>17.68</v>
      </c>
      <c r="BN1631" s="2">
        <v>143.96</v>
      </c>
      <c r="BO1631" s="2">
        <v>143.96</v>
      </c>
      <c r="BQ1631" s="2" t="s">
        <v>82</v>
      </c>
      <c r="BR1631" s="2" t="s">
        <v>103</v>
      </c>
      <c r="BS1631" s="3">
        <v>43082</v>
      </c>
      <c r="BT1631" s="4">
        <v>0.4201388888888889</v>
      </c>
      <c r="BU1631" s="2" t="s">
        <v>1250</v>
      </c>
      <c r="BV1631" s="2" t="s">
        <v>85</v>
      </c>
      <c r="BY1631" s="2">
        <v>17589.5</v>
      </c>
      <c r="BZ1631" s="2" t="s">
        <v>27</v>
      </c>
      <c r="CA1631" s="2" t="s">
        <v>180</v>
      </c>
      <c r="CC1631" s="2" t="s">
        <v>137</v>
      </c>
      <c r="CD1631" s="2">
        <v>6001</v>
      </c>
      <c r="CE1631" s="2" t="s">
        <v>288</v>
      </c>
      <c r="CF1631" s="3">
        <v>43084</v>
      </c>
      <c r="CI1631" s="2">
        <v>1</v>
      </c>
      <c r="CJ1631" s="2">
        <v>1</v>
      </c>
      <c r="CK1631" s="2">
        <v>21</v>
      </c>
      <c r="CL1631" s="2" t="s">
        <v>89</v>
      </c>
    </row>
    <row r="1632" spans="1:90">
      <c r="A1632" s="2" t="s">
        <v>71</v>
      </c>
      <c r="B1632" s="2" t="s">
        <v>72</v>
      </c>
      <c r="C1632" s="2" t="s">
        <v>73</v>
      </c>
      <c r="E1632" s="2" t="str">
        <f>"FES1162595314"</f>
        <v>FES1162595314</v>
      </c>
      <c r="F1632" s="3">
        <v>43081</v>
      </c>
      <c r="G1632" s="2">
        <v>201806</v>
      </c>
      <c r="H1632" s="2" t="s">
        <v>74</v>
      </c>
      <c r="I1632" s="2" t="s">
        <v>75</v>
      </c>
      <c r="J1632" s="2" t="s">
        <v>97</v>
      </c>
      <c r="K1632" s="2" t="s">
        <v>77</v>
      </c>
      <c r="L1632" s="2" t="s">
        <v>98</v>
      </c>
      <c r="M1632" s="2" t="s">
        <v>99</v>
      </c>
      <c r="N1632" s="2" t="s">
        <v>1182</v>
      </c>
      <c r="O1632" s="2" t="s">
        <v>101</v>
      </c>
      <c r="P1632" s="2" t="str">
        <f>"2170607179                    "</f>
        <v xml:space="preserve">2170607179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6.43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45.93</v>
      </c>
      <c r="BM1632" s="2">
        <v>6.43</v>
      </c>
      <c r="BN1632" s="2">
        <v>52.36</v>
      </c>
      <c r="BO1632" s="2">
        <v>52.36</v>
      </c>
      <c r="BQ1632" s="2" t="s">
        <v>82</v>
      </c>
      <c r="BR1632" s="2" t="s">
        <v>103</v>
      </c>
      <c r="BS1632" s="3">
        <v>43082</v>
      </c>
      <c r="BT1632" s="4">
        <v>0.35555555555555557</v>
      </c>
      <c r="BU1632" s="2" t="s">
        <v>1183</v>
      </c>
      <c r="BV1632" s="2" t="s">
        <v>85</v>
      </c>
      <c r="BY1632" s="2">
        <v>1200</v>
      </c>
      <c r="BZ1632" s="2" t="s">
        <v>27</v>
      </c>
      <c r="CC1632" s="2" t="s">
        <v>99</v>
      </c>
      <c r="CD1632" s="2">
        <v>3201</v>
      </c>
      <c r="CE1632" s="2" t="s">
        <v>383</v>
      </c>
      <c r="CF1632" s="3">
        <v>43083</v>
      </c>
      <c r="CI1632" s="2">
        <v>1</v>
      </c>
      <c r="CJ1632" s="2">
        <v>1</v>
      </c>
      <c r="CK1632" s="2">
        <v>21</v>
      </c>
      <c r="CL1632" s="2" t="s">
        <v>89</v>
      </c>
    </row>
    <row r="1633" spans="1:90">
      <c r="A1633" s="2" t="s">
        <v>71</v>
      </c>
      <c r="B1633" s="2" t="s">
        <v>72</v>
      </c>
      <c r="C1633" s="2" t="s">
        <v>73</v>
      </c>
      <c r="E1633" s="2" t="str">
        <f>"FES1162595290"</f>
        <v>FES1162595290</v>
      </c>
      <c r="F1633" s="3">
        <v>43081</v>
      </c>
      <c r="G1633" s="2">
        <v>201806</v>
      </c>
      <c r="H1633" s="2" t="s">
        <v>74</v>
      </c>
      <c r="I1633" s="2" t="s">
        <v>75</v>
      </c>
      <c r="J1633" s="2" t="s">
        <v>97</v>
      </c>
      <c r="K1633" s="2" t="s">
        <v>77</v>
      </c>
      <c r="L1633" s="2" t="s">
        <v>145</v>
      </c>
      <c r="M1633" s="2" t="s">
        <v>146</v>
      </c>
      <c r="N1633" s="2" t="s">
        <v>753</v>
      </c>
      <c r="O1633" s="2" t="s">
        <v>101</v>
      </c>
      <c r="P1633" s="2" t="str">
        <f>"2170607161                    "</f>
        <v xml:space="preserve">2170607161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6.43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45.93</v>
      </c>
      <c r="BM1633" s="2">
        <v>6.43</v>
      </c>
      <c r="BN1633" s="2">
        <v>52.36</v>
      </c>
      <c r="BO1633" s="2">
        <v>52.36</v>
      </c>
      <c r="BQ1633" s="2" t="s">
        <v>82</v>
      </c>
      <c r="BR1633" s="2" t="s">
        <v>103</v>
      </c>
      <c r="BS1633" s="3">
        <v>43082</v>
      </c>
      <c r="BT1633" s="4">
        <v>0.39583333333333331</v>
      </c>
      <c r="BU1633" s="2" t="s">
        <v>1579</v>
      </c>
      <c r="BV1633" s="2" t="s">
        <v>85</v>
      </c>
      <c r="BY1633" s="2">
        <v>1200</v>
      </c>
      <c r="BZ1633" s="2" t="s">
        <v>27</v>
      </c>
      <c r="CA1633" s="2" t="s">
        <v>754</v>
      </c>
      <c r="CC1633" s="2" t="s">
        <v>146</v>
      </c>
      <c r="CD1633" s="2">
        <v>5201</v>
      </c>
      <c r="CE1633" s="2" t="s">
        <v>383</v>
      </c>
      <c r="CF1633" s="3">
        <v>43087</v>
      </c>
      <c r="CI1633" s="2">
        <v>1</v>
      </c>
      <c r="CJ1633" s="2">
        <v>1</v>
      </c>
      <c r="CK1633" s="2">
        <v>21</v>
      </c>
      <c r="CL1633" s="2" t="s">
        <v>89</v>
      </c>
    </row>
    <row r="1634" spans="1:90">
      <c r="A1634" s="2" t="s">
        <v>71</v>
      </c>
      <c r="B1634" s="2" t="s">
        <v>72</v>
      </c>
      <c r="C1634" s="2" t="s">
        <v>73</v>
      </c>
      <c r="E1634" s="2" t="str">
        <f>"FES1162595231"</f>
        <v>FES1162595231</v>
      </c>
      <c r="F1634" s="3">
        <v>43081</v>
      </c>
      <c r="G1634" s="2">
        <v>201806</v>
      </c>
      <c r="H1634" s="2" t="s">
        <v>74</v>
      </c>
      <c r="I1634" s="2" t="s">
        <v>75</v>
      </c>
      <c r="J1634" s="2" t="s">
        <v>97</v>
      </c>
      <c r="K1634" s="2" t="s">
        <v>77</v>
      </c>
      <c r="L1634" s="2" t="s">
        <v>759</v>
      </c>
      <c r="M1634" s="2" t="s">
        <v>760</v>
      </c>
      <c r="N1634" s="2" t="s">
        <v>2070</v>
      </c>
      <c r="O1634" s="2" t="s">
        <v>101</v>
      </c>
      <c r="P1634" s="2" t="str">
        <f>"2170607087                    "</f>
        <v xml:space="preserve">2170607087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6.43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45.93</v>
      </c>
      <c r="BM1634" s="2">
        <v>6.43</v>
      </c>
      <c r="BN1634" s="2">
        <v>52.36</v>
      </c>
      <c r="BO1634" s="2">
        <v>52.36</v>
      </c>
      <c r="BQ1634" s="2" t="s">
        <v>82</v>
      </c>
      <c r="BR1634" s="2" t="s">
        <v>103</v>
      </c>
      <c r="BS1634" s="3">
        <v>43082</v>
      </c>
      <c r="BT1634" s="4">
        <v>0.4291666666666667</v>
      </c>
      <c r="BU1634" s="2" t="s">
        <v>2071</v>
      </c>
      <c r="BV1634" s="2" t="s">
        <v>85</v>
      </c>
      <c r="BY1634" s="2">
        <v>1200</v>
      </c>
      <c r="BZ1634" s="2" t="s">
        <v>27</v>
      </c>
      <c r="CA1634" s="2" t="s">
        <v>1997</v>
      </c>
      <c r="CC1634" s="2" t="s">
        <v>760</v>
      </c>
      <c r="CD1634" s="2">
        <v>4026</v>
      </c>
      <c r="CE1634" s="2" t="s">
        <v>383</v>
      </c>
      <c r="CF1634" s="3">
        <v>43083</v>
      </c>
      <c r="CI1634" s="2">
        <v>1</v>
      </c>
      <c r="CJ1634" s="2">
        <v>1</v>
      </c>
      <c r="CK1634" s="2">
        <v>21</v>
      </c>
      <c r="CL1634" s="2" t="s">
        <v>89</v>
      </c>
    </row>
    <row r="1635" spans="1:90">
      <c r="A1635" s="2" t="s">
        <v>71</v>
      </c>
      <c r="B1635" s="2" t="s">
        <v>72</v>
      </c>
      <c r="C1635" s="2" t="s">
        <v>73</v>
      </c>
      <c r="E1635" s="2" t="str">
        <f>"FES1162595346"</f>
        <v>FES1162595346</v>
      </c>
      <c r="F1635" s="3">
        <v>43081</v>
      </c>
      <c r="G1635" s="2">
        <v>201806</v>
      </c>
      <c r="H1635" s="2" t="s">
        <v>74</v>
      </c>
      <c r="I1635" s="2" t="s">
        <v>75</v>
      </c>
      <c r="J1635" s="2" t="s">
        <v>97</v>
      </c>
      <c r="K1635" s="2" t="s">
        <v>77</v>
      </c>
      <c r="L1635" s="2" t="s">
        <v>106</v>
      </c>
      <c r="M1635" s="2" t="s">
        <v>107</v>
      </c>
      <c r="N1635" s="2" t="s">
        <v>108</v>
      </c>
      <c r="O1635" s="2" t="s">
        <v>101</v>
      </c>
      <c r="P1635" s="2" t="str">
        <f>"2170603974                    "</f>
        <v xml:space="preserve">2170603974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5.03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</v>
      </c>
      <c r="BJ1635" s="2">
        <v>0.2</v>
      </c>
      <c r="BK1635" s="2">
        <v>1</v>
      </c>
      <c r="BL1635" s="2">
        <v>35.89</v>
      </c>
      <c r="BM1635" s="2">
        <v>5.0199999999999996</v>
      </c>
      <c r="BN1635" s="2">
        <v>40.909999999999997</v>
      </c>
      <c r="BO1635" s="2">
        <v>40.909999999999997</v>
      </c>
      <c r="BQ1635" s="2" t="s">
        <v>82</v>
      </c>
      <c r="BR1635" s="2" t="s">
        <v>103</v>
      </c>
      <c r="BS1635" s="3">
        <v>43082</v>
      </c>
      <c r="BT1635" s="4">
        <v>0.3888888888888889</v>
      </c>
      <c r="BU1635" s="2" t="s">
        <v>369</v>
      </c>
      <c r="BV1635" s="2" t="s">
        <v>85</v>
      </c>
      <c r="BY1635" s="2">
        <v>1200</v>
      </c>
      <c r="BZ1635" s="2" t="s">
        <v>27</v>
      </c>
      <c r="CA1635" s="2" t="s">
        <v>110</v>
      </c>
      <c r="CC1635" s="2" t="s">
        <v>107</v>
      </c>
      <c r="CD1635" s="2">
        <v>2094</v>
      </c>
      <c r="CE1635" s="2" t="s">
        <v>120</v>
      </c>
      <c r="CF1635" s="3">
        <v>43083</v>
      </c>
      <c r="CI1635" s="2">
        <v>1</v>
      </c>
      <c r="CJ1635" s="2">
        <v>1</v>
      </c>
      <c r="CK1635" s="2">
        <v>22</v>
      </c>
      <c r="CL1635" s="2" t="s">
        <v>89</v>
      </c>
    </row>
    <row r="1636" spans="1:90">
      <c r="A1636" s="2" t="s">
        <v>71</v>
      </c>
      <c r="B1636" s="2" t="s">
        <v>72</v>
      </c>
      <c r="C1636" s="2" t="s">
        <v>73</v>
      </c>
      <c r="E1636" s="2" t="str">
        <f>"FES1162595303"</f>
        <v>FES1162595303</v>
      </c>
      <c r="F1636" s="3">
        <v>43081</v>
      </c>
      <c r="G1636" s="2">
        <v>201806</v>
      </c>
      <c r="H1636" s="2" t="s">
        <v>74</v>
      </c>
      <c r="I1636" s="2" t="s">
        <v>75</v>
      </c>
      <c r="J1636" s="2" t="s">
        <v>97</v>
      </c>
      <c r="K1636" s="2" t="s">
        <v>77</v>
      </c>
      <c r="L1636" s="2" t="s">
        <v>145</v>
      </c>
      <c r="M1636" s="2" t="s">
        <v>146</v>
      </c>
      <c r="N1636" s="2" t="s">
        <v>753</v>
      </c>
      <c r="O1636" s="2" t="s">
        <v>101</v>
      </c>
      <c r="P1636" s="2" t="str">
        <f>"2170607170                    "</f>
        <v xml:space="preserve">2170607170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6.43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45.93</v>
      </c>
      <c r="BM1636" s="2">
        <v>6.43</v>
      </c>
      <c r="BN1636" s="2">
        <v>52.36</v>
      </c>
      <c r="BO1636" s="2">
        <v>52.36</v>
      </c>
      <c r="BQ1636" s="2" t="s">
        <v>82</v>
      </c>
      <c r="BR1636" s="2" t="s">
        <v>103</v>
      </c>
      <c r="BS1636" s="3">
        <v>43082</v>
      </c>
      <c r="BT1636" s="4">
        <v>0.39583333333333331</v>
      </c>
      <c r="BU1636" s="2" t="s">
        <v>1579</v>
      </c>
      <c r="BV1636" s="2" t="s">
        <v>85</v>
      </c>
      <c r="BY1636" s="2">
        <v>1200</v>
      </c>
      <c r="BZ1636" s="2" t="s">
        <v>27</v>
      </c>
      <c r="CA1636" s="2" t="s">
        <v>754</v>
      </c>
      <c r="CC1636" s="2" t="s">
        <v>146</v>
      </c>
      <c r="CD1636" s="2">
        <v>5201</v>
      </c>
      <c r="CE1636" s="2" t="s">
        <v>383</v>
      </c>
      <c r="CF1636" s="3">
        <v>43087</v>
      </c>
      <c r="CI1636" s="2">
        <v>1</v>
      </c>
      <c r="CJ1636" s="2">
        <v>1</v>
      </c>
      <c r="CK1636" s="2">
        <v>21</v>
      </c>
      <c r="CL1636" s="2" t="s">
        <v>89</v>
      </c>
    </row>
    <row r="1637" spans="1:90">
      <c r="A1637" s="2" t="s">
        <v>71</v>
      </c>
      <c r="B1637" s="2" t="s">
        <v>72</v>
      </c>
      <c r="C1637" s="2" t="s">
        <v>73</v>
      </c>
      <c r="E1637" s="2" t="str">
        <f>"FES1162595286"</f>
        <v>FES1162595286</v>
      </c>
      <c r="F1637" s="3">
        <v>43081</v>
      </c>
      <c r="G1637" s="2">
        <v>201806</v>
      </c>
      <c r="H1637" s="2" t="s">
        <v>74</v>
      </c>
      <c r="I1637" s="2" t="s">
        <v>75</v>
      </c>
      <c r="J1637" s="2" t="s">
        <v>97</v>
      </c>
      <c r="K1637" s="2" t="s">
        <v>77</v>
      </c>
      <c r="L1637" s="2" t="s">
        <v>125</v>
      </c>
      <c r="M1637" s="2" t="s">
        <v>126</v>
      </c>
      <c r="N1637" s="2" t="s">
        <v>283</v>
      </c>
      <c r="O1637" s="2" t="s">
        <v>101</v>
      </c>
      <c r="P1637" s="2" t="str">
        <f>"2170607156                    "</f>
        <v xml:space="preserve">2170607156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6.43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45.93</v>
      </c>
      <c r="BM1637" s="2">
        <v>6.43</v>
      </c>
      <c r="BN1637" s="2">
        <v>52.36</v>
      </c>
      <c r="BO1637" s="2">
        <v>52.36</v>
      </c>
      <c r="BR1637" s="2" t="s">
        <v>103</v>
      </c>
      <c r="BS1637" s="3">
        <v>43082</v>
      </c>
      <c r="BT1637" s="4">
        <v>0.40347222222222223</v>
      </c>
      <c r="BU1637" s="2" t="s">
        <v>2072</v>
      </c>
      <c r="BV1637" s="2" t="s">
        <v>85</v>
      </c>
      <c r="BY1637" s="2">
        <v>1200</v>
      </c>
      <c r="BZ1637" s="2" t="s">
        <v>27</v>
      </c>
      <c r="CA1637" s="2" t="s">
        <v>2073</v>
      </c>
      <c r="CC1637" s="2" t="s">
        <v>126</v>
      </c>
      <c r="CD1637" s="2">
        <v>4001</v>
      </c>
      <c r="CE1637" s="2" t="s">
        <v>383</v>
      </c>
      <c r="CF1637" s="3">
        <v>43083</v>
      </c>
      <c r="CI1637" s="2">
        <v>1</v>
      </c>
      <c r="CJ1637" s="2">
        <v>1</v>
      </c>
      <c r="CK1637" s="2">
        <v>21</v>
      </c>
      <c r="CL1637" s="2" t="s">
        <v>89</v>
      </c>
    </row>
    <row r="1638" spans="1:90">
      <c r="A1638" s="2" t="s">
        <v>71</v>
      </c>
      <c r="B1638" s="2" t="s">
        <v>72</v>
      </c>
      <c r="C1638" s="2" t="s">
        <v>73</v>
      </c>
      <c r="E1638" s="2" t="str">
        <f>"FES1162595344"</f>
        <v>FES1162595344</v>
      </c>
      <c r="F1638" s="3">
        <v>43081</v>
      </c>
      <c r="G1638" s="2">
        <v>201806</v>
      </c>
      <c r="H1638" s="2" t="s">
        <v>74</v>
      </c>
      <c r="I1638" s="2" t="s">
        <v>75</v>
      </c>
      <c r="J1638" s="2" t="s">
        <v>97</v>
      </c>
      <c r="K1638" s="2" t="s">
        <v>77</v>
      </c>
      <c r="L1638" s="2" t="s">
        <v>152</v>
      </c>
      <c r="M1638" s="2" t="s">
        <v>153</v>
      </c>
      <c r="N1638" s="2" t="s">
        <v>1536</v>
      </c>
      <c r="O1638" s="2" t="s">
        <v>101</v>
      </c>
      <c r="P1638" s="2" t="str">
        <f>"2170603753                    "</f>
        <v xml:space="preserve">2170603753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5.03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2.2000000000000002</v>
      </c>
      <c r="BJ1638" s="2">
        <v>0.9</v>
      </c>
      <c r="BK1638" s="2">
        <v>3</v>
      </c>
      <c r="BL1638" s="2">
        <v>35.89</v>
      </c>
      <c r="BM1638" s="2">
        <v>5.0199999999999996</v>
      </c>
      <c r="BN1638" s="2">
        <v>40.909999999999997</v>
      </c>
      <c r="BO1638" s="2">
        <v>40.909999999999997</v>
      </c>
      <c r="BQ1638" s="2" t="s">
        <v>82</v>
      </c>
      <c r="BR1638" s="2" t="s">
        <v>103</v>
      </c>
      <c r="BS1638" s="3">
        <v>43082</v>
      </c>
      <c r="BT1638" s="4">
        <v>0.71319444444444446</v>
      </c>
      <c r="BU1638" s="2" t="s">
        <v>2074</v>
      </c>
      <c r="BV1638" s="2" t="s">
        <v>89</v>
      </c>
      <c r="BW1638" s="2" t="s">
        <v>156</v>
      </c>
      <c r="BX1638" s="2" t="s">
        <v>157</v>
      </c>
      <c r="BY1638" s="2">
        <v>4656.96</v>
      </c>
      <c r="BZ1638" s="2" t="s">
        <v>27</v>
      </c>
      <c r="CA1638" s="2" t="s">
        <v>1292</v>
      </c>
      <c r="CC1638" s="2" t="s">
        <v>153</v>
      </c>
      <c r="CD1638" s="2">
        <v>1422</v>
      </c>
      <c r="CE1638" s="2" t="s">
        <v>95</v>
      </c>
      <c r="CF1638" s="3">
        <v>43084</v>
      </c>
      <c r="CI1638" s="2">
        <v>1</v>
      </c>
      <c r="CJ1638" s="2">
        <v>1</v>
      </c>
      <c r="CK1638" s="2">
        <v>22</v>
      </c>
      <c r="CL1638" s="2" t="s">
        <v>89</v>
      </c>
    </row>
    <row r="1639" spans="1:90">
      <c r="A1639" s="2" t="s">
        <v>71</v>
      </c>
      <c r="B1639" s="2" t="s">
        <v>72</v>
      </c>
      <c r="C1639" s="2" t="s">
        <v>73</v>
      </c>
      <c r="E1639" s="2" t="str">
        <f>"FES1162595168"</f>
        <v>FES1162595168</v>
      </c>
      <c r="F1639" s="3">
        <v>43081</v>
      </c>
      <c r="G1639" s="2">
        <v>201806</v>
      </c>
      <c r="H1639" s="2" t="s">
        <v>74</v>
      </c>
      <c r="I1639" s="2" t="s">
        <v>75</v>
      </c>
      <c r="J1639" s="2" t="s">
        <v>97</v>
      </c>
      <c r="K1639" s="2" t="s">
        <v>77</v>
      </c>
      <c r="L1639" s="2" t="s">
        <v>152</v>
      </c>
      <c r="M1639" s="2" t="s">
        <v>153</v>
      </c>
      <c r="N1639" s="2" t="s">
        <v>1494</v>
      </c>
      <c r="O1639" s="2" t="s">
        <v>101</v>
      </c>
      <c r="P1639" s="2" t="str">
        <f>"2170607064                    "</f>
        <v xml:space="preserve">2170607064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5.03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35.89</v>
      </c>
      <c r="BM1639" s="2">
        <v>5.0199999999999996</v>
      </c>
      <c r="BN1639" s="2">
        <v>40.909999999999997</v>
      </c>
      <c r="BO1639" s="2">
        <v>40.909999999999997</v>
      </c>
      <c r="BQ1639" s="2" t="s">
        <v>1495</v>
      </c>
      <c r="BR1639" s="2" t="s">
        <v>103</v>
      </c>
      <c r="BS1639" s="3">
        <v>43082</v>
      </c>
      <c r="BT1639" s="4">
        <v>0.37361111111111112</v>
      </c>
      <c r="BU1639" s="2" t="s">
        <v>205</v>
      </c>
      <c r="BV1639" s="2" t="s">
        <v>85</v>
      </c>
      <c r="BY1639" s="2">
        <v>1200</v>
      </c>
      <c r="BZ1639" s="2" t="s">
        <v>27</v>
      </c>
      <c r="CA1639" s="2" t="s">
        <v>1292</v>
      </c>
      <c r="CC1639" s="2" t="s">
        <v>153</v>
      </c>
      <c r="CD1639" s="2">
        <v>1428</v>
      </c>
      <c r="CE1639" s="2" t="s">
        <v>120</v>
      </c>
      <c r="CF1639" s="3">
        <v>43084</v>
      </c>
      <c r="CI1639" s="2">
        <v>1</v>
      </c>
      <c r="CJ1639" s="2">
        <v>1</v>
      </c>
      <c r="CK1639" s="2">
        <v>22</v>
      </c>
      <c r="CL1639" s="2" t="s">
        <v>89</v>
      </c>
    </row>
    <row r="1640" spans="1:90">
      <c r="A1640" s="2" t="s">
        <v>71</v>
      </c>
      <c r="B1640" s="2" t="s">
        <v>72</v>
      </c>
      <c r="C1640" s="2" t="s">
        <v>73</v>
      </c>
      <c r="E1640" s="2" t="str">
        <f>"FES1162595262"</f>
        <v>FES1162595262</v>
      </c>
      <c r="F1640" s="3">
        <v>43081</v>
      </c>
      <c r="G1640" s="2">
        <v>201806</v>
      </c>
      <c r="H1640" s="2" t="s">
        <v>74</v>
      </c>
      <c r="I1640" s="2" t="s">
        <v>75</v>
      </c>
      <c r="J1640" s="2" t="s">
        <v>97</v>
      </c>
      <c r="K1640" s="2" t="s">
        <v>77</v>
      </c>
      <c r="L1640" s="2" t="s">
        <v>115</v>
      </c>
      <c r="M1640" s="2" t="s">
        <v>116</v>
      </c>
      <c r="N1640" s="2" t="s">
        <v>633</v>
      </c>
      <c r="O1640" s="2" t="s">
        <v>101</v>
      </c>
      <c r="P1640" s="2" t="str">
        <f>"2170605498                    "</f>
        <v xml:space="preserve">2170605498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5.03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35.89</v>
      </c>
      <c r="BM1640" s="2">
        <v>5.0199999999999996</v>
      </c>
      <c r="BN1640" s="2">
        <v>40.909999999999997</v>
      </c>
      <c r="BO1640" s="2">
        <v>40.909999999999997</v>
      </c>
      <c r="BQ1640" s="2" t="s">
        <v>634</v>
      </c>
      <c r="BR1640" s="2" t="s">
        <v>103</v>
      </c>
      <c r="BS1640" s="3">
        <v>43082</v>
      </c>
      <c r="BT1640" s="4">
        <v>0.34652777777777777</v>
      </c>
      <c r="BU1640" s="2" t="s">
        <v>2075</v>
      </c>
      <c r="BV1640" s="2" t="s">
        <v>85</v>
      </c>
      <c r="BY1640" s="2">
        <v>1200</v>
      </c>
      <c r="BZ1640" s="2" t="s">
        <v>27</v>
      </c>
      <c r="CA1640" s="2" t="s">
        <v>386</v>
      </c>
      <c r="CC1640" s="2" t="s">
        <v>116</v>
      </c>
      <c r="CD1640" s="2">
        <v>1459</v>
      </c>
      <c r="CE1640" s="2" t="s">
        <v>120</v>
      </c>
      <c r="CF1640" s="3">
        <v>43083</v>
      </c>
      <c r="CI1640" s="2">
        <v>1</v>
      </c>
      <c r="CJ1640" s="2">
        <v>1</v>
      </c>
      <c r="CK1640" s="2">
        <v>22</v>
      </c>
      <c r="CL1640" s="2" t="s">
        <v>89</v>
      </c>
    </row>
    <row r="1641" spans="1:90">
      <c r="A1641" s="2" t="s">
        <v>71</v>
      </c>
      <c r="B1641" s="2" t="s">
        <v>72</v>
      </c>
      <c r="C1641" s="2" t="s">
        <v>73</v>
      </c>
      <c r="E1641" s="2" t="str">
        <f>"FES1162595258"</f>
        <v>FES1162595258</v>
      </c>
      <c r="F1641" s="3">
        <v>43081</v>
      </c>
      <c r="G1641" s="2">
        <v>201806</v>
      </c>
      <c r="H1641" s="2" t="s">
        <v>74</v>
      </c>
      <c r="I1641" s="2" t="s">
        <v>75</v>
      </c>
      <c r="J1641" s="2" t="s">
        <v>97</v>
      </c>
      <c r="K1641" s="2" t="s">
        <v>77</v>
      </c>
      <c r="L1641" s="2" t="s">
        <v>262</v>
      </c>
      <c r="M1641" s="2" t="s">
        <v>263</v>
      </c>
      <c r="N1641" s="2" t="s">
        <v>809</v>
      </c>
      <c r="O1641" s="2" t="s">
        <v>101</v>
      </c>
      <c r="P1641" s="2" t="str">
        <f>"2170604583                    "</f>
        <v xml:space="preserve">2170604583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6.43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1</v>
      </c>
      <c r="BJ1641" s="2">
        <v>0.2</v>
      </c>
      <c r="BK1641" s="2">
        <v>1</v>
      </c>
      <c r="BL1641" s="2">
        <v>45.93</v>
      </c>
      <c r="BM1641" s="2">
        <v>6.43</v>
      </c>
      <c r="BN1641" s="2">
        <v>52.36</v>
      </c>
      <c r="BO1641" s="2">
        <v>52.36</v>
      </c>
      <c r="BQ1641" s="2" t="s">
        <v>102</v>
      </c>
      <c r="BR1641" s="2" t="s">
        <v>103</v>
      </c>
      <c r="BS1641" s="3">
        <v>43082</v>
      </c>
      <c r="BT1641" s="4">
        <v>0.39027777777777778</v>
      </c>
      <c r="BU1641" s="2" t="s">
        <v>2076</v>
      </c>
      <c r="BV1641" s="2" t="s">
        <v>85</v>
      </c>
      <c r="BY1641" s="2">
        <v>1200</v>
      </c>
      <c r="BZ1641" s="2" t="s">
        <v>27</v>
      </c>
      <c r="CA1641" s="2" t="s">
        <v>266</v>
      </c>
      <c r="CC1641" s="2" t="s">
        <v>263</v>
      </c>
      <c r="CD1641" s="2">
        <v>6229</v>
      </c>
      <c r="CE1641" s="2" t="s">
        <v>383</v>
      </c>
      <c r="CF1641" s="3">
        <v>43084</v>
      </c>
      <c r="CI1641" s="2">
        <v>1</v>
      </c>
      <c r="CJ1641" s="2">
        <v>1</v>
      </c>
      <c r="CK1641" s="2">
        <v>21</v>
      </c>
      <c r="CL1641" s="2" t="s">
        <v>89</v>
      </c>
    </row>
    <row r="1642" spans="1:90">
      <c r="A1642" s="2" t="s">
        <v>71</v>
      </c>
      <c r="B1642" s="2" t="s">
        <v>72</v>
      </c>
      <c r="C1642" s="2" t="s">
        <v>73</v>
      </c>
      <c r="E1642" s="2" t="str">
        <f>"FES1162595098"</f>
        <v>FES1162595098</v>
      </c>
      <c r="F1642" s="3">
        <v>43081</v>
      </c>
      <c r="G1642" s="2">
        <v>201806</v>
      </c>
      <c r="H1642" s="2" t="s">
        <v>74</v>
      </c>
      <c r="I1642" s="2" t="s">
        <v>75</v>
      </c>
      <c r="J1642" s="2" t="s">
        <v>97</v>
      </c>
      <c r="K1642" s="2" t="s">
        <v>77</v>
      </c>
      <c r="L1642" s="2" t="s">
        <v>651</v>
      </c>
      <c r="M1642" s="2" t="s">
        <v>652</v>
      </c>
      <c r="N1642" s="2" t="s">
        <v>949</v>
      </c>
      <c r="O1642" s="2" t="s">
        <v>101</v>
      </c>
      <c r="P1642" s="2" t="str">
        <f>"2170607005                    "</f>
        <v xml:space="preserve">2170607005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9.0500000000000007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</v>
      </c>
      <c r="BJ1642" s="2">
        <v>0.2</v>
      </c>
      <c r="BK1642" s="2">
        <v>1</v>
      </c>
      <c r="BL1642" s="2">
        <v>64.599999999999994</v>
      </c>
      <c r="BM1642" s="2">
        <v>9.0399999999999991</v>
      </c>
      <c r="BN1642" s="2">
        <v>73.64</v>
      </c>
      <c r="BO1642" s="2">
        <v>73.64</v>
      </c>
      <c r="BQ1642" s="2" t="s">
        <v>82</v>
      </c>
      <c r="BR1642" s="2" t="s">
        <v>103</v>
      </c>
      <c r="BS1642" s="3">
        <v>43082</v>
      </c>
      <c r="BT1642" s="4">
        <v>0.47569444444444442</v>
      </c>
      <c r="BU1642" s="2" t="s">
        <v>1813</v>
      </c>
      <c r="BV1642" s="2" t="s">
        <v>85</v>
      </c>
      <c r="BY1642" s="2">
        <v>1200</v>
      </c>
      <c r="BZ1642" s="2" t="s">
        <v>27</v>
      </c>
      <c r="CC1642" s="2" t="s">
        <v>652</v>
      </c>
      <c r="CD1642" s="2">
        <v>250</v>
      </c>
      <c r="CE1642" s="2" t="s">
        <v>383</v>
      </c>
      <c r="CF1642" s="3">
        <v>43084</v>
      </c>
      <c r="CI1642" s="2">
        <v>1</v>
      </c>
      <c r="CJ1642" s="2">
        <v>1</v>
      </c>
      <c r="CK1642" s="2">
        <v>24</v>
      </c>
      <c r="CL1642" s="2" t="s">
        <v>89</v>
      </c>
    </row>
    <row r="1643" spans="1:90">
      <c r="A1643" s="2" t="s">
        <v>71</v>
      </c>
      <c r="B1643" s="2" t="s">
        <v>72</v>
      </c>
      <c r="C1643" s="2" t="s">
        <v>73</v>
      </c>
      <c r="E1643" s="2" t="str">
        <f>"FES1162595027"</f>
        <v>FES1162595027</v>
      </c>
      <c r="F1643" s="3">
        <v>43081</v>
      </c>
      <c r="G1643" s="2">
        <v>201806</v>
      </c>
      <c r="H1643" s="2" t="s">
        <v>74</v>
      </c>
      <c r="I1643" s="2" t="s">
        <v>75</v>
      </c>
      <c r="J1643" s="2" t="s">
        <v>97</v>
      </c>
      <c r="K1643" s="2" t="s">
        <v>77</v>
      </c>
      <c r="L1643" s="2" t="s">
        <v>74</v>
      </c>
      <c r="M1643" s="2" t="s">
        <v>75</v>
      </c>
      <c r="N1643" s="2" t="s">
        <v>503</v>
      </c>
      <c r="O1643" s="2" t="s">
        <v>101</v>
      </c>
      <c r="P1643" s="2" t="str">
        <f>"2170606952                    "</f>
        <v xml:space="preserve">2170606952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5.03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3.3</v>
      </c>
      <c r="BJ1643" s="2">
        <v>1.6</v>
      </c>
      <c r="BK1643" s="2">
        <v>4</v>
      </c>
      <c r="BL1643" s="2">
        <v>35.89</v>
      </c>
      <c r="BM1643" s="2">
        <v>5.0199999999999996</v>
      </c>
      <c r="BN1643" s="2">
        <v>40.909999999999997</v>
      </c>
      <c r="BO1643" s="2">
        <v>40.909999999999997</v>
      </c>
      <c r="BQ1643" s="2" t="s">
        <v>128</v>
      </c>
      <c r="BR1643" s="2" t="s">
        <v>103</v>
      </c>
      <c r="BS1643" s="3">
        <v>43082</v>
      </c>
      <c r="BT1643" s="4">
        <v>0.4375</v>
      </c>
      <c r="BU1643" s="2" t="s">
        <v>2006</v>
      </c>
      <c r="BV1643" s="2" t="s">
        <v>85</v>
      </c>
      <c r="BY1643" s="2">
        <v>8082.07</v>
      </c>
      <c r="BZ1643" s="2" t="s">
        <v>27</v>
      </c>
      <c r="CA1643" s="2" t="s">
        <v>203</v>
      </c>
      <c r="CC1643" s="2" t="s">
        <v>75</v>
      </c>
      <c r="CD1643" s="2">
        <v>1665</v>
      </c>
      <c r="CE1643" s="2" t="s">
        <v>95</v>
      </c>
      <c r="CF1643" s="3">
        <v>43083</v>
      </c>
      <c r="CI1643" s="2">
        <v>1</v>
      </c>
      <c r="CJ1643" s="2">
        <v>1</v>
      </c>
      <c r="CK1643" s="2">
        <v>22</v>
      </c>
      <c r="CL1643" s="2" t="s">
        <v>89</v>
      </c>
    </row>
    <row r="1644" spans="1:90">
      <c r="A1644" s="2" t="s">
        <v>71</v>
      </c>
      <c r="B1644" s="2" t="s">
        <v>72</v>
      </c>
      <c r="C1644" s="2" t="s">
        <v>73</v>
      </c>
      <c r="E1644" s="2" t="str">
        <f>"FES1162594644"</f>
        <v>FES1162594644</v>
      </c>
      <c r="F1644" s="3">
        <v>43081</v>
      </c>
      <c r="G1644" s="2">
        <v>201806</v>
      </c>
      <c r="H1644" s="2" t="s">
        <v>74</v>
      </c>
      <c r="I1644" s="2" t="s">
        <v>75</v>
      </c>
      <c r="J1644" s="2" t="s">
        <v>97</v>
      </c>
      <c r="K1644" s="2" t="s">
        <v>77</v>
      </c>
      <c r="L1644" s="2" t="s">
        <v>131</v>
      </c>
      <c r="M1644" s="2" t="s">
        <v>132</v>
      </c>
      <c r="N1644" s="2" t="s">
        <v>228</v>
      </c>
      <c r="O1644" s="2" t="s">
        <v>101</v>
      </c>
      <c r="P1644" s="2" t="str">
        <f>"2170606490                    "</f>
        <v xml:space="preserve">2170606490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9.65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2.8</v>
      </c>
      <c r="BJ1644" s="2">
        <v>1.7</v>
      </c>
      <c r="BK1644" s="2">
        <v>3</v>
      </c>
      <c r="BL1644" s="2">
        <v>68.89</v>
      </c>
      <c r="BM1644" s="2">
        <v>9.64</v>
      </c>
      <c r="BN1644" s="2">
        <v>78.53</v>
      </c>
      <c r="BO1644" s="2">
        <v>78.53</v>
      </c>
      <c r="BQ1644" s="2" t="s">
        <v>229</v>
      </c>
      <c r="BR1644" s="2" t="s">
        <v>103</v>
      </c>
      <c r="BS1644" s="3">
        <v>43082</v>
      </c>
      <c r="BT1644" s="4">
        <v>0.39097222222222222</v>
      </c>
      <c r="BU1644" s="2" t="s">
        <v>230</v>
      </c>
      <c r="BV1644" s="2" t="s">
        <v>85</v>
      </c>
      <c r="BY1644" s="2">
        <v>8584.0499999999993</v>
      </c>
      <c r="BZ1644" s="2" t="s">
        <v>27</v>
      </c>
      <c r="CA1644" s="2" t="s">
        <v>231</v>
      </c>
      <c r="CC1644" s="2" t="s">
        <v>132</v>
      </c>
      <c r="CD1644" s="2">
        <v>4300</v>
      </c>
      <c r="CE1644" s="2" t="s">
        <v>288</v>
      </c>
      <c r="CF1644" s="3">
        <v>43083</v>
      </c>
      <c r="CI1644" s="2">
        <v>1</v>
      </c>
      <c r="CJ1644" s="2">
        <v>1</v>
      </c>
      <c r="CK1644" s="2">
        <v>21</v>
      </c>
      <c r="CL1644" s="2" t="s">
        <v>89</v>
      </c>
    </row>
    <row r="1645" spans="1:90">
      <c r="A1645" s="2" t="s">
        <v>71</v>
      </c>
      <c r="B1645" s="2" t="s">
        <v>72</v>
      </c>
      <c r="C1645" s="2" t="s">
        <v>73</v>
      </c>
      <c r="E1645" s="2" t="str">
        <f>"FES1162595278"</f>
        <v>FES1162595278</v>
      </c>
      <c r="F1645" s="3">
        <v>43081</v>
      </c>
      <c r="G1645" s="2">
        <v>201806</v>
      </c>
      <c r="H1645" s="2" t="s">
        <v>74</v>
      </c>
      <c r="I1645" s="2" t="s">
        <v>75</v>
      </c>
      <c r="J1645" s="2" t="s">
        <v>97</v>
      </c>
      <c r="K1645" s="2" t="s">
        <v>77</v>
      </c>
      <c r="L1645" s="2" t="s">
        <v>145</v>
      </c>
      <c r="M1645" s="2" t="s">
        <v>146</v>
      </c>
      <c r="N1645" s="2" t="s">
        <v>922</v>
      </c>
      <c r="O1645" s="2" t="s">
        <v>101</v>
      </c>
      <c r="P1645" s="2" t="str">
        <f>"2170606649                    "</f>
        <v xml:space="preserve">2170606649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6.43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</v>
      </c>
      <c r="BJ1645" s="2">
        <v>0.2</v>
      </c>
      <c r="BK1645" s="2">
        <v>1</v>
      </c>
      <c r="BL1645" s="2">
        <v>45.93</v>
      </c>
      <c r="BM1645" s="2">
        <v>6.43</v>
      </c>
      <c r="BN1645" s="2">
        <v>52.36</v>
      </c>
      <c r="BO1645" s="2">
        <v>52.36</v>
      </c>
      <c r="BQ1645" s="2" t="s">
        <v>102</v>
      </c>
      <c r="BR1645" s="2" t="s">
        <v>103</v>
      </c>
      <c r="BS1645" s="3">
        <v>43082</v>
      </c>
      <c r="BT1645" s="4">
        <v>0.42708333333333331</v>
      </c>
      <c r="BU1645" s="2" t="s">
        <v>1875</v>
      </c>
      <c r="BV1645" s="2" t="s">
        <v>85</v>
      </c>
      <c r="BY1645" s="2">
        <v>1200</v>
      </c>
      <c r="BZ1645" s="2" t="s">
        <v>27</v>
      </c>
      <c r="CA1645" s="2" t="s">
        <v>629</v>
      </c>
      <c r="CC1645" s="2" t="s">
        <v>146</v>
      </c>
      <c r="CD1645" s="2">
        <v>5201</v>
      </c>
      <c r="CE1645" s="2" t="s">
        <v>383</v>
      </c>
      <c r="CF1645" s="3">
        <v>43087</v>
      </c>
      <c r="CI1645" s="2">
        <v>1</v>
      </c>
      <c r="CJ1645" s="2">
        <v>1</v>
      </c>
      <c r="CK1645" s="2">
        <v>21</v>
      </c>
      <c r="CL1645" s="2" t="s">
        <v>89</v>
      </c>
    </row>
    <row r="1646" spans="1:90">
      <c r="A1646" s="2" t="s">
        <v>71</v>
      </c>
      <c r="B1646" s="2" t="s">
        <v>72</v>
      </c>
      <c r="C1646" s="2" t="s">
        <v>73</v>
      </c>
      <c r="E1646" s="2" t="str">
        <f>"FES1162594886"</f>
        <v>FES1162594886</v>
      </c>
      <c r="F1646" s="3">
        <v>43081</v>
      </c>
      <c r="G1646" s="2">
        <v>201806</v>
      </c>
      <c r="H1646" s="2" t="s">
        <v>74</v>
      </c>
      <c r="I1646" s="2" t="s">
        <v>75</v>
      </c>
      <c r="J1646" s="2" t="s">
        <v>97</v>
      </c>
      <c r="K1646" s="2" t="s">
        <v>77</v>
      </c>
      <c r="L1646" s="2" t="s">
        <v>125</v>
      </c>
      <c r="M1646" s="2" t="s">
        <v>126</v>
      </c>
      <c r="N1646" s="2" t="s">
        <v>2077</v>
      </c>
      <c r="O1646" s="2" t="s">
        <v>101</v>
      </c>
      <c r="P1646" s="2" t="str">
        <f>"2170606783                    "</f>
        <v xml:space="preserve">2170606783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6.43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1</v>
      </c>
      <c r="BJ1646" s="2">
        <v>0.2</v>
      </c>
      <c r="BK1646" s="2">
        <v>1</v>
      </c>
      <c r="BL1646" s="2">
        <v>45.93</v>
      </c>
      <c r="BM1646" s="2">
        <v>6.43</v>
      </c>
      <c r="BN1646" s="2">
        <v>52.36</v>
      </c>
      <c r="BO1646" s="2">
        <v>52.36</v>
      </c>
      <c r="BR1646" s="2" t="s">
        <v>103</v>
      </c>
      <c r="BS1646" s="3">
        <v>43082</v>
      </c>
      <c r="BT1646" s="4">
        <v>0.33263888888888887</v>
      </c>
      <c r="BU1646" s="2" t="s">
        <v>2078</v>
      </c>
      <c r="BV1646" s="2" t="s">
        <v>85</v>
      </c>
      <c r="BY1646" s="2">
        <v>1200</v>
      </c>
      <c r="BZ1646" s="2" t="s">
        <v>27</v>
      </c>
      <c r="CA1646" s="2" t="s">
        <v>2079</v>
      </c>
      <c r="CC1646" s="2" t="s">
        <v>126</v>
      </c>
      <c r="CD1646" s="2">
        <v>4068</v>
      </c>
      <c r="CE1646" s="2" t="s">
        <v>383</v>
      </c>
      <c r="CF1646" s="3">
        <v>43083</v>
      </c>
      <c r="CI1646" s="2">
        <v>1</v>
      </c>
      <c r="CJ1646" s="2">
        <v>1</v>
      </c>
      <c r="CK1646" s="2">
        <v>21</v>
      </c>
      <c r="CL1646" s="2" t="s">
        <v>89</v>
      </c>
    </row>
    <row r="1647" spans="1:90">
      <c r="A1647" s="2" t="s">
        <v>71</v>
      </c>
      <c r="B1647" s="2" t="s">
        <v>72</v>
      </c>
      <c r="C1647" s="2" t="s">
        <v>73</v>
      </c>
      <c r="E1647" s="2" t="str">
        <f>"FES1162595155"</f>
        <v>FES1162595155</v>
      </c>
      <c r="F1647" s="3">
        <v>43081</v>
      </c>
      <c r="G1647" s="2">
        <v>201806</v>
      </c>
      <c r="H1647" s="2" t="s">
        <v>74</v>
      </c>
      <c r="I1647" s="2" t="s">
        <v>75</v>
      </c>
      <c r="J1647" s="2" t="s">
        <v>97</v>
      </c>
      <c r="K1647" s="2" t="s">
        <v>77</v>
      </c>
      <c r="L1647" s="2" t="s">
        <v>158</v>
      </c>
      <c r="M1647" s="2" t="s">
        <v>159</v>
      </c>
      <c r="N1647" s="2" t="s">
        <v>186</v>
      </c>
      <c r="O1647" s="2" t="s">
        <v>101</v>
      </c>
      <c r="P1647" s="2" t="str">
        <f>"2170607059                    "</f>
        <v xml:space="preserve">2170607059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9.65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2</v>
      </c>
      <c r="BJ1647" s="2">
        <v>2.9</v>
      </c>
      <c r="BK1647" s="2">
        <v>3</v>
      </c>
      <c r="BL1647" s="2">
        <v>68.89</v>
      </c>
      <c r="BM1647" s="2">
        <v>9.64</v>
      </c>
      <c r="BN1647" s="2">
        <v>78.53</v>
      </c>
      <c r="BO1647" s="2">
        <v>78.53</v>
      </c>
      <c r="BQ1647" s="2" t="s">
        <v>82</v>
      </c>
      <c r="BR1647" s="2" t="s">
        <v>103</v>
      </c>
      <c r="BS1647" s="3">
        <v>43082</v>
      </c>
      <c r="BT1647" s="4">
        <v>0.41666666666666669</v>
      </c>
      <c r="BU1647" s="2" t="s">
        <v>794</v>
      </c>
      <c r="BV1647" s="2" t="s">
        <v>85</v>
      </c>
      <c r="BY1647" s="2">
        <v>14400</v>
      </c>
      <c r="BZ1647" s="2" t="s">
        <v>27</v>
      </c>
      <c r="CA1647" s="2" t="s">
        <v>322</v>
      </c>
      <c r="CC1647" s="2" t="s">
        <v>159</v>
      </c>
      <c r="CD1647" s="2">
        <v>159</v>
      </c>
      <c r="CE1647" s="2" t="s">
        <v>288</v>
      </c>
      <c r="CF1647" s="3">
        <v>43084</v>
      </c>
      <c r="CI1647" s="2">
        <v>1</v>
      </c>
      <c r="CJ1647" s="2">
        <v>1</v>
      </c>
      <c r="CK1647" s="2">
        <v>21</v>
      </c>
      <c r="CL1647" s="2" t="s">
        <v>89</v>
      </c>
    </row>
    <row r="1648" spans="1:90">
      <c r="A1648" s="2" t="s">
        <v>71</v>
      </c>
      <c r="B1648" s="2" t="s">
        <v>72</v>
      </c>
      <c r="C1648" s="2" t="s">
        <v>73</v>
      </c>
      <c r="E1648" s="2" t="str">
        <f>"FES1162595277"</f>
        <v>FES1162595277</v>
      </c>
      <c r="F1648" s="3">
        <v>43081</v>
      </c>
      <c r="G1648" s="2">
        <v>201806</v>
      </c>
      <c r="H1648" s="2" t="s">
        <v>74</v>
      </c>
      <c r="I1648" s="2" t="s">
        <v>75</v>
      </c>
      <c r="J1648" s="2" t="s">
        <v>97</v>
      </c>
      <c r="K1648" s="2" t="s">
        <v>77</v>
      </c>
      <c r="L1648" s="2" t="s">
        <v>145</v>
      </c>
      <c r="M1648" s="2" t="s">
        <v>146</v>
      </c>
      <c r="N1648" s="2" t="s">
        <v>922</v>
      </c>
      <c r="O1648" s="2" t="s">
        <v>101</v>
      </c>
      <c r="P1648" s="2" t="str">
        <f>"2170606643                    "</f>
        <v xml:space="preserve">2170606643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6.43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</v>
      </c>
      <c r="BJ1648" s="2">
        <v>0.2</v>
      </c>
      <c r="BK1648" s="2">
        <v>1</v>
      </c>
      <c r="BL1648" s="2">
        <v>45.93</v>
      </c>
      <c r="BM1648" s="2">
        <v>6.43</v>
      </c>
      <c r="BN1648" s="2">
        <v>52.36</v>
      </c>
      <c r="BO1648" s="2">
        <v>52.36</v>
      </c>
      <c r="BQ1648" s="2" t="s">
        <v>102</v>
      </c>
      <c r="BR1648" s="2" t="s">
        <v>103</v>
      </c>
      <c r="BS1648" s="3">
        <v>43082</v>
      </c>
      <c r="BT1648" s="4">
        <v>0.38611111111111113</v>
      </c>
      <c r="BU1648" s="2" t="s">
        <v>1942</v>
      </c>
      <c r="BV1648" s="2" t="s">
        <v>85</v>
      </c>
      <c r="BY1648" s="2">
        <v>1200</v>
      </c>
      <c r="BZ1648" s="2" t="s">
        <v>27</v>
      </c>
      <c r="CA1648" s="2" t="s">
        <v>183</v>
      </c>
      <c r="CC1648" s="2" t="s">
        <v>146</v>
      </c>
      <c r="CD1648" s="2">
        <v>5201</v>
      </c>
      <c r="CE1648" s="2" t="s">
        <v>383</v>
      </c>
      <c r="CF1648" s="3">
        <v>43087</v>
      </c>
      <c r="CI1648" s="2">
        <v>1</v>
      </c>
      <c r="CJ1648" s="2">
        <v>1</v>
      </c>
      <c r="CK1648" s="2">
        <v>21</v>
      </c>
      <c r="CL1648" s="2" t="s">
        <v>89</v>
      </c>
    </row>
    <row r="1649" spans="1:90">
      <c r="A1649" s="2" t="s">
        <v>71</v>
      </c>
      <c r="B1649" s="2" t="s">
        <v>72</v>
      </c>
      <c r="C1649" s="2" t="s">
        <v>73</v>
      </c>
      <c r="E1649" s="2" t="str">
        <f>"FES1162595224"</f>
        <v>FES1162595224</v>
      </c>
      <c r="F1649" s="3">
        <v>43081</v>
      </c>
      <c r="G1649" s="2">
        <v>201806</v>
      </c>
      <c r="H1649" s="2" t="s">
        <v>74</v>
      </c>
      <c r="I1649" s="2" t="s">
        <v>75</v>
      </c>
      <c r="J1649" s="2" t="s">
        <v>97</v>
      </c>
      <c r="K1649" s="2" t="s">
        <v>77</v>
      </c>
      <c r="L1649" s="2" t="s">
        <v>2066</v>
      </c>
      <c r="M1649" s="2" t="s">
        <v>2067</v>
      </c>
      <c r="N1649" s="2" t="s">
        <v>2068</v>
      </c>
      <c r="O1649" s="2" t="s">
        <v>101</v>
      </c>
      <c r="P1649" s="2" t="str">
        <f>"2170606525                    "</f>
        <v xml:space="preserve">2170606525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34.99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5.7</v>
      </c>
      <c r="BJ1649" s="2">
        <v>3</v>
      </c>
      <c r="BK1649" s="2">
        <v>6</v>
      </c>
      <c r="BL1649" s="2">
        <v>249.76</v>
      </c>
      <c r="BM1649" s="2">
        <v>34.97</v>
      </c>
      <c r="BN1649" s="2">
        <v>284.73</v>
      </c>
      <c r="BO1649" s="2">
        <v>284.73</v>
      </c>
      <c r="BQ1649" s="2" t="s">
        <v>82</v>
      </c>
      <c r="BR1649" s="2" t="s">
        <v>103</v>
      </c>
      <c r="BS1649" s="3">
        <v>43082</v>
      </c>
      <c r="BT1649" s="4">
        <v>0.37152777777777773</v>
      </c>
      <c r="BU1649" s="2" t="s">
        <v>2080</v>
      </c>
      <c r="BV1649" s="2" t="s">
        <v>85</v>
      </c>
      <c r="BY1649" s="2">
        <v>15191.33</v>
      </c>
      <c r="BZ1649" s="2" t="s">
        <v>27</v>
      </c>
      <c r="CA1649" s="2" t="s">
        <v>2081</v>
      </c>
      <c r="CC1649" s="2" t="s">
        <v>2067</v>
      </c>
      <c r="CD1649" s="2">
        <v>9750</v>
      </c>
      <c r="CE1649" s="2" t="s">
        <v>383</v>
      </c>
      <c r="CF1649" s="3">
        <v>43087</v>
      </c>
      <c r="CI1649" s="2">
        <v>3</v>
      </c>
      <c r="CJ1649" s="2">
        <v>1</v>
      </c>
      <c r="CK1649" s="2">
        <v>23</v>
      </c>
      <c r="CL1649" s="2" t="s">
        <v>89</v>
      </c>
    </row>
    <row r="1650" spans="1:90">
      <c r="A1650" s="2" t="s">
        <v>71</v>
      </c>
      <c r="B1650" s="2" t="s">
        <v>72</v>
      </c>
      <c r="C1650" s="2" t="s">
        <v>73</v>
      </c>
      <c r="E1650" s="2" t="str">
        <f>"FES1162595304"</f>
        <v>FES1162595304</v>
      </c>
      <c r="F1650" s="3">
        <v>43081</v>
      </c>
      <c r="G1650" s="2">
        <v>201806</v>
      </c>
      <c r="H1650" s="2" t="s">
        <v>74</v>
      </c>
      <c r="I1650" s="2" t="s">
        <v>75</v>
      </c>
      <c r="J1650" s="2" t="s">
        <v>97</v>
      </c>
      <c r="K1650" s="2" t="s">
        <v>77</v>
      </c>
      <c r="L1650" s="2" t="s">
        <v>136</v>
      </c>
      <c r="M1650" s="2" t="s">
        <v>137</v>
      </c>
      <c r="N1650" s="2" t="s">
        <v>1861</v>
      </c>
      <c r="O1650" s="2" t="s">
        <v>101</v>
      </c>
      <c r="P1650" s="2" t="str">
        <f>"2170607171                    "</f>
        <v xml:space="preserve">2170607171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6.43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1</v>
      </c>
      <c r="BJ1650" s="2">
        <v>0.2</v>
      </c>
      <c r="BK1650" s="2">
        <v>1</v>
      </c>
      <c r="BL1650" s="2">
        <v>45.93</v>
      </c>
      <c r="BM1650" s="2">
        <v>6.43</v>
      </c>
      <c r="BN1650" s="2">
        <v>52.36</v>
      </c>
      <c r="BO1650" s="2">
        <v>52.36</v>
      </c>
      <c r="BQ1650" s="2" t="s">
        <v>1862</v>
      </c>
      <c r="BR1650" s="2" t="s">
        <v>103</v>
      </c>
      <c r="BS1650" s="3">
        <v>43082</v>
      </c>
      <c r="BT1650" s="4">
        <v>0.40625</v>
      </c>
      <c r="BU1650" s="2" t="s">
        <v>1863</v>
      </c>
      <c r="BV1650" s="2" t="s">
        <v>85</v>
      </c>
      <c r="BY1650" s="2">
        <v>1200</v>
      </c>
      <c r="BZ1650" s="2" t="s">
        <v>27</v>
      </c>
      <c r="CA1650" s="2" t="s">
        <v>180</v>
      </c>
      <c r="CC1650" s="2" t="s">
        <v>137</v>
      </c>
      <c r="CD1650" s="2">
        <v>6001</v>
      </c>
      <c r="CE1650" s="2" t="s">
        <v>383</v>
      </c>
      <c r="CF1650" s="3">
        <v>43084</v>
      </c>
      <c r="CI1650" s="2">
        <v>1</v>
      </c>
      <c r="CJ1650" s="2">
        <v>1</v>
      </c>
      <c r="CK1650" s="2">
        <v>21</v>
      </c>
      <c r="CL1650" s="2" t="s">
        <v>89</v>
      </c>
    </row>
    <row r="1651" spans="1:90">
      <c r="A1651" s="2" t="s">
        <v>71</v>
      </c>
      <c r="B1651" s="2" t="s">
        <v>72</v>
      </c>
      <c r="C1651" s="2" t="s">
        <v>73</v>
      </c>
      <c r="E1651" s="2" t="str">
        <f>"FES1162595464"</f>
        <v>FES1162595464</v>
      </c>
      <c r="F1651" s="3">
        <v>43081</v>
      </c>
      <c r="G1651" s="2">
        <v>201806</v>
      </c>
      <c r="H1651" s="2" t="s">
        <v>74</v>
      </c>
      <c r="I1651" s="2" t="s">
        <v>75</v>
      </c>
      <c r="J1651" s="2" t="s">
        <v>97</v>
      </c>
      <c r="K1651" s="2" t="s">
        <v>77</v>
      </c>
      <c r="L1651" s="2" t="s">
        <v>74</v>
      </c>
      <c r="M1651" s="2" t="s">
        <v>75</v>
      </c>
      <c r="N1651" s="2" t="s">
        <v>353</v>
      </c>
      <c r="O1651" s="2" t="s">
        <v>101</v>
      </c>
      <c r="P1651" s="2" t="str">
        <f>"2170602851                    "</f>
        <v xml:space="preserve">2170602851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5.03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</v>
      </c>
      <c r="BJ1651" s="2">
        <v>0.2</v>
      </c>
      <c r="BK1651" s="2">
        <v>1</v>
      </c>
      <c r="BL1651" s="2">
        <v>35.89</v>
      </c>
      <c r="BM1651" s="2">
        <v>5.0199999999999996</v>
      </c>
      <c r="BN1651" s="2">
        <v>40.909999999999997</v>
      </c>
      <c r="BO1651" s="2">
        <v>40.909999999999997</v>
      </c>
      <c r="BQ1651" s="2" t="s">
        <v>102</v>
      </c>
      <c r="BR1651" s="2" t="s">
        <v>103</v>
      </c>
      <c r="BS1651" s="3">
        <v>43082</v>
      </c>
      <c r="BT1651" s="4">
        <v>0.2986111111111111</v>
      </c>
      <c r="BU1651" s="2" t="s">
        <v>846</v>
      </c>
      <c r="BV1651" s="2" t="s">
        <v>85</v>
      </c>
      <c r="BY1651" s="2">
        <v>1200</v>
      </c>
      <c r="BZ1651" s="2" t="s">
        <v>27</v>
      </c>
      <c r="CA1651" s="2" t="s">
        <v>355</v>
      </c>
      <c r="CC1651" s="2" t="s">
        <v>75</v>
      </c>
      <c r="CD1651" s="2">
        <v>1600</v>
      </c>
      <c r="CE1651" s="2" t="s">
        <v>120</v>
      </c>
      <c r="CF1651" s="3">
        <v>43083</v>
      </c>
      <c r="CI1651" s="2">
        <v>1</v>
      </c>
      <c r="CJ1651" s="2">
        <v>1</v>
      </c>
      <c r="CK1651" s="2">
        <v>22</v>
      </c>
      <c r="CL1651" s="2" t="s">
        <v>89</v>
      </c>
    </row>
    <row r="1652" spans="1:90">
      <c r="A1652" s="2" t="s">
        <v>71</v>
      </c>
      <c r="B1652" s="2" t="s">
        <v>72</v>
      </c>
      <c r="C1652" s="2" t="s">
        <v>73</v>
      </c>
      <c r="E1652" s="2" t="str">
        <f>"FES1162594649"</f>
        <v>FES1162594649</v>
      </c>
      <c r="F1652" s="3">
        <v>43081</v>
      </c>
      <c r="G1652" s="2">
        <v>201806</v>
      </c>
      <c r="H1652" s="2" t="s">
        <v>74</v>
      </c>
      <c r="I1652" s="2" t="s">
        <v>75</v>
      </c>
      <c r="J1652" s="2" t="s">
        <v>97</v>
      </c>
      <c r="K1652" s="2" t="s">
        <v>77</v>
      </c>
      <c r="L1652" s="2" t="s">
        <v>221</v>
      </c>
      <c r="M1652" s="2" t="s">
        <v>222</v>
      </c>
      <c r="N1652" s="2" t="s">
        <v>164</v>
      </c>
      <c r="O1652" s="2" t="s">
        <v>101</v>
      </c>
      <c r="P1652" s="2" t="str">
        <f>"2170606497                    "</f>
        <v xml:space="preserve">2170606497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6.43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</v>
      </c>
      <c r="BJ1652" s="2">
        <v>0.2</v>
      </c>
      <c r="BK1652" s="2">
        <v>1</v>
      </c>
      <c r="BL1652" s="2">
        <v>45.93</v>
      </c>
      <c r="BM1652" s="2">
        <v>6.43</v>
      </c>
      <c r="BN1652" s="2">
        <v>52.36</v>
      </c>
      <c r="BO1652" s="2">
        <v>52.36</v>
      </c>
      <c r="BQ1652" s="2" t="s">
        <v>102</v>
      </c>
      <c r="BR1652" s="2" t="s">
        <v>103</v>
      </c>
      <c r="BS1652" s="3">
        <v>43082</v>
      </c>
      <c r="BT1652" s="4">
        <v>0.4375</v>
      </c>
      <c r="BU1652" s="2" t="s">
        <v>2082</v>
      </c>
      <c r="BV1652" s="2" t="s">
        <v>85</v>
      </c>
      <c r="BY1652" s="2">
        <v>1200</v>
      </c>
      <c r="CC1652" s="2" t="s">
        <v>222</v>
      </c>
      <c r="CD1652" s="2">
        <v>4133</v>
      </c>
      <c r="CE1652" s="2" t="s">
        <v>120</v>
      </c>
      <c r="CF1652" s="3">
        <v>43083</v>
      </c>
      <c r="CI1652" s="2">
        <v>1</v>
      </c>
      <c r="CJ1652" s="2">
        <v>1</v>
      </c>
      <c r="CK1652" s="2">
        <v>21</v>
      </c>
      <c r="CL1652" s="2" t="s">
        <v>89</v>
      </c>
    </row>
    <row r="1653" spans="1:90">
      <c r="A1653" s="2" t="s">
        <v>71</v>
      </c>
      <c r="B1653" s="2" t="s">
        <v>72</v>
      </c>
      <c r="C1653" s="2" t="s">
        <v>73</v>
      </c>
      <c r="E1653" s="2" t="str">
        <f>"FES1162595455"</f>
        <v>FES1162595455</v>
      </c>
      <c r="F1653" s="3">
        <v>43081</v>
      </c>
      <c r="G1653" s="2">
        <v>201806</v>
      </c>
      <c r="H1653" s="2" t="s">
        <v>74</v>
      </c>
      <c r="I1653" s="2" t="s">
        <v>75</v>
      </c>
      <c r="J1653" s="2" t="s">
        <v>97</v>
      </c>
      <c r="K1653" s="2" t="s">
        <v>77</v>
      </c>
      <c r="L1653" s="2" t="s">
        <v>526</v>
      </c>
      <c r="M1653" s="2" t="s">
        <v>527</v>
      </c>
      <c r="N1653" s="2" t="s">
        <v>1355</v>
      </c>
      <c r="O1653" s="2" t="s">
        <v>101</v>
      </c>
      <c r="P1653" s="2" t="str">
        <f>"2170607320                    "</f>
        <v xml:space="preserve">2170607320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6.43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45.93</v>
      </c>
      <c r="BM1653" s="2">
        <v>6.43</v>
      </c>
      <c r="BN1653" s="2">
        <v>52.36</v>
      </c>
      <c r="BO1653" s="2">
        <v>52.36</v>
      </c>
      <c r="BQ1653" s="2" t="s">
        <v>82</v>
      </c>
      <c r="BR1653" s="2" t="s">
        <v>103</v>
      </c>
      <c r="BS1653" s="3">
        <v>43082</v>
      </c>
      <c r="BT1653" s="4">
        <v>0.41666666666666669</v>
      </c>
      <c r="BU1653" s="2" t="s">
        <v>2083</v>
      </c>
      <c r="BV1653" s="2" t="s">
        <v>85</v>
      </c>
      <c r="BY1653" s="2">
        <v>1200</v>
      </c>
      <c r="CA1653" s="2" t="s">
        <v>530</v>
      </c>
      <c r="CC1653" s="2" t="s">
        <v>527</v>
      </c>
      <c r="CD1653" s="2">
        <v>6850</v>
      </c>
      <c r="CE1653" s="2" t="s">
        <v>120</v>
      </c>
      <c r="CF1653" s="3">
        <v>43083</v>
      </c>
      <c r="CI1653" s="2">
        <v>3</v>
      </c>
      <c r="CJ1653" s="2">
        <v>1</v>
      </c>
      <c r="CK1653" s="2">
        <v>21</v>
      </c>
      <c r="CL1653" s="2" t="s">
        <v>89</v>
      </c>
    </row>
    <row r="1654" spans="1:90">
      <c r="A1654" s="2" t="s">
        <v>71</v>
      </c>
      <c r="B1654" s="2" t="s">
        <v>72</v>
      </c>
      <c r="C1654" s="2" t="s">
        <v>73</v>
      </c>
      <c r="E1654" s="2" t="str">
        <f>"FES1162595470"</f>
        <v>FES1162595470</v>
      </c>
      <c r="F1654" s="3">
        <v>43081</v>
      </c>
      <c r="G1654" s="2">
        <v>201806</v>
      </c>
      <c r="H1654" s="2" t="s">
        <v>74</v>
      </c>
      <c r="I1654" s="2" t="s">
        <v>75</v>
      </c>
      <c r="J1654" s="2" t="s">
        <v>97</v>
      </c>
      <c r="K1654" s="2" t="s">
        <v>77</v>
      </c>
      <c r="L1654" s="2" t="s">
        <v>521</v>
      </c>
      <c r="M1654" s="2" t="s">
        <v>522</v>
      </c>
      <c r="N1654" s="2" t="s">
        <v>523</v>
      </c>
      <c r="O1654" s="2" t="s">
        <v>101</v>
      </c>
      <c r="P1654" s="2" t="str">
        <f>"2170607339                    "</f>
        <v xml:space="preserve">2170607339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6.43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45.93</v>
      </c>
      <c r="BM1654" s="2">
        <v>6.43</v>
      </c>
      <c r="BN1654" s="2">
        <v>52.36</v>
      </c>
      <c r="BO1654" s="2">
        <v>52.36</v>
      </c>
      <c r="BQ1654" s="2" t="s">
        <v>102</v>
      </c>
      <c r="BR1654" s="2" t="s">
        <v>103</v>
      </c>
      <c r="BS1654" s="3">
        <v>43082</v>
      </c>
      <c r="BT1654" s="4">
        <v>0.40625</v>
      </c>
      <c r="BU1654" s="2" t="s">
        <v>2037</v>
      </c>
      <c r="BV1654" s="2" t="s">
        <v>85</v>
      </c>
      <c r="BY1654" s="2">
        <v>1200</v>
      </c>
      <c r="CC1654" s="2" t="s">
        <v>522</v>
      </c>
      <c r="CD1654" s="2">
        <v>6536</v>
      </c>
      <c r="CE1654" s="2" t="s">
        <v>120</v>
      </c>
      <c r="CF1654" s="3">
        <v>43084</v>
      </c>
      <c r="CI1654" s="2">
        <v>1</v>
      </c>
      <c r="CJ1654" s="2">
        <v>1</v>
      </c>
      <c r="CK1654" s="2">
        <v>21</v>
      </c>
      <c r="CL1654" s="2" t="s">
        <v>89</v>
      </c>
    </row>
    <row r="1655" spans="1:90">
      <c r="A1655" s="2" t="s">
        <v>71</v>
      </c>
      <c r="B1655" s="2" t="s">
        <v>72</v>
      </c>
      <c r="C1655" s="2" t="s">
        <v>73</v>
      </c>
      <c r="E1655" s="2" t="str">
        <f>"FES1162595500"</f>
        <v>FES1162595500</v>
      </c>
      <c r="F1655" s="3">
        <v>43081</v>
      </c>
      <c r="G1655" s="2">
        <v>201806</v>
      </c>
      <c r="H1655" s="2" t="s">
        <v>74</v>
      </c>
      <c r="I1655" s="2" t="s">
        <v>75</v>
      </c>
      <c r="J1655" s="2" t="s">
        <v>97</v>
      </c>
      <c r="K1655" s="2" t="s">
        <v>77</v>
      </c>
      <c r="L1655" s="2" t="s">
        <v>111</v>
      </c>
      <c r="M1655" s="2" t="s">
        <v>112</v>
      </c>
      <c r="N1655" s="2" t="s">
        <v>113</v>
      </c>
      <c r="O1655" s="2" t="s">
        <v>101</v>
      </c>
      <c r="P1655" s="2" t="str">
        <f>"2170606752                    "</f>
        <v xml:space="preserve">2170606752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6.43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0.2</v>
      </c>
      <c r="BK1655" s="2">
        <v>1</v>
      </c>
      <c r="BL1655" s="2">
        <v>45.93</v>
      </c>
      <c r="BM1655" s="2">
        <v>6.43</v>
      </c>
      <c r="BN1655" s="2">
        <v>52.36</v>
      </c>
      <c r="BO1655" s="2">
        <v>52.36</v>
      </c>
      <c r="BQ1655" s="2" t="s">
        <v>82</v>
      </c>
      <c r="BR1655" s="2" t="s">
        <v>103</v>
      </c>
      <c r="BS1655" s="3">
        <v>43082</v>
      </c>
      <c r="BT1655" s="4">
        <v>0.34722222222222227</v>
      </c>
      <c r="BU1655" s="2" t="s">
        <v>2052</v>
      </c>
      <c r="BV1655" s="2" t="s">
        <v>85</v>
      </c>
      <c r="BY1655" s="2">
        <v>1200</v>
      </c>
      <c r="BZ1655" s="2" t="s">
        <v>27</v>
      </c>
      <c r="CC1655" s="2" t="s">
        <v>112</v>
      </c>
      <c r="CD1655" s="2">
        <v>6220</v>
      </c>
      <c r="CE1655" s="2" t="s">
        <v>383</v>
      </c>
      <c r="CF1655" s="3">
        <v>43084</v>
      </c>
      <c r="CI1655" s="2">
        <v>1</v>
      </c>
      <c r="CJ1655" s="2">
        <v>1</v>
      </c>
      <c r="CK1655" s="2">
        <v>21</v>
      </c>
      <c r="CL1655" s="2" t="s">
        <v>89</v>
      </c>
    </row>
    <row r="1656" spans="1:90">
      <c r="A1656" s="2" t="s">
        <v>71</v>
      </c>
      <c r="B1656" s="2" t="s">
        <v>72</v>
      </c>
      <c r="C1656" s="2" t="s">
        <v>73</v>
      </c>
      <c r="E1656" s="2" t="str">
        <f>"FES1162595514"</f>
        <v>FES1162595514</v>
      </c>
      <c r="F1656" s="3">
        <v>43081</v>
      </c>
      <c r="G1656" s="2">
        <v>201806</v>
      </c>
      <c r="H1656" s="2" t="s">
        <v>74</v>
      </c>
      <c r="I1656" s="2" t="s">
        <v>75</v>
      </c>
      <c r="J1656" s="2" t="s">
        <v>97</v>
      </c>
      <c r="K1656" s="2" t="s">
        <v>77</v>
      </c>
      <c r="L1656" s="2" t="s">
        <v>136</v>
      </c>
      <c r="M1656" s="2" t="s">
        <v>137</v>
      </c>
      <c r="N1656" s="2" t="s">
        <v>1586</v>
      </c>
      <c r="O1656" s="2" t="s">
        <v>101</v>
      </c>
      <c r="P1656" s="2" t="str">
        <f>"2170607327                    "</f>
        <v xml:space="preserve">2170607327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6.43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45.93</v>
      </c>
      <c r="BM1656" s="2">
        <v>6.43</v>
      </c>
      <c r="BN1656" s="2">
        <v>52.36</v>
      </c>
      <c r="BO1656" s="2">
        <v>52.36</v>
      </c>
      <c r="BQ1656" s="2" t="s">
        <v>82</v>
      </c>
      <c r="BR1656" s="2" t="s">
        <v>103</v>
      </c>
      <c r="BS1656" s="3">
        <v>43082</v>
      </c>
      <c r="BT1656" s="4">
        <v>0.43402777777777773</v>
      </c>
      <c r="BU1656" s="2" t="s">
        <v>1587</v>
      </c>
      <c r="BV1656" s="2" t="s">
        <v>85</v>
      </c>
      <c r="BY1656" s="2">
        <v>1200</v>
      </c>
      <c r="BZ1656" s="2" t="s">
        <v>27</v>
      </c>
      <c r="CA1656" s="2" t="s">
        <v>261</v>
      </c>
      <c r="CC1656" s="2" t="s">
        <v>137</v>
      </c>
      <c r="CD1656" s="2">
        <v>6045</v>
      </c>
      <c r="CE1656" s="2" t="s">
        <v>383</v>
      </c>
      <c r="CF1656" s="3">
        <v>43084</v>
      </c>
      <c r="CI1656" s="2">
        <v>1</v>
      </c>
      <c r="CJ1656" s="2">
        <v>1</v>
      </c>
      <c r="CK1656" s="2">
        <v>21</v>
      </c>
      <c r="CL1656" s="2" t="s">
        <v>89</v>
      </c>
    </row>
    <row r="1657" spans="1:90">
      <c r="A1657" s="2" t="s">
        <v>71</v>
      </c>
      <c r="B1657" s="2" t="s">
        <v>72</v>
      </c>
      <c r="C1657" s="2" t="s">
        <v>73</v>
      </c>
      <c r="E1657" s="2" t="str">
        <f>"FES1162595308"</f>
        <v>FES1162595308</v>
      </c>
      <c r="F1657" s="3">
        <v>43081</v>
      </c>
      <c r="G1657" s="2">
        <v>201806</v>
      </c>
      <c r="H1657" s="2" t="s">
        <v>74</v>
      </c>
      <c r="I1657" s="2" t="s">
        <v>75</v>
      </c>
      <c r="J1657" s="2" t="s">
        <v>97</v>
      </c>
      <c r="K1657" s="2" t="s">
        <v>77</v>
      </c>
      <c r="L1657" s="2" t="s">
        <v>158</v>
      </c>
      <c r="M1657" s="2" t="s">
        <v>159</v>
      </c>
      <c r="N1657" s="2" t="s">
        <v>2025</v>
      </c>
      <c r="O1657" s="2" t="s">
        <v>101</v>
      </c>
      <c r="P1657" s="2" t="str">
        <f>"2170607174                    "</f>
        <v xml:space="preserve">2170607174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6.43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</v>
      </c>
      <c r="BJ1657" s="2">
        <v>0.2</v>
      </c>
      <c r="BK1657" s="2">
        <v>1</v>
      </c>
      <c r="BL1657" s="2">
        <v>45.93</v>
      </c>
      <c r="BM1657" s="2">
        <v>6.43</v>
      </c>
      <c r="BN1657" s="2">
        <v>52.36</v>
      </c>
      <c r="BO1657" s="2">
        <v>52.36</v>
      </c>
      <c r="BQ1657" s="2" t="s">
        <v>2084</v>
      </c>
      <c r="BR1657" s="2" t="s">
        <v>103</v>
      </c>
      <c r="BS1657" s="3">
        <v>43082</v>
      </c>
      <c r="BT1657" s="4">
        <v>0.5625</v>
      </c>
      <c r="BU1657" s="2" t="s">
        <v>2026</v>
      </c>
      <c r="BV1657" s="2" t="s">
        <v>89</v>
      </c>
      <c r="BW1657" s="2" t="s">
        <v>156</v>
      </c>
      <c r="BX1657" s="2" t="s">
        <v>565</v>
      </c>
      <c r="BY1657" s="2">
        <v>1200</v>
      </c>
      <c r="CA1657" s="2" t="s">
        <v>293</v>
      </c>
      <c r="CC1657" s="2" t="s">
        <v>159</v>
      </c>
      <c r="CD1657" s="2">
        <v>200</v>
      </c>
      <c r="CE1657" s="2" t="s">
        <v>120</v>
      </c>
      <c r="CF1657" s="3">
        <v>43084</v>
      </c>
      <c r="CI1657" s="2">
        <v>1</v>
      </c>
      <c r="CJ1657" s="2">
        <v>1</v>
      </c>
      <c r="CK1657" s="2">
        <v>21</v>
      </c>
      <c r="CL1657" s="2" t="s">
        <v>89</v>
      </c>
    </row>
    <row r="1658" spans="1:90">
      <c r="A1658" s="2" t="s">
        <v>71</v>
      </c>
      <c r="B1658" s="2" t="s">
        <v>72</v>
      </c>
      <c r="C1658" s="2" t="s">
        <v>73</v>
      </c>
      <c r="E1658" s="2" t="str">
        <f>"FES1162595376"</f>
        <v>FES1162595376</v>
      </c>
      <c r="F1658" s="3">
        <v>43081</v>
      </c>
      <c r="G1658" s="2">
        <v>201806</v>
      </c>
      <c r="H1658" s="2" t="s">
        <v>74</v>
      </c>
      <c r="I1658" s="2" t="s">
        <v>75</v>
      </c>
      <c r="J1658" s="2" t="s">
        <v>97</v>
      </c>
      <c r="K1658" s="2" t="s">
        <v>77</v>
      </c>
      <c r="L1658" s="2" t="s">
        <v>304</v>
      </c>
      <c r="M1658" s="2" t="s">
        <v>305</v>
      </c>
      <c r="N1658" s="2" t="s">
        <v>306</v>
      </c>
      <c r="O1658" s="2" t="s">
        <v>101</v>
      </c>
      <c r="P1658" s="2" t="str">
        <f>"2170607228                    "</f>
        <v xml:space="preserve">2170607228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9.0500000000000007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64.599999999999994</v>
      </c>
      <c r="BM1658" s="2">
        <v>9.0399999999999991</v>
      </c>
      <c r="BN1658" s="2">
        <v>73.64</v>
      </c>
      <c r="BO1658" s="2">
        <v>73.64</v>
      </c>
      <c r="BQ1658" s="2" t="s">
        <v>102</v>
      </c>
      <c r="BR1658" s="2" t="s">
        <v>103</v>
      </c>
      <c r="BS1658" s="3">
        <v>43082</v>
      </c>
      <c r="BT1658" s="4">
        <v>0.56944444444444442</v>
      </c>
      <c r="BU1658" s="2" t="s">
        <v>727</v>
      </c>
      <c r="BV1658" s="2" t="s">
        <v>85</v>
      </c>
      <c r="BY1658" s="2">
        <v>1200</v>
      </c>
      <c r="CC1658" s="2" t="s">
        <v>305</v>
      </c>
      <c r="CD1658" s="2">
        <v>1028</v>
      </c>
      <c r="CE1658" s="2" t="s">
        <v>120</v>
      </c>
      <c r="CF1658" s="3">
        <v>43084</v>
      </c>
      <c r="CI1658" s="2">
        <v>2</v>
      </c>
      <c r="CJ1658" s="2">
        <v>1</v>
      </c>
      <c r="CK1658" s="2">
        <v>24</v>
      </c>
      <c r="CL1658" s="2" t="s">
        <v>89</v>
      </c>
    </row>
    <row r="1659" spans="1:90">
      <c r="A1659" s="2" t="s">
        <v>71</v>
      </c>
      <c r="B1659" s="2" t="s">
        <v>72</v>
      </c>
      <c r="C1659" s="2" t="s">
        <v>73</v>
      </c>
      <c r="E1659" s="2" t="str">
        <f>"FES1162595350"</f>
        <v>FES1162595350</v>
      </c>
      <c r="F1659" s="3">
        <v>43081</v>
      </c>
      <c r="G1659" s="2">
        <v>201806</v>
      </c>
      <c r="H1659" s="2" t="s">
        <v>74</v>
      </c>
      <c r="I1659" s="2" t="s">
        <v>75</v>
      </c>
      <c r="J1659" s="2" t="s">
        <v>97</v>
      </c>
      <c r="K1659" s="2" t="s">
        <v>77</v>
      </c>
      <c r="L1659" s="2" t="s">
        <v>74</v>
      </c>
      <c r="M1659" s="2" t="s">
        <v>75</v>
      </c>
      <c r="N1659" s="2" t="s">
        <v>201</v>
      </c>
      <c r="O1659" s="2" t="s">
        <v>101</v>
      </c>
      <c r="P1659" s="2" t="str">
        <f>"2170604498                    "</f>
        <v xml:space="preserve">2170604498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5.03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1</v>
      </c>
      <c r="BJ1659" s="2">
        <v>0.2</v>
      </c>
      <c r="BK1659" s="2">
        <v>1</v>
      </c>
      <c r="BL1659" s="2">
        <v>35.89</v>
      </c>
      <c r="BM1659" s="2">
        <v>5.0199999999999996</v>
      </c>
      <c r="BN1659" s="2">
        <v>40.909999999999997</v>
      </c>
      <c r="BO1659" s="2">
        <v>40.909999999999997</v>
      </c>
      <c r="BQ1659" s="2" t="s">
        <v>102</v>
      </c>
      <c r="BR1659" s="2" t="s">
        <v>103</v>
      </c>
      <c r="BS1659" s="3">
        <v>43082</v>
      </c>
      <c r="BT1659" s="4">
        <v>0.4375</v>
      </c>
      <c r="BU1659" s="2" t="s">
        <v>202</v>
      </c>
      <c r="BV1659" s="2" t="s">
        <v>85</v>
      </c>
      <c r="BY1659" s="2">
        <v>1200</v>
      </c>
      <c r="CA1659" s="2" t="s">
        <v>203</v>
      </c>
      <c r="CC1659" s="2" t="s">
        <v>75</v>
      </c>
      <c r="CD1659" s="2">
        <v>1665</v>
      </c>
      <c r="CE1659" s="2" t="s">
        <v>120</v>
      </c>
      <c r="CF1659" s="3">
        <v>43083</v>
      </c>
      <c r="CI1659" s="2">
        <v>1</v>
      </c>
      <c r="CJ1659" s="2">
        <v>1</v>
      </c>
      <c r="CK1659" s="2">
        <v>22</v>
      </c>
      <c r="CL1659" s="2" t="s">
        <v>89</v>
      </c>
    </row>
    <row r="1660" spans="1:90">
      <c r="A1660" s="2" t="s">
        <v>71</v>
      </c>
      <c r="B1660" s="2" t="s">
        <v>72</v>
      </c>
      <c r="C1660" s="2" t="s">
        <v>73</v>
      </c>
      <c r="E1660" s="2" t="str">
        <f>"FES1162595359"</f>
        <v>FES1162595359</v>
      </c>
      <c r="F1660" s="3">
        <v>43081</v>
      </c>
      <c r="G1660" s="2">
        <v>201806</v>
      </c>
      <c r="H1660" s="2" t="s">
        <v>74</v>
      </c>
      <c r="I1660" s="2" t="s">
        <v>75</v>
      </c>
      <c r="J1660" s="2" t="s">
        <v>97</v>
      </c>
      <c r="K1660" s="2" t="s">
        <v>77</v>
      </c>
      <c r="L1660" s="2" t="s">
        <v>272</v>
      </c>
      <c r="M1660" s="2" t="s">
        <v>272</v>
      </c>
      <c r="N1660" s="2" t="s">
        <v>2085</v>
      </c>
      <c r="O1660" s="2" t="s">
        <v>101</v>
      </c>
      <c r="P1660" s="2" t="str">
        <f>"2170605518                    "</f>
        <v xml:space="preserve">2170605518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9.0500000000000007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64.599999999999994</v>
      </c>
      <c r="BM1660" s="2">
        <v>9.0399999999999991</v>
      </c>
      <c r="BN1660" s="2">
        <v>73.64</v>
      </c>
      <c r="BO1660" s="2">
        <v>73.64</v>
      </c>
      <c r="BQ1660" s="2" t="s">
        <v>2086</v>
      </c>
      <c r="BR1660" s="2" t="s">
        <v>103</v>
      </c>
      <c r="BS1660" s="3">
        <v>43082</v>
      </c>
      <c r="BT1660" s="4">
        <v>0.4375</v>
      </c>
      <c r="BU1660" s="2" t="s">
        <v>2087</v>
      </c>
      <c r="BV1660" s="2" t="s">
        <v>85</v>
      </c>
      <c r="BY1660" s="2">
        <v>1200</v>
      </c>
      <c r="CA1660" s="2" t="s">
        <v>389</v>
      </c>
      <c r="CC1660" s="2" t="s">
        <v>272</v>
      </c>
      <c r="CD1660" s="2">
        <v>1490</v>
      </c>
      <c r="CE1660" s="2" t="s">
        <v>120</v>
      </c>
      <c r="CF1660" s="3">
        <v>43084</v>
      </c>
      <c r="CI1660" s="2">
        <v>1</v>
      </c>
      <c r="CJ1660" s="2">
        <v>1</v>
      </c>
      <c r="CK1660" s="2">
        <v>24</v>
      </c>
      <c r="CL1660" s="2" t="s">
        <v>89</v>
      </c>
    </row>
    <row r="1661" spans="1:90">
      <c r="A1661" s="2" t="s">
        <v>71</v>
      </c>
      <c r="B1661" s="2" t="s">
        <v>72</v>
      </c>
      <c r="C1661" s="2" t="s">
        <v>73</v>
      </c>
      <c r="E1661" s="2" t="str">
        <f>"FES1162595419"</f>
        <v>FES1162595419</v>
      </c>
      <c r="F1661" s="3">
        <v>43081</v>
      </c>
      <c r="G1661" s="2">
        <v>201806</v>
      </c>
      <c r="H1661" s="2" t="s">
        <v>74</v>
      </c>
      <c r="I1661" s="2" t="s">
        <v>75</v>
      </c>
      <c r="J1661" s="2" t="s">
        <v>97</v>
      </c>
      <c r="K1661" s="2" t="s">
        <v>77</v>
      </c>
      <c r="L1661" s="2" t="s">
        <v>440</v>
      </c>
      <c r="M1661" s="2" t="s">
        <v>441</v>
      </c>
      <c r="N1661" s="2" t="s">
        <v>1844</v>
      </c>
      <c r="O1661" s="2" t="s">
        <v>101</v>
      </c>
      <c r="P1661" s="2" t="str">
        <f>"2170607285                    "</f>
        <v xml:space="preserve">2170607285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9.0500000000000007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1</v>
      </c>
      <c r="BJ1661" s="2">
        <v>0.2</v>
      </c>
      <c r="BK1661" s="2">
        <v>1</v>
      </c>
      <c r="BL1661" s="2">
        <v>64.599999999999994</v>
      </c>
      <c r="BM1661" s="2">
        <v>9.0399999999999991</v>
      </c>
      <c r="BN1661" s="2">
        <v>73.64</v>
      </c>
      <c r="BO1661" s="2">
        <v>73.64</v>
      </c>
      <c r="BQ1661" s="2" t="s">
        <v>82</v>
      </c>
      <c r="BR1661" s="2" t="s">
        <v>103</v>
      </c>
      <c r="BS1661" s="3">
        <v>43082</v>
      </c>
      <c r="BT1661" s="4">
        <v>0.52083333333333337</v>
      </c>
      <c r="BU1661" s="2" t="s">
        <v>2088</v>
      </c>
      <c r="BV1661" s="2" t="s">
        <v>85</v>
      </c>
      <c r="BY1661" s="2">
        <v>1200</v>
      </c>
      <c r="CA1661" s="2" t="s">
        <v>293</v>
      </c>
      <c r="CC1661" s="2" t="s">
        <v>441</v>
      </c>
      <c r="CD1661" s="2">
        <v>1759</v>
      </c>
      <c r="CE1661" s="2" t="s">
        <v>120</v>
      </c>
      <c r="CF1661" s="3">
        <v>43087</v>
      </c>
      <c r="CI1661" s="2">
        <v>1</v>
      </c>
      <c r="CJ1661" s="2">
        <v>1</v>
      </c>
      <c r="CK1661" s="2">
        <v>24</v>
      </c>
      <c r="CL1661" s="2" t="s">
        <v>89</v>
      </c>
    </row>
    <row r="1662" spans="1:90">
      <c r="A1662" s="2" t="s">
        <v>71</v>
      </c>
      <c r="B1662" s="2" t="s">
        <v>72</v>
      </c>
      <c r="C1662" s="2" t="s">
        <v>73</v>
      </c>
      <c r="E1662" s="2" t="str">
        <f>"FES1162595406"</f>
        <v>FES1162595406</v>
      </c>
      <c r="F1662" s="3">
        <v>43081</v>
      </c>
      <c r="G1662" s="2">
        <v>201806</v>
      </c>
      <c r="H1662" s="2" t="s">
        <v>74</v>
      </c>
      <c r="I1662" s="2" t="s">
        <v>75</v>
      </c>
      <c r="J1662" s="2" t="s">
        <v>97</v>
      </c>
      <c r="K1662" s="2" t="s">
        <v>77</v>
      </c>
      <c r="L1662" s="2" t="s">
        <v>106</v>
      </c>
      <c r="M1662" s="2" t="s">
        <v>107</v>
      </c>
      <c r="N1662" s="2" t="s">
        <v>108</v>
      </c>
      <c r="O1662" s="2" t="s">
        <v>101</v>
      </c>
      <c r="P1662" s="2" t="str">
        <f>"2170607267                    "</f>
        <v xml:space="preserve">2170607267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5.03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0.2</v>
      </c>
      <c r="BK1662" s="2">
        <v>1</v>
      </c>
      <c r="BL1662" s="2">
        <v>35.89</v>
      </c>
      <c r="BM1662" s="2">
        <v>5.0199999999999996</v>
      </c>
      <c r="BN1662" s="2">
        <v>40.909999999999997</v>
      </c>
      <c r="BO1662" s="2">
        <v>40.909999999999997</v>
      </c>
      <c r="BQ1662" s="2" t="s">
        <v>82</v>
      </c>
      <c r="BR1662" s="2" t="s">
        <v>103</v>
      </c>
      <c r="BS1662" s="3">
        <v>43082</v>
      </c>
      <c r="BT1662" s="4">
        <v>0.3888888888888889</v>
      </c>
      <c r="BU1662" s="2" t="s">
        <v>369</v>
      </c>
      <c r="BV1662" s="2" t="s">
        <v>85</v>
      </c>
      <c r="BY1662" s="2">
        <v>1200</v>
      </c>
      <c r="CA1662" s="2" t="s">
        <v>110</v>
      </c>
      <c r="CC1662" s="2" t="s">
        <v>107</v>
      </c>
      <c r="CD1662" s="2">
        <v>2094</v>
      </c>
      <c r="CE1662" s="2" t="s">
        <v>120</v>
      </c>
      <c r="CF1662" s="3">
        <v>43083</v>
      </c>
      <c r="CI1662" s="2">
        <v>1</v>
      </c>
      <c r="CJ1662" s="2">
        <v>1</v>
      </c>
      <c r="CK1662" s="2">
        <v>22</v>
      </c>
      <c r="CL1662" s="2" t="s">
        <v>89</v>
      </c>
    </row>
    <row r="1663" spans="1:90">
      <c r="A1663" s="2" t="s">
        <v>71</v>
      </c>
      <c r="B1663" s="2" t="s">
        <v>72</v>
      </c>
      <c r="C1663" s="2" t="s">
        <v>73</v>
      </c>
      <c r="E1663" s="2" t="str">
        <f>"FES1162595265"</f>
        <v>FES1162595265</v>
      </c>
      <c r="F1663" s="3">
        <v>43081</v>
      </c>
      <c r="G1663" s="2">
        <v>201806</v>
      </c>
      <c r="H1663" s="2" t="s">
        <v>74</v>
      </c>
      <c r="I1663" s="2" t="s">
        <v>75</v>
      </c>
      <c r="J1663" s="2" t="s">
        <v>97</v>
      </c>
      <c r="K1663" s="2" t="s">
        <v>77</v>
      </c>
      <c r="L1663" s="2" t="s">
        <v>115</v>
      </c>
      <c r="M1663" s="2" t="s">
        <v>116</v>
      </c>
      <c r="N1663" s="2" t="s">
        <v>283</v>
      </c>
      <c r="O1663" s="2" t="s">
        <v>101</v>
      </c>
      <c r="P1663" s="2" t="str">
        <f>"2170605646                    "</f>
        <v xml:space="preserve">2170605646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5.03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35.89</v>
      </c>
      <c r="BM1663" s="2">
        <v>5.0199999999999996</v>
      </c>
      <c r="BN1663" s="2">
        <v>40.909999999999997</v>
      </c>
      <c r="BO1663" s="2">
        <v>40.909999999999997</v>
      </c>
      <c r="BQ1663" s="2" t="s">
        <v>102</v>
      </c>
      <c r="BR1663" s="2" t="s">
        <v>103</v>
      </c>
      <c r="BS1663" s="3">
        <v>43083</v>
      </c>
      <c r="BT1663" s="4">
        <v>0.41666666666666669</v>
      </c>
      <c r="BU1663" s="2" t="s">
        <v>1801</v>
      </c>
      <c r="BV1663" s="2" t="s">
        <v>89</v>
      </c>
      <c r="BW1663" s="2" t="s">
        <v>149</v>
      </c>
      <c r="BX1663" s="2" t="s">
        <v>157</v>
      </c>
      <c r="BY1663" s="2">
        <v>1200</v>
      </c>
      <c r="CA1663" s="2" t="s">
        <v>293</v>
      </c>
      <c r="CC1663" s="2" t="s">
        <v>116</v>
      </c>
      <c r="CD1663" s="2">
        <v>1459</v>
      </c>
      <c r="CE1663" s="2" t="s">
        <v>120</v>
      </c>
      <c r="CF1663" s="3">
        <v>43084</v>
      </c>
      <c r="CI1663" s="2">
        <v>1</v>
      </c>
      <c r="CJ1663" s="2">
        <v>2</v>
      </c>
      <c r="CK1663" s="2">
        <v>22</v>
      </c>
      <c r="CL1663" s="2" t="s">
        <v>89</v>
      </c>
    </row>
    <row r="1664" spans="1:90">
      <c r="A1664" s="2" t="s">
        <v>71</v>
      </c>
      <c r="B1664" s="2" t="s">
        <v>72</v>
      </c>
      <c r="C1664" s="2" t="s">
        <v>73</v>
      </c>
      <c r="E1664" s="2" t="str">
        <f>"FES1162595468"</f>
        <v>FES1162595468</v>
      </c>
      <c r="F1664" s="3">
        <v>43081</v>
      </c>
      <c r="G1664" s="2">
        <v>201806</v>
      </c>
      <c r="H1664" s="2" t="s">
        <v>74</v>
      </c>
      <c r="I1664" s="2" t="s">
        <v>75</v>
      </c>
      <c r="J1664" s="2" t="s">
        <v>97</v>
      </c>
      <c r="K1664" s="2" t="s">
        <v>77</v>
      </c>
      <c r="L1664" s="2" t="s">
        <v>74</v>
      </c>
      <c r="M1664" s="2" t="s">
        <v>75</v>
      </c>
      <c r="N1664" s="2" t="s">
        <v>353</v>
      </c>
      <c r="O1664" s="2" t="s">
        <v>101</v>
      </c>
      <c r="P1664" s="2" t="str">
        <f>"2170607337                    "</f>
        <v xml:space="preserve">2170607337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5.03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35.89</v>
      </c>
      <c r="BM1664" s="2">
        <v>5.0199999999999996</v>
      </c>
      <c r="BN1664" s="2">
        <v>40.909999999999997</v>
      </c>
      <c r="BO1664" s="2">
        <v>40.909999999999997</v>
      </c>
      <c r="BQ1664" s="2" t="s">
        <v>102</v>
      </c>
      <c r="BR1664" s="2" t="s">
        <v>103</v>
      </c>
      <c r="BS1664" s="3">
        <v>43082</v>
      </c>
      <c r="BT1664" s="4">
        <v>0.2986111111111111</v>
      </c>
      <c r="BU1664" s="2" t="s">
        <v>846</v>
      </c>
      <c r="BV1664" s="2" t="s">
        <v>85</v>
      </c>
      <c r="BY1664" s="2">
        <v>1200</v>
      </c>
      <c r="CA1664" s="2" t="s">
        <v>355</v>
      </c>
      <c r="CC1664" s="2" t="s">
        <v>75</v>
      </c>
      <c r="CD1664" s="2">
        <v>1600</v>
      </c>
      <c r="CE1664" s="2" t="s">
        <v>120</v>
      </c>
      <c r="CF1664" s="3">
        <v>43083</v>
      </c>
      <c r="CI1664" s="2">
        <v>1</v>
      </c>
      <c r="CJ1664" s="2">
        <v>1</v>
      </c>
      <c r="CK1664" s="2">
        <v>22</v>
      </c>
      <c r="CL1664" s="2" t="s">
        <v>89</v>
      </c>
    </row>
    <row r="1665" spans="1:90">
      <c r="A1665" s="2" t="s">
        <v>71</v>
      </c>
      <c r="B1665" s="2" t="s">
        <v>72</v>
      </c>
      <c r="C1665" s="2" t="s">
        <v>73</v>
      </c>
      <c r="E1665" s="2" t="str">
        <f>"FES1162594760"</f>
        <v>FES1162594760</v>
      </c>
      <c r="F1665" s="3">
        <v>43081</v>
      </c>
      <c r="G1665" s="2">
        <v>201806</v>
      </c>
      <c r="H1665" s="2" t="s">
        <v>74</v>
      </c>
      <c r="I1665" s="2" t="s">
        <v>75</v>
      </c>
      <c r="J1665" s="2" t="s">
        <v>97</v>
      </c>
      <c r="K1665" s="2" t="s">
        <v>77</v>
      </c>
      <c r="L1665" s="2" t="s">
        <v>1976</v>
      </c>
      <c r="M1665" s="2" t="s">
        <v>1977</v>
      </c>
      <c r="N1665" s="2" t="s">
        <v>1978</v>
      </c>
      <c r="O1665" s="2" t="s">
        <v>101</v>
      </c>
      <c r="P1665" s="2" t="str">
        <f>"2170606653                    "</f>
        <v xml:space="preserve">2170606653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12.47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1</v>
      </c>
      <c r="BJ1665" s="2">
        <v>0.2</v>
      </c>
      <c r="BK1665" s="2">
        <v>1</v>
      </c>
      <c r="BL1665" s="2">
        <v>89</v>
      </c>
      <c r="BM1665" s="2">
        <v>12.46</v>
      </c>
      <c r="BN1665" s="2">
        <v>101.46</v>
      </c>
      <c r="BO1665" s="2">
        <v>101.46</v>
      </c>
      <c r="BQ1665" s="2" t="s">
        <v>187</v>
      </c>
      <c r="BR1665" s="2" t="s">
        <v>103</v>
      </c>
      <c r="BS1665" s="3">
        <v>43082</v>
      </c>
      <c r="BT1665" s="4">
        <v>0.37638888888888888</v>
      </c>
      <c r="BU1665" s="2" t="s">
        <v>1979</v>
      </c>
      <c r="BV1665" s="2" t="s">
        <v>85</v>
      </c>
      <c r="BY1665" s="2">
        <v>1200</v>
      </c>
      <c r="CA1665" s="2" t="s">
        <v>225</v>
      </c>
      <c r="CC1665" s="2" t="s">
        <v>1977</v>
      </c>
      <c r="CD1665" s="2">
        <v>4339</v>
      </c>
      <c r="CE1665" s="2" t="s">
        <v>120</v>
      </c>
      <c r="CF1665" s="3">
        <v>43084</v>
      </c>
      <c r="CI1665" s="2">
        <v>1</v>
      </c>
      <c r="CJ1665" s="2">
        <v>1</v>
      </c>
      <c r="CK1665" s="2">
        <v>23</v>
      </c>
      <c r="CL1665" s="2" t="s">
        <v>89</v>
      </c>
    </row>
    <row r="1666" spans="1:90">
      <c r="A1666" s="2" t="s">
        <v>71</v>
      </c>
      <c r="B1666" s="2" t="s">
        <v>72</v>
      </c>
      <c r="C1666" s="2" t="s">
        <v>73</v>
      </c>
      <c r="E1666" s="2" t="str">
        <f>"FES1162595436"</f>
        <v>FES1162595436</v>
      </c>
      <c r="F1666" s="3">
        <v>43081</v>
      </c>
      <c r="G1666" s="2">
        <v>201806</v>
      </c>
      <c r="H1666" s="2" t="s">
        <v>74</v>
      </c>
      <c r="I1666" s="2" t="s">
        <v>75</v>
      </c>
      <c r="J1666" s="2" t="s">
        <v>97</v>
      </c>
      <c r="K1666" s="2" t="s">
        <v>77</v>
      </c>
      <c r="L1666" s="2" t="s">
        <v>136</v>
      </c>
      <c r="M1666" s="2" t="s">
        <v>137</v>
      </c>
      <c r="N1666" s="2" t="s">
        <v>1163</v>
      </c>
      <c r="O1666" s="2" t="s">
        <v>101</v>
      </c>
      <c r="P1666" s="2" t="str">
        <f>"2170606979                    "</f>
        <v xml:space="preserve">2170606979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6.43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45.93</v>
      </c>
      <c r="BM1666" s="2">
        <v>6.43</v>
      </c>
      <c r="BN1666" s="2">
        <v>52.36</v>
      </c>
      <c r="BO1666" s="2">
        <v>52.36</v>
      </c>
      <c r="BQ1666" s="2" t="s">
        <v>1164</v>
      </c>
      <c r="BR1666" s="2" t="s">
        <v>103</v>
      </c>
      <c r="BS1666" s="3">
        <v>43082</v>
      </c>
      <c r="BT1666" s="4">
        <v>0.34722222222222227</v>
      </c>
      <c r="BU1666" s="2" t="s">
        <v>1165</v>
      </c>
      <c r="BV1666" s="2" t="s">
        <v>85</v>
      </c>
      <c r="BY1666" s="2">
        <v>1200</v>
      </c>
      <c r="CA1666" s="2" t="s">
        <v>180</v>
      </c>
      <c r="CC1666" s="2" t="s">
        <v>137</v>
      </c>
      <c r="CD1666" s="2">
        <v>6014</v>
      </c>
      <c r="CE1666" s="2" t="s">
        <v>120</v>
      </c>
      <c r="CF1666" s="3">
        <v>43084</v>
      </c>
      <c r="CI1666" s="2">
        <v>1</v>
      </c>
      <c r="CJ1666" s="2">
        <v>1</v>
      </c>
      <c r="CK1666" s="2">
        <v>21</v>
      </c>
      <c r="CL1666" s="2" t="s">
        <v>89</v>
      </c>
    </row>
    <row r="1667" spans="1:90">
      <c r="A1667" s="2" t="s">
        <v>71</v>
      </c>
      <c r="B1667" s="2" t="s">
        <v>72</v>
      </c>
      <c r="C1667" s="2" t="s">
        <v>73</v>
      </c>
      <c r="E1667" s="2" t="str">
        <f>"FES1162595267"</f>
        <v>FES1162595267</v>
      </c>
      <c r="F1667" s="3">
        <v>43081</v>
      </c>
      <c r="G1667" s="2">
        <v>201806</v>
      </c>
      <c r="H1667" s="2" t="s">
        <v>74</v>
      </c>
      <c r="I1667" s="2" t="s">
        <v>75</v>
      </c>
      <c r="J1667" s="2" t="s">
        <v>97</v>
      </c>
      <c r="K1667" s="2" t="s">
        <v>77</v>
      </c>
      <c r="L1667" s="2" t="s">
        <v>115</v>
      </c>
      <c r="M1667" s="2" t="s">
        <v>116</v>
      </c>
      <c r="N1667" s="2" t="s">
        <v>2089</v>
      </c>
      <c r="O1667" s="2" t="s">
        <v>101</v>
      </c>
      <c r="P1667" s="2" t="str">
        <f>"2170605824                    "</f>
        <v xml:space="preserve">2170605824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5.03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35.89</v>
      </c>
      <c r="BM1667" s="2">
        <v>5.0199999999999996</v>
      </c>
      <c r="BN1667" s="2">
        <v>40.909999999999997</v>
      </c>
      <c r="BO1667" s="2">
        <v>40.909999999999997</v>
      </c>
      <c r="BQ1667" s="2" t="s">
        <v>82</v>
      </c>
      <c r="BR1667" s="2" t="s">
        <v>103</v>
      </c>
      <c r="BS1667" s="3">
        <v>43082</v>
      </c>
      <c r="BT1667" s="4">
        <v>0.27708333333333335</v>
      </c>
      <c r="BU1667" s="2" t="s">
        <v>2090</v>
      </c>
      <c r="BV1667" s="2" t="s">
        <v>85</v>
      </c>
      <c r="BY1667" s="2">
        <v>1200</v>
      </c>
      <c r="CA1667" s="2" t="s">
        <v>386</v>
      </c>
      <c r="CC1667" s="2" t="s">
        <v>116</v>
      </c>
      <c r="CD1667" s="2">
        <v>1459</v>
      </c>
      <c r="CE1667" s="2" t="s">
        <v>120</v>
      </c>
      <c r="CF1667" s="3">
        <v>43083</v>
      </c>
      <c r="CI1667" s="2">
        <v>1</v>
      </c>
      <c r="CJ1667" s="2">
        <v>1</v>
      </c>
      <c r="CK1667" s="2">
        <v>22</v>
      </c>
      <c r="CL1667" s="2" t="s">
        <v>89</v>
      </c>
    </row>
    <row r="1668" spans="1:90">
      <c r="A1668" s="2" t="s">
        <v>71</v>
      </c>
      <c r="B1668" s="2" t="s">
        <v>72</v>
      </c>
      <c r="C1668" s="2" t="s">
        <v>73</v>
      </c>
      <c r="E1668" s="2" t="str">
        <f>"FES1162595255"</f>
        <v>FES1162595255</v>
      </c>
      <c r="F1668" s="3">
        <v>43081</v>
      </c>
      <c r="G1668" s="2">
        <v>201806</v>
      </c>
      <c r="H1668" s="2" t="s">
        <v>74</v>
      </c>
      <c r="I1668" s="2" t="s">
        <v>75</v>
      </c>
      <c r="J1668" s="2" t="s">
        <v>97</v>
      </c>
      <c r="K1668" s="2" t="s">
        <v>77</v>
      </c>
      <c r="L1668" s="2" t="s">
        <v>115</v>
      </c>
      <c r="M1668" s="2" t="s">
        <v>116</v>
      </c>
      <c r="N1668" s="2" t="s">
        <v>2091</v>
      </c>
      <c r="O1668" s="2" t="s">
        <v>101</v>
      </c>
      <c r="P1668" s="2" t="str">
        <f>"2170603818                    "</f>
        <v xml:space="preserve">2170603818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5.03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35.89</v>
      </c>
      <c r="BM1668" s="2">
        <v>5.0199999999999996</v>
      </c>
      <c r="BN1668" s="2">
        <v>40.909999999999997</v>
      </c>
      <c r="BO1668" s="2">
        <v>40.909999999999997</v>
      </c>
      <c r="BQ1668" s="2" t="s">
        <v>2092</v>
      </c>
      <c r="BR1668" s="2" t="s">
        <v>103</v>
      </c>
      <c r="BS1668" s="3">
        <v>43082</v>
      </c>
      <c r="BT1668" s="4">
        <v>0.36249999999999999</v>
      </c>
      <c r="BU1668" s="2" t="s">
        <v>205</v>
      </c>
      <c r="BV1668" s="2" t="s">
        <v>85</v>
      </c>
      <c r="BY1668" s="2">
        <v>1200</v>
      </c>
      <c r="CA1668" s="2" t="s">
        <v>119</v>
      </c>
      <c r="CC1668" s="2" t="s">
        <v>116</v>
      </c>
      <c r="CD1668" s="2">
        <v>1459</v>
      </c>
      <c r="CE1668" s="2" t="s">
        <v>120</v>
      </c>
      <c r="CF1668" s="3">
        <v>43083</v>
      </c>
      <c r="CI1668" s="2">
        <v>1</v>
      </c>
      <c r="CJ1668" s="2">
        <v>1</v>
      </c>
      <c r="CK1668" s="2">
        <v>22</v>
      </c>
      <c r="CL1668" s="2" t="s">
        <v>89</v>
      </c>
    </row>
    <row r="1669" spans="1:90">
      <c r="A1669" s="2" t="s">
        <v>71</v>
      </c>
      <c r="B1669" s="2" t="s">
        <v>72</v>
      </c>
      <c r="C1669" s="2" t="s">
        <v>73</v>
      </c>
      <c r="E1669" s="2" t="str">
        <f>"FES1162594790"</f>
        <v>FES1162594790</v>
      </c>
      <c r="F1669" s="3">
        <v>43081</v>
      </c>
      <c r="G1669" s="2">
        <v>201806</v>
      </c>
      <c r="H1669" s="2" t="s">
        <v>74</v>
      </c>
      <c r="I1669" s="2" t="s">
        <v>75</v>
      </c>
      <c r="J1669" s="2" t="s">
        <v>97</v>
      </c>
      <c r="K1669" s="2" t="s">
        <v>77</v>
      </c>
      <c r="L1669" s="2" t="s">
        <v>125</v>
      </c>
      <c r="M1669" s="2" t="s">
        <v>126</v>
      </c>
      <c r="N1669" s="2" t="s">
        <v>955</v>
      </c>
      <c r="O1669" s="2" t="s">
        <v>101</v>
      </c>
      <c r="P1669" s="2" t="str">
        <f>"2170604990                    "</f>
        <v xml:space="preserve">2170604990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6.43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45.93</v>
      </c>
      <c r="BM1669" s="2">
        <v>6.43</v>
      </c>
      <c r="BN1669" s="2">
        <v>52.36</v>
      </c>
      <c r="BO1669" s="2">
        <v>52.36</v>
      </c>
      <c r="BQ1669" s="2" t="s">
        <v>102</v>
      </c>
      <c r="BR1669" s="2" t="s">
        <v>103</v>
      </c>
      <c r="BS1669" s="3">
        <v>43082</v>
      </c>
      <c r="BT1669" s="4">
        <v>0.40416666666666662</v>
      </c>
      <c r="BU1669" s="2" t="s">
        <v>2093</v>
      </c>
      <c r="BV1669" s="2" t="s">
        <v>85</v>
      </c>
      <c r="BY1669" s="2">
        <v>1200</v>
      </c>
      <c r="CA1669" s="2" t="s">
        <v>2073</v>
      </c>
      <c r="CC1669" s="2" t="s">
        <v>126</v>
      </c>
      <c r="CD1669" s="2">
        <v>4001</v>
      </c>
      <c r="CE1669" s="2" t="s">
        <v>120</v>
      </c>
      <c r="CF1669" s="3">
        <v>43083</v>
      </c>
      <c r="CI1669" s="2">
        <v>1</v>
      </c>
      <c r="CJ1669" s="2">
        <v>1</v>
      </c>
      <c r="CK1669" s="2">
        <v>21</v>
      </c>
      <c r="CL1669" s="2" t="s">
        <v>89</v>
      </c>
    </row>
    <row r="1670" spans="1:90">
      <c r="A1670" s="2" t="s">
        <v>71</v>
      </c>
      <c r="B1670" s="2" t="s">
        <v>72</v>
      </c>
      <c r="C1670" s="2" t="s">
        <v>73</v>
      </c>
      <c r="E1670" s="2" t="str">
        <f>"FES1162595386"</f>
        <v>FES1162595386</v>
      </c>
      <c r="F1670" s="3">
        <v>43081</v>
      </c>
      <c r="G1670" s="2">
        <v>201806</v>
      </c>
      <c r="H1670" s="2" t="s">
        <v>74</v>
      </c>
      <c r="I1670" s="2" t="s">
        <v>75</v>
      </c>
      <c r="J1670" s="2" t="s">
        <v>97</v>
      </c>
      <c r="K1670" s="2" t="s">
        <v>77</v>
      </c>
      <c r="L1670" s="2" t="s">
        <v>158</v>
      </c>
      <c r="M1670" s="2" t="s">
        <v>159</v>
      </c>
      <c r="N1670" s="2" t="s">
        <v>164</v>
      </c>
      <c r="O1670" s="2" t="s">
        <v>101</v>
      </c>
      <c r="P1670" s="2" t="str">
        <f>"2170607241                    "</f>
        <v xml:space="preserve">2170607241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6.43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45.93</v>
      </c>
      <c r="BM1670" s="2">
        <v>6.43</v>
      </c>
      <c r="BN1670" s="2">
        <v>52.36</v>
      </c>
      <c r="BO1670" s="2">
        <v>52.36</v>
      </c>
      <c r="BQ1670" s="2" t="s">
        <v>102</v>
      </c>
      <c r="BR1670" s="2" t="s">
        <v>103</v>
      </c>
      <c r="BS1670" s="3">
        <v>43082</v>
      </c>
      <c r="BT1670" s="4">
        <v>0.52777777777777779</v>
      </c>
      <c r="BU1670" s="2" t="s">
        <v>2024</v>
      </c>
      <c r="BV1670" s="2" t="s">
        <v>89</v>
      </c>
      <c r="BW1670" s="2" t="s">
        <v>156</v>
      </c>
      <c r="BX1670" s="2" t="s">
        <v>565</v>
      </c>
      <c r="BY1670" s="2">
        <v>1200</v>
      </c>
      <c r="CA1670" s="2" t="s">
        <v>293</v>
      </c>
      <c r="CC1670" s="2" t="s">
        <v>159</v>
      </c>
      <c r="CD1670" s="2">
        <v>200</v>
      </c>
      <c r="CE1670" s="2" t="s">
        <v>120</v>
      </c>
      <c r="CF1670" s="3">
        <v>43084</v>
      </c>
      <c r="CI1670" s="2">
        <v>1</v>
      </c>
      <c r="CJ1670" s="2">
        <v>1</v>
      </c>
      <c r="CK1670" s="2">
        <v>21</v>
      </c>
      <c r="CL1670" s="2" t="s">
        <v>89</v>
      </c>
    </row>
    <row r="1671" spans="1:90">
      <c r="A1671" s="2" t="s">
        <v>71</v>
      </c>
      <c r="B1671" s="2" t="s">
        <v>72</v>
      </c>
      <c r="C1671" s="2" t="s">
        <v>73</v>
      </c>
      <c r="E1671" s="2" t="str">
        <f>"FES1162595503"</f>
        <v>FES1162595503</v>
      </c>
      <c r="F1671" s="3">
        <v>43081</v>
      </c>
      <c r="G1671" s="2">
        <v>201806</v>
      </c>
      <c r="H1671" s="2" t="s">
        <v>74</v>
      </c>
      <c r="I1671" s="2" t="s">
        <v>75</v>
      </c>
      <c r="J1671" s="2" t="s">
        <v>97</v>
      </c>
      <c r="K1671" s="2" t="s">
        <v>77</v>
      </c>
      <c r="L1671" s="2" t="s">
        <v>136</v>
      </c>
      <c r="M1671" s="2" t="s">
        <v>137</v>
      </c>
      <c r="N1671" s="2" t="s">
        <v>1732</v>
      </c>
      <c r="O1671" s="2" t="s">
        <v>101</v>
      </c>
      <c r="P1671" s="2" t="str">
        <f>"2170607106                    "</f>
        <v xml:space="preserve">2170607106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6.43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45.93</v>
      </c>
      <c r="BM1671" s="2">
        <v>6.43</v>
      </c>
      <c r="BN1671" s="2">
        <v>52.36</v>
      </c>
      <c r="BO1671" s="2">
        <v>52.36</v>
      </c>
      <c r="BQ1671" s="2" t="s">
        <v>82</v>
      </c>
      <c r="BR1671" s="2" t="s">
        <v>103</v>
      </c>
      <c r="BS1671" s="3">
        <v>43082</v>
      </c>
      <c r="BT1671" s="4">
        <v>0.36458333333333331</v>
      </c>
      <c r="BU1671" s="2" t="s">
        <v>1947</v>
      </c>
      <c r="BV1671" s="2" t="s">
        <v>85</v>
      </c>
      <c r="BY1671" s="2">
        <v>1200</v>
      </c>
      <c r="CC1671" s="2" t="s">
        <v>137</v>
      </c>
      <c r="CD1671" s="2">
        <v>6001</v>
      </c>
      <c r="CE1671" s="2" t="s">
        <v>120</v>
      </c>
      <c r="CF1671" s="3">
        <v>43084</v>
      </c>
      <c r="CI1671" s="2">
        <v>1</v>
      </c>
      <c r="CJ1671" s="2">
        <v>1</v>
      </c>
      <c r="CK1671" s="2">
        <v>21</v>
      </c>
      <c r="CL1671" s="2" t="s">
        <v>89</v>
      </c>
    </row>
    <row r="1672" spans="1:90">
      <c r="A1672" s="2" t="s">
        <v>71</v>
      </c>
      <c r="B1672" s="2" t="s">
        <v>72</v>
      </c>
      <c r="C1672" s="2" t="s">
        <v>73</v>
      </c>
      <c r="E1672" s="2" t="str">
        <f>"FES1162595445"</f>
        <v>FES1162595445</v>
      </c>
      <c r="F1672" s="3">
        <v>43081</v>
      </c>
      <c r="G1672" s="2">
        <v>201806</v>
      </c>
      <c r="H1672" s="2" t="s">
        <v>74</v>
      </c>
      <c r="I1672" s="2" t="s">
        <v>75</v>
      </c>
      <c r="J1672" s="2" t="s">
        <v>97</v>
      </c>
      <c r="K1672" s="2" t="s">
        <v>77</v>
      </c>
      <c r="L1672" s="2" t="s">
        <v>526</v>
      </c>
      <c r="M1672" s="2" t="s">
        <v>527</v>
      </c>
      <c r="N1672" s="2" t="s">
        <v>528</v>
      </c>
      <c r="O1672" s="2" t="s">
        <v>101</v>
      </c>
      <c r="P1672" s="2" t="str">
        <f>"2170607308                    "</f>
        <v xml:space="preserve">2170607308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6.43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</v>
      </c>
      <c r="BJ1672" s="2">
        <v>0.2</v>
      </c>
      <c r="BK1672" s="2">
        <v>1</v>
      </c>
      <c r="BL1672" s="2">
        <v>45.93</v>
      </c>
      <c r="BM1672" s="2">
        <v>6.43</v>
      </c>
      <c r="BN1672" s="2">
        <v>52.36</v>
      </c>
      <c r="BO1672" s="2">
        <v>52.36</v>
      </c>
      <c r="BQ1672" s="2" t="s">
        <v>128</v>
      </c>
      <c r="BR1672" s="2" t="s">
        <v>103</v>
      </c>
      <c r="BS1672" s="3">
        <v>43082</v>
      </c>
      <c r="BT1672" s="4">
        <v>0.46527777777777773</v>
      </c>
      <c r="BU1672" s="2" t="s">
        <v>2094</v>
      </c>
      <c r="BV1672" s="2" t="s">
        <v>85</v>
      </c>
      <c r="BY1672" s="2">
        <v>1200</v>
      </c>
      <c r="CA1672" s="2" t="s">
        <v>530</v>
      </c>
      <c r="CC1672" s="2" t="s">
        <v>527</v>
      </c>
      <c r="CD1672" s="2">
        <v>6850</v>
      </c>
      <c r="CE1672" s="2" t="s">
        <v>120</v>
      </c>
      <c r="CF1672" s="3">
        <v>43082</v>
      </c>
      <c r="CI1672" s="2">
        <v>3</v>
      </c>
      <c r="CJ1672" s="2">
        <v>1</v>
      </c>
      <c r="CK1672" s="2">
        <v>21</v>
      </c>
      <c r="CL1672" s="2" t="s">
        <v>89</v>
      </c>
    </row>
    <row r="1673" spans="1:90">
      <c r="A1673" s="2" t="s">
        <v>71</v>
      </c>
      <c r="B1673" s="2" t="s">
        <v>72</v>
      </c>
      <c r="C1673" s="2" t="s">
        <v>73</v>
      </c>
      <c r="E1673" s="2" t="str">
        <f>"FES1162594825"</f>
        <v>FES1162594825</v>
      </c>
      <c r="F1673" s="3">
        <v>43081</v>
      </c>
      <c r="G1673" s="2">
        <v>201806</v>
      </c>
      <c r="H1673" s="2" t="s">
        <v>74</v>
      </c>
      <c r="I1673" s="2" t="s">
        <v>75</v>
      </c>
      <c r="J1673" s="2" t="s">
        <v>97</v>
      </c>
      <c r="K1673" s="2" t="s">
        <v>77</v>
      </c>
      <c r="L1673" s="2" t="s">
        <v>98</v>
      </c>
      <c r="M1673" s="2" t="s">
        <v>99</v>
      </c>
      <c r="N1673" s="2" t="s">
        <v>2095</v>
      </c>
      <c r="O1673" s="2" t="s">
        <v>101</v>
      </c>
      <c r="P1673" s="2" t="str">
        <f>"2170606718                    "</f>
        <v xml:space="preserve">2170606718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6.43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</v>
      </c>
      <c r="BJ1673" s="2">
        <v>0.2</v>
      </c>
      <c r="BK1673" s="2">
        <v>1</v>
      </c>
      <c r="BL1673" s="2">
        <v>45.93</v>
      </c>
      <c r="BM1673" s="2">
        <v>6.43</v>
      </c>
      <c r="BN1673" s="2">
        <v>52.36</v>
      </c>
      <c r="BO1673" s="2">
        <v>52.36</v>
      </c>
      <c r="BQ1673" s="2" t="s">
        <v>128</v>
      </c>
      <c r="BR1673" s="2" t="s">
        <v>103</v>
      </c>
      <c r="BS1673" s="3">
        <v>43082</v>
      </c>
      <c r="BT1673" s="4">
        <v>0.42569444444444443</v>
      </c>
      <c r="BU1673" s="2" t="s">
        <v>2096</v>
      </c>
      <c r="BV1673" s="2" t="s">
        <v>85</v>
      </c>
      <c r="BY1673" s="2">
        <v>1200</v>
      </c>
      <c r="CA1673" s="2" t="s">
        <v>497</v>
      </c>
      <c r="CC1673" s="2" t="s">
        <v>99</v>
      </c>
      <c r="CD1673" s="2">
        <v>3201</v>
      </c>
      <c r="CE1673" s="2" t="s">
        <v>120</v>
      </c>
      <c r="CF1673" s="3">
        <v>43083</v>
      </c>
      <c r="CI1673" s="2">
        <v>1</v>
      </c>
      <c r="CJ1673" s="2">
        <v>1</v>
      </c>
      <c r="CK1673" s="2">
        <v>21</v>
      </c>
      <c r="CL1673" s="2" t="s">
        <v>89</v>
      </c>
    </row>
    <row r="1674" spans="1:90">
      <c r="A1674" s="2" t="s">
        <v>71</v>
      </c>
      <c r="B1674" s="2" t="s">
        <v>72</v>
      </c>
      <c r="C1674" s="2" t="s">
        <v>73</v>
      </c>
      <c r="E1674" s="2" t="str">
        <f>"FES1162595077"</f>
        <v>FES1162595077</v>
      </c>
      <c r="F1674" s="3">
        <v>43081</v>
      </c>
      <c r="G1674" s="2">
        <v>201806</v>
      </c>
      <c r="H1674" s="2" t="s">
        <v>74</v>
      </c>
      <c r="I1674" s="2" t="s">
        <v>75</v>
      </c>
      <c r="J1674" s="2" t="s">
        <v>97</v>
      </c>
      <c r="K1674" s="2" t="s">
        <v>77</v>
      </c>
      <c r="L1674" s="2" t="s">
        <v>168</v>
      </c>
      <c r="M1674" s="2" t="s">
        <v>169</v>
      </c>
      <c r="N1674" s="2" t="s">
        <v>1574</v>
      </c>
      <c r="O1674" s="2" t="s">
        <v>101</v>
      </c>
      <c r="P1674" s="2" t="str">
        <f>"2170602429                    "</f>
        <v xml:space="preserve">2170602429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6.43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</v>
      </c>
      <c r="BJ1674" s="2">
        <v>0.2</v>
      </c>
      <c r="BK1674" s="2">
        <v>1</v>
      </c>
      <c r="BL1674" s="2">
        <v>45.93</v>
      </c>
      <c r="BM1674" s="2">
        <v>6.43</v>
      </c>
      <c r="BN1674" s="2">
        <v>52.36</v>
      </c>
      <c r="BO1674" s="2">
        <v>52.36</v>
      </c>
      <c r="BQ1674" s="2" t="s">
        <v>2097</v>
      </c>
      <c r="BR1674" s="2" t="s">
        <v>103</v>
      </c>
      <c r="BS1674" s="3">
        <v>43082</v>
      </c>
      <c r="BT1674" s="4">
        <v>0.38750000000000001</v>
      </c>
      <c r="BU1674" s="2" t="s">
        <v>2098</v>
      </c>
      <c r="BV1674" s="2" t="s">
        <v>85</v>
      </c>
      <c r="BY1674" s="2">
        <v>1200</v>
      </c>
      <c r="CA1674" s="2" t="s">
        <v>172</v>
      </c>
      <c r="CC1674" s="2" t="s">
        <v>169</v>
      </c>
      <c r="CD1674" s="2">
        <v>3610</v>
      </c>
      <c r="CE1674" s="2" t="s">
        <v>120</v>
      </c>
      <c r="CF1674" s="3">
        <v>43083</v>
      </c>
      <c r="CI1674" s="2">
        <v>1</v>
      </c>
      <c r="CJ1674" s="2">
        <v>1</v>
      </c>
      <c r="CK1674" s="2">
        <v>21</v>
      </c>
      <c r="CL1674" s="2" t="s">
        <v>89</v>
      </c>
    </row>
    <row r="1675" spans="1:90">
      <c r="A1675" s="2" t="s">
        <v>71</v>
      </c>
      <c r="B1675" s="2" t="s">
        <v>72</v>
      </c>
      <c r="C1675" s="2" t="s">
        <v>73</v>
      </c>
      <c r="E1675" s="2" t="str">
        <f>"FES1162595400"</f>
        <v>FES1162595400</v>
      </c>
      <c r="F1675" s="3">
        <v>43081</v>
      </c>
      <c r="G1675" s="2">
        <v>201806</v>
      </c>
      <c r="H1675" s="2" t="s">
        <v>74</v>
      </c>
      <c r="I1675" s="2" t="s">
        <v>75</v>
      </c>
      <c r="J1675" s="2" t="s">
        <v>97</v>
      </c>
      <c r="K1675" s="2" t="s">
        <v>77</v>
      </c>
      <c r="L1675" s="2" t="s">
        <v>136</v>
      </c>
      <c r="M1675" s="2" t="s">
        <v>137</v>
      </c>
      <c r="N1675" s="2" t="s">
        <v>259</v>
      </c>
      <c r="O1675" s="2" t="s">
        <v>101</v>
      </c>
      <c r="P1675" s="2" t="str">
        <f>"2170607262                    "</f>
        <v xml:space="preserve">2170607262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61.1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18.7</v>
      </c>
      <c r="BJ1675" s="2">
        <v>17.899999999999999</v>
      </c>
      <c r="BK1675" s="2">
        <v>19</v>
      </c>
      <c r="BL1675" s="2">
        <v>436.18</v>
      </c>
      <c r="BM1675" s="2">
        <v>61.07</v>
      </c>
      <c r="BN1675" s="2">
        <v>497.25</v>
      </c>
      <c r="BO1675" s="2">
        <v>497.25</v>
      </c>
      <c r="BQ1675" s="2" t="s">
        <v>102</v>
      </c>
      <c r="BR1675" s="2" t="s">
        <v>103</v>
      </c>
      <c r="BS1675" s="3">
        <v>43082</v>
      </c>
      <c r="BT1675" s="4">
        <v>0.40833333333333338</v>
      </c>
      <c r="BU1675" s="2" t="s">
        <v>2034</v>
      </c>
      <c r="BV1675" s="2" t="s">
        <v>85</v>
      </c>
      <c r="BY1675" s="2">
        <v>89449.919999999998</v>
      </c>
      <c r="CA1675" s="2" t="s">
        <v>261</v>
      </c>
      <c r="CC1675" s="2" t="s">
        <v>137</v>
      </c>
      <c r="CD1675" s="2">
        <v>6001</v>
      </c>
      <c r="CE1675" s="2" t="s">
        <v>95</v>
      </c>
      <c r="CF1675" s="3">
        <v>43084</v>
      </c>
      <c r="CI1675" s="2">
        <v>1</v>
      </c>
      <c r="CJ1675" s="2">
        <v>1</v>
      </c>
      <c r="CK1675" s="2">
        <v>21</v>
      </c>
      <c r="CL1675" s="2" t="s">
        <v>89</v>
      </c>
    </row>
    <row r="1676" spans="1:90">
      <c r="A1676" s="2" t="s">
        <v>71</v>
      </c>
      <c r="B1676" s="2" t="s">
        <v>72</v>
      </c>
      <c r="C1676" s="2" t="s">
        <v>73</v>
      </c>
      <c r="E1676" s="2" t="str">
        <f>"FES1162595269"</f>
        <v>FES1162595269</v>
      </c>
      <c r="F1676" s="3">
        <v>43081</v>
      </c>
      <c r="G1676" s="2">
        <v>201806</v>
      </c>
      <c r="H1676" s="2" t="s">
        <v>74</v>
      </c>
      <c r="I1676" s="2" t="s">
        <v>75</v>
      </c>
      <c r="J1676" s="2" t="s">
        <v>97</v>
      </c>
      <c r="K1676" s="2" t="s">
        <v>77</v>
      </c>
      <c r="L1676" s="2" t="s">
        <v>125</v>
      </c>
      <c r="M1676" s="2" t="s">
        <v>126</v>
      </c>
      <c r="N1676" s="2" t="s">
        <v>773</v>
      </c>
      <c r="O1676" s="2" t="s">
        <v>101</v>
      </c>
      <c r="P1676" s="2" t="str">
        <f>"2170606167                    "</f>
        <v xml:space="preserve">2170606167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6.43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1.2</v>
      </c>
      <c r="BJ1676" s="2">
        <v>0.7</v>
      </c>
      <c r="BK1676" s="2">
        <v>1.5</v>
      </c>
      <c r="BL1676" s="2">
        <v>45.93</v>
      </c>
      <c r="BM1676" s="2">
        <v>6.43</v>
      </c>
      <c r="BN1676" s="2">
        <v>52.36</v>
      </c>
      <c r="BO1676" s="2">
        <v>52.36</v>
      </c>
      <c r="BQ1676" s="2" t="s">
        <v>102</v>
      </c>
      <c r="BR1676" s="2" t="s">
        <v>103</v>
      </c>
      <c r="BS1676" s="3">
        <v>43082</v>
      </c>
      <c r="BT1676" s="4">
        <v>0.38958333333333334</v>
      </c>
      <c r="BU1676" s="2" t="s">
        <v>2099</v>
      </c>
      <c r="BV1676" s="2" t="s">
        <v>85</v>
      </c>
      <c r="BY1676" s="2">
        <v>3403.08</v>
      </c>
      <c r="CA1676" s="2" t="s">
        <v>1997</v>
      </c>
      <c r="CC1676" s="2" t="s">
        <v>126</v>
      </c>
      <c r="CD1676" s="2">
        <v>4052</v>
      </c>
      <c r="CE1676" s="2" t="s">
        <v>95</v>
      </c>
      <c r="CF1676" s="3">
        <v>43083</v>
      </c>
      <c r="CI1676" s="2">
        <v>1</v>
      </c>
      <c r="CJ1676" s="2">
        <v>1</v>
      </c>
      <c r="CK1676" s="2">
        <v>21</v>
      </c>
      <c r="CL1676" s="2" t="s">
        <v>89</v>
      </c>
    </row>
    <row r="1677" spans="1:90">
      <c r="A1677" s="2" t="s">
        <v>71</v>
      </c>
      <c r="B1677" s="2" t="s">
        <v>72</v>
      </c>
      <c r="C1677" s="2" t="s">
        <v>73</v>
      </c>
      <c r="E1677" s="2" t="str">
        <f>"FES1162594970"</f>
        <v>FES1162594970</v>
      </c>
      <c r="F1677" s="3">
        <v>43081</v>
      </c>
      <c r="G1677" s="2">
        <v>201806</v>
      </c>
      <c r="H1677" s="2" t="s">
        <v>74</v>
      </c>
      <c r="I1677" s="2" t="s">
        <v>75</v>
      </c>
      <c r="J1677" s="2" t="s">
        <v>97</v>
      </c>
      <c r="K1677" s="2" t="s">
        <v>77</v>
      </c>
      <c r="L1677" s="2" t="s">
        <v>131</v>
      </c>
      <c r="M1677" s="2" t="s">
        <v>132</v>
      </c>
      <c r="N1677" s="2" t="s">
        <v>1432</v>
      </c>
      <c r="O1677" s="2" t="s">
        <v>101</v>
      </c>
      <c r="P1677" s="2" t="str">
        <f>"2170606835                    "</f>
        <v xml:space="preserve">2170606835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19.3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2</v>
      </c>
      <c r="BI1677" s="2">
        <v>5.9</v>
      </c>
      <c r="BJ1677" s="2">
        <v>4.3</v>
      </c>
      <c r="BK1677" s="2">
        <v>6</v>
      </c>
      <c r="BL1677" s="2">
        <v>137.76</v>
      </c>
      <c r="BM1677" s="2">
        <v>19.29</v>
      </c>
      <c r="BN1677" s="2">
        <v>157.05000000000001</v>
      </c>
      <c r="BO1677" s="2">
        <v>157.05000000000001</v>
      </c>
      <c r="BQ1677" s="2" t="s">
        <v>102</v>
      </c>
      <c r="BR1677" s="2" t="s">
        <v>103</v>
      </c>
      <c r="BS1677" s="3">
        <v>43082</v>
      </c>
      <c r="BT1677" s="4">
        <v>0.4145833333333333</v>
      </c>
      <c r="BU1677" s="2" t="s">
        <v>2100</v>
      </c>
      <c r="BV1677" s="2" t="s">
        <v>85</v>
      </c>
      <c r="BY1677" s="2">
        <v>21665.83</v>
      </c>
      <c r="CA1677" s="2" t="s">
        <v>2079</v>
      </c>
      <c r="CC1677" s="2" t="s">
        <v>132</v>
      </c>
      <c r="CD1677" s="2">
        <v>4300</v>
      </c>
      <c r="CE1677" s="2" t="s">
        <v>95</v>
      </c>
      <c r="CF1677" s="3">
        <v>43083</v>
      </c>
      <c r="CI1677" s="2">
        <v>1</v>
      </c>
      <c r="CJ1677" s="2">
        <v>1</v>
      </c>
      <c r="CK1677" s="2">
        <v>21</v>
      </c>
      <c r="CL1677" s="2" t="s">
        <v>89</v>
      </c>
    </row>
    <row r="1678" spans="1:90">
      <c r="A1678" s="2" t="s">
        <v>71</v>
      </c>
      <c r="B1678" s="2" t="s">
        <v>72</v>
      </c>
      <c r="C1678" s="2" t="s">
        <v>73</v>
      </c>
      <c r="E1678" s="2" t="str">
        <f>"FES1162592065"</f>
        <v>FES1162592065</v>
      </c>
      <c r="F1678" s="3">
        <v>43081</v>
      </c>
      <c r="G1678" s="2">
        <v>201806</v>
      </c>
      <c r="H1678" s="2" t="s">
        <v>74</v>
      </c>
      <c r="I1678" s="2" t="s">
        <v>75</v>
      </c>
      <c r="J1678" s="2" t="s">
        <v>97</v>
      </c>
      <c r="K1678" s="2" t="s">
        <v>77</v>
      </c>
      <c r="L1678" s="2" t="s">
        <v>106</v>
      </c>
      <c r="M1678" s="2" t="s">
        <v>107</v>
      </c>
      <c r="N1678" s="2" t="s">
        <v>2101</v>
      </c>
      <c r="O1678" s="2" t="s">
        <v>101</v>
      </c>
      <c r="P1678" s="2" t="str">
        <f>"2170604818                    "</f>
        <v xml:space="preserve">2170604818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5.03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3</v>
      </c>
      <c r="BJ1678" s="2">
        <v>1.6</v>
      </c>
      <c r="BK1678" s="2">
        <v>3</v>
      </c>
      <c r="BL1678" s="2">
        <v>35.89</v>
      </c>
      <c r="BM1678" s="2">
        <v>5.0199999999999996</v>
      </c>
      <c r="BN1678" s="2">
        <v>40.909999999999997</v>
      </c>
      <c r="BO1678" s="2">
        <v>40.909999999999997</v>
      </c>
      <c r="BQ1678" s="2" t="s">
        <v>102</v>
      </c>
      <c r="BR1678" s="2" t="s">
        <v>103</v>
      </c>
      <c r="BS1678" s="3">
        <v>43082</v>
      </c>
      <c r="BT1678" s="4">
        <v>0.41666666666666669</v>
      </c>
      <c r="BU1678" s="2" t="s">
        <v>2102</v>
      </c>
      <c r="BV1678" s="2" t="s">
        <v>85</v>
      </c>
      <c r="BY1678" s="2">
        <v>7873.56</v>
      </c>
      <c r="CA1678" s="2" t="s">
        <v>94</v>
      </c>
      <c r="CC1678" s="2" t="s">
        <v>107</v>
      </c>
      <c r="CD1678" s="2">
        <v>2013</v>
      </c>
      <c r="CE1678" s="2" t="s">
        <v>95</v>
      </c>
      <c r="CF1678" s="3">
        <v>43083</v>
      </c>
      <c r="CI1678" s="2">
        <v>1</v>
      </c>
      <c r="CJ1678" s="2">
        <v>1</v>
      </c>
      <c r="CK1678" s="2">
        <v>22</v>
      </c>
      <c r="CL1678" s="2" t="s">
        <v>89</v>
      </c>
    </row>
    <row r="1679" spans="1:90">
      <c r="A1679" s="2" t="s">
        <v>71</v>
      </c>
      <c r="B1679" s="2" t="s">
        <v>72</v>
      </c>
      <c r="C1679" s="2" t="s">
        <v>73</v>
      </c>
      <c r="E1679" s="2" t="str">
        <f>"FES1162593011"</f>
        <v>FES1162593011</v>
      </c>
      <c r="F1679" s="3">
        <v>43081</v>
      </c>
      <c r="G1679" s="2">
        <v>201806</v>
      </c>
      <c r="H1679" s="2" t="s">
        <v>74</v>
      </c>
      <c r="I1679" s="2" t="s">
        <v>75</v>
      </c>
      <c r="J1679" s="2" t="s">
        <v>97</v>
      </c>
      <c r="K1679" s="2" t="s">
        <v>77</v>
      </c>
      <c r="L1679" s="2" t="s">
        <v>106</v>
      </c>
      <c r="M1679" s="2" t="s">
        <v>107</v>
      </c>
      <c r="N1679" s="2" t="s">
        <v>2101</v>
      </c>
      <c r="O1679" s="2" t="s">
        <v>101</v>
      </c>
      <c r="P1679" s="2" t="str">
        <f>"2170605380                    "</f>
        <v xml:space="preserve">2170605380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5.03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1.8</v>
      </c>
      <c r="BJ1679" s="2">
        <v>3.1</v>
      </c>
      <c r="BK1679" s="2">
        <v>4</v>
      </c>
      <c r="BL1679" s="2">
        <v>35.89</v>
      </c>
      <c r="BM1679" s="2">
        <v>5.0199999999999996</v>
      </c>
      <c r="BN1679" s="2">
        <v>40.909999999999997</v>
      </c>
      <c r="BO1679" s="2">
        <v>40.909999999999997</v>
      </c>
      <c r="BQ1679" s="2" t="s">
        <v>102</v>
      </c>
      <c r="BR1679" s="2" t="s">
        <v>103</v>
      </c>
      <c r="BS1679" s="3">
        <v>43082</v>
      </c>
      <c r="BT1679" s="4">
        <v>0.51666666666666672</v>
      </c>
      <c r="BU1679" s="2" t="s">
        <v>2102</v>
      </c>
      <c r="BV1679" s="2" t="s">
        <v>89</v>
      </c>
      <c r="BW1679" s="2" t="s">
        <v>156</v>
      </c>
      <c r="BX1679" s="2" t="s">
        <v>157</v>
      </c>
      <c r="BY1679" s="2">
        <v>15486.72</v>
      </c>
      <c r="CA1679" s="2" t="s">
        <v>94</v>
      </c>
      <c r="CC1679" s="2" t="s">
        <v>107</v>
      </c>
      <c r="CD1679" s="2">
        <v>2013</v>
      </c>
      <c r="CE1679" s="2" t="s">
        <v>95</v>
      </c>
      <c r="CF1679" s="3">
        <v>43083</v>
      </c>
      <c r="CI1679" s="2">
        <v>1</v>
      </c>
      <c r="CJ1679" s="2">
        <v>1</v>
      </c>
      <c r="CK1679" s="2">
        <v>22</v>
      </c>
      <c r="CL1679" s="2" t="s">
        <v>89</v>
      </c>
    </row>
    <row r="1680" spans="1:90">
      <c r="A1680" s="2" t="s">
        <v>71</v>
      </c>
      <c r="B1680" s="2" t="s">
        <v>72</v>
      </c>
      <c r="C1680" s="2" t="s">
        <v>73</v>
      </c>
      <c r="E1680" s="2" t="str">
        <f>"FES1162594917"</f>
        <v>FES1162594917</v>
      </c>
      <c r="F1680" s="3">
        <v>43081</v>
      </c>
      <c r="G1680" s="2">
        <v>201806</v>
      </c>
      <c r="H1680" s="2" t="s">
        <v>74</v>
      </c>
      <c r="I1680" s="2" t="s">
        <v>75</v>
      </c>
      <c r="J1680" s="2" t="s">
        <v>97</v>
      </c>
      <c r="K1680" s="2" t="s">
        <v>77</v>
      </c>
      <c r="L1680" s="2" t="s">
        <v>189</v>
      </c>
      <c r="M1680" s="2" t="s">
        <v>190</v>
      </c>
      <c r="N1680" s="2" t="s">
        <v>191</v>
      </c>
      <c r="O1680" s="2" t="s">
        <v>101</v>
      </c>
      <c r="P1680" s="2" t="str">
        <f>"2170606819                    "</f>
        <v xml:space="preserve">2170606819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9.65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3</v>
      </c>
      <c r="BJ1680" s="2">
        <v>1.3</v>
      </c>
      <c r="BK1680" s="2">
        <v>3</v>
      </c>
      <c r="BL1680" s="2">
        <v>68.89</v>
      </c>
      <c r="BM1680" s="2">
        <v>9.64</v>
      </c>
      <c r="BN1680" s="2">
        <v>78.53</v>
      </c>
      <c r="BO1680" s="2">
        <v>78.53</v>
      </c>
      <c r="BR1680" s="2" t="s">
        <v>103</v>
      </c>
      <c r="BS1680" s="3">
        <v>43082</v>
      </c>
      <c r="BT1680" s="4">
        <v>0.40972222222222227</v>
      </c>
      <c r="BU1680" s="2" t="s">
        <v>200</v>
      </c>
      <c r="BV1680" s="2" t="s">
        <v>85</v>
      </c>
      <c r="BY1680" s="2">
        <v>6727</v>
      </c>
      <c r="CC1680" s="2" t="s">
        <v>190</v>
      </c>
      <c r="CD1680" s="2">
        <v>157</v>
      </c>
      <c r="CE1680" s="2" t="s">
        <v>95</v>
      </c>
      <c r="CF1680" s="3">
        <v>43084</v>
      </c>
      <c r="CI1680" s="2">
        <v>1</v>
      </c>
      <c r="CJ1680" s="2">
        <v>1</v>
      </c>
      <c r="CK1680" s="2">
        <v>21</v>
      </c>
      <c r="CL1680" s="2" t="s">
        <v>89</v>
      </c>
    </row>
    <row r="1681" spans="1:90">
      <c r="A1681" s="2" t="s">
        <v>71</v>
      </c>
      <c r="B1681" s="2" t="s">
        <v>72</v>
      </c>
      <c r="C1681" s="2" t="s">
        <v>73</v>
      </c>
      <c r="E1681" s="2" t="str">
        <f>"FES1162595466"</f>
        <v>FES1162595466</v>
      </c>
      <c r="F1681" s="3">
        <v>43081</v>
      </c>
      <c r="G1681" s="2">
        <v>201806</v>
      </c>
      <c r="H1681" s="2" t="s">
        <v>74</v>
      </c>
      <c r="I1681" s="2" t="s">
        <v>75</v>
      </c>
      <c r="J1681" s="2" t="s">
        <v>97</v>
      </c>
      <c r="K1681" s="2" t="s">
        <v>77</v>
      </c>
      <c r="L1681" s="2" t="s">
        <v>158</v>
      </c>
      <c r="M1681" s="2" t="s">
        <v>159</v>
      </c>
      <c r="N1681" s="2" t="s">
        <v>1148</v>
      </c>
      <c r="O1681" s="2" t="s">
        <v>101</v>
      </c>
      <c r="P1681" s="2" t="str">
        <f>"2170607334                    "</f>
        <v xml:space="preserve">2170607334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6.43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1</v>
      </c>
      <c r="BJ1681" s="2">
        <v>0.2</v>
      </c>
      <c r="BK1681" s="2">
        <v>1</v>
      </c>
      <c r="BL1681" s="2">
        <v>45.93</v>
      </c>
      <c r="BM1681" s="2">
        <v>6.43</v>
      </c>
      <c r="BN1681" s="2">
        <v>52.36</v>
      </c>
      <c r="BO1681" s="2">
        <v>52.36</v>
      </c>
      <c r="BQ1681" s="2" t="s">
        <v>102</v>
      </c>
      <c r="BR1681" s="2" t="s">
        <v>103</v>
      </c>
      <c r="BS1681" s="3">
        <v>43082</v>
      </c>
      <c r="BT1681" s="4">
        <v>0.41666666666666669</v>
      </c>
      <c r="BU1681" s="2" t="s">
        <v>2103</v>
      </c>
      <c r="BV1681" s="2" t="s">
        <v>85</v>
      </c>
      <c r="BY1681" s="2">
        <v>1200</v>
      </c>
      <c r="CA1681" s="2" t="s">
        <v>293</v>
      </c>
      <c r="CC1681" s="2" t="s">
        <v>159</v>
      </c>
      <c r="CD1681" s="2">
        <v>200</v>
      </c>
      <c r="CE1681" s="2" t="s">
        <v>120</v>
      </c>
      <c r="CF1681" s="3">
        <v>43084</v>
      </c>
      <c r="CI1681" s="2">
        <v>1</v>
      </c>
      <c r="CJ1681" s="2">
        <v>1</v>
      </c>
      <c r="CK1681" s="2">
        <v>21</v>
      </c>
      <c r="CL1681" s="2" t="s">
        <v>89</v>
      </c>
    </row>
    <row r="1682" spans="1:90">
      <c r="A1682" s="2" t="s">
        <v>71</v>
      </c>
      <c r="B1682" s="2" t="s">
        <v>72</v>
      </c>
      <c r="C1682" s="2" t="s">
        <v>73</v>
      </c>
      <c r="E1682" s="2" t="str">
        <f>"FES1162593235"</f>
        <v>FES1162593235</v>
      </c>
      <c r="F1682" s="3">
        <v>43081</v>
      </c>
      <c r="G1682" s="2">
        <v>201806</v>
      </c>
      <c r="H1682" s="2" t="s">
        <v>74</v>
      </c>
      <c r="I1682" s="2" t="s">
        <v>75</v>
      </c>
      <c r="J1682" s="2" t="s">
        <v>97</v>
      </c>
      <c r="K1682" s="2" t="s">
        <v>77</v>
      </c>
      <c r="L1682" s="2" t="s">
        <v>106</v>
      </c>
      <c r="M1682" s="2" t="s">
        <v>107</v>
      </c>
      <c r="N1682" s="2" t="s">
        <v>2101</v>
      </c>
      <c r="O1682" s="2" t="s">
        <v>101</v>
      </c>
      <c r="P1682" s="2" t="str">
        <f>"2170605380                    "</f>
        <v xml:space="preserve">2170605380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5.03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1.3</v>
      </c>
      <c r="BJ1682" s="2">
        <v>2</v>
      </c>
      <c r="BK1682" s="2">
        <v>2</v>
      </c>
      <c r="BL1682" s="2">
        <v>35.89</v>
      </c>
      <c r="BM1682" s="2">
        <v>5.0199999999999996</v>
      </c>
      <c r="BN1682" s="2">
        <v>40.909999999999997</v>
      </c>
      <c r="BO1682" s="2">
        <v>40.909999999999997</v>
      </c>
      <c r="BQ1682" s="2" t="s">
        <v>102</v>
      </c>
      <c r="BR1682" s="2" t="s">
        <v>103</v>
      </c>
      <c r="BS1682" s="3">
        <v>43082</v>
      </c>
      <c r="BT1682" s="4">
        <v>0.51597222222222217</v>
      </c>
      <c r="BU1682" s="2" t="s">
        <v>2102</v>
      </c>
      <c r="BV1682" s="2" t="s">
        <v>89</v>
      </c>
      <c r="BW1682" s="2" t="s">
        <v>156</v>
      </c>
      <c r="BX1682" s="2" t="s">
        <v>157</v>
      </c>
      <c r="BY1682" s="2">
        <v>10034.81</v>
      </c>
      <c r="CA1682" s="2" t="s">
        <v>94</v>
      </c>
      <c r="CC1682" s="2" t="s">
        <v>107</v>
      </c>
      <c r="CD1682" s="2">
        <v>2013</v>
      </c>
      <c r="CE1682" s="2" t="s">
        <v>95</v>
      </c>
      <c r="CF1682" s="3">
        <v>43083</v>
      </c>
      <c r="CI1682" s="2">
        <v>1</v>
      </c>
      <c r="CJ1682" s="2">
        <v>1</v>
      </c>
      <c r="CK1682" s="2">
        <v>22</v>
      </c>
      <c r="CL1682" s="2" t="s">
        <v>89</v>
      </c>
    </row>
    <row r="1683" spans="1:90">
      <c r="A1683" s="2" t="s">
        <v>71</v>
      </c>
      <c r="B1683" s="2" t="s">
        <v>72</v>
      </c>
      <c r="C1683" s="2" t="s">
        <v>73</v>
      </c>
      <c r="E1683" s="2" t="str">
        <f>"FES1162595452"</f>
        <v>FES1162595452</v>
      </c>
      <c r="F1683" s="3">
        <v>43081</v>
      </c>
      <c r="G1683" s="2">
        <v>201806</v>
      </c>
      <c r="H1683" s="2" t="s">
        <v>74</v>
      </c>
      <c r="I1683" s="2" t="s">
        <v>75</v>
      </c>
      <c r="J1683" s="2" t="s">
        <v>97</v>
      </c>
      <c r="K1683" s="2" t="s">
        <v>77</v>
      </c>
      <c r="L1683" s="2" t="s">
        <v>145</v>
      </c>
      <c r="M1683" s="2" t="s">
        <v>146</v>
      </c>
      <c r="N1683" s="2" t="s">
        <v>753</v>
      </c>
      <c r="O1683" s="2" t="s">
        <v>101</v>
      </c>
      <c r="P1683" s="2" t="str">
        <f>"2170607317                    "</f>
        <v xml:space="preserve">2170607317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6.43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1</v>
      </c>
      <c r="BJ1683" s="2">
        <v>0.2</v>
      </c>
      <c r="BK1683" s="2">
        <v>1</v>
      </c>
      <c r="BL1683" s="2">
        <v>45.93</v>
      </c>
      <c r="BM1683" s="2">
        <v>6.43</v>
      </c>
      <c r="BN1683" s="2">
        <v>52.36</v>
      </c>
      <c r="BO1683" s="2">
        <v>52.36</v>
      </c>
      <c r="BQ1683" s="2" t="s">
        <v>82</v>
      </c>
      <c r="BR1683" s="2" t="s">
        <v>103</v>
      </c>
      <c r="BS1683" s="3">
        <v>43082</v>
      </c>
      <c r="BT1683" s="4">
        <v>0.39583333333333331</v>
      </c>
      <c r="BU1683" s="2" t="s">
        <v>1579</v>
      </c>
      <c r="BV1683" s="2" t="s">
        <v>85</v>
      </c>
      <c r="BY1683" s="2">
        <v>1200</v>
      </c>
      <c r="CA1683" s="2" t="s">
        <v>754</v>
      </c>
      <c r="CC1683" s="2" t="s">
        <v>146</v>
      </c>
      <c r="CD1683" s="2">
        <v>5201</v>
      </c>
      <c r="CE1683" s="2" t="s">
        <v>120</v>
      </c>
      <c r="CF1683" s="3">
        <v>43087</v>
      </c>
      <c r="CI1683" s="2">
        <v>1</v>
      </c>
      <c r="CJ1683" s="2">
        <v>1</v>
      </c>
      <c r="CK1683" s="2">
        <v>21</v>
      </c>
      <c r="CL1683" s="2" t="s">
        <v>89</v>
      </c>
    </row>
    <row r="1684" spans="1:90">
      <c r="A1684" s="2" t="s">
        <v>71</v>
      </c>
      <c r="B1684" s="2" t="s">
        <v>72</v>
      </c>
      <c r="C1684" s="2" t="s">
        <v>73</v>
      </c>
      <c r="E1684" s="2" t="str">
        <f>"FES1162595528"</f>
        <v>FES1162595528</v>
      </c>
      <c r="F1684" s="3">
        <v>43081</v>
      </c>
      <c r="G1684" s="2">
        <v>201806</v>
      </c>
      <c r="H1684" s="2" t="s">
        <v>74</v>
      </c>
      <c r="I1684" s="2" t="s">
        <v>75</v>
      </c>
      <c r="J1684" s="2" t="s">
        <v>97</v>
      </c>
      <c r="K1684" s="2" t="s">
        <v>77</v>
      </c>
      <c r="L1684" s="2" t="s">
        <v>74</v>
      </c>
      <c r="M1684" s="2" t="s">
        <v>75</v>
      </c>
      <c r="N1684" s="2" t="s">
        <v>695</v>
      </c>
      <c r="O1684" s="2" t="s">
        <v>101</v>
      </c>
      <c r="P1684" s="2" t="str">
        <f>"2170607390                    "</f>
        <v xml:space="preserve">2170607390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5.03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1</v>
      </c>
      <c r="BJ1684" s="2">
        <v>0.2</v>
      </c>
      <c r="BK1684" s="2">
        <v>1</v>
      </c>
      <c r="BL1684" s="2">
        <v>35.89</v>
      </c>
      <c r="BM1684" s="2">
        <v>5.0199999999999996</v>
      </c>
      <c r="BN1684" s="2">
        <v>40.909999999999997</v>
      </c>
      <c r="BO1684" s="2">
        <v>40.909999999999997</v>
      </c>
      <c r="BQ1684" s="2" t="s">
        <v>696</v>
      </c>
      <c r="BR1684" s="2" t="s">
        <v>103</v>
      </c>
      <c r="BS1684" s="3">
        <v>43082</v>
      </c>
      <c r="BT1684" s="4">
        <v>0.44444444444444442</v>
      </c>
      <c r="BU1684" s="2" t="s">
        <v>2104</v>
      </c>
      <c r="BV1684" s="2" t="s">
        <v>85</v>
      </c>
      <c r="BY1684" s="2">
        <v>1200</v>
      </c>
      <c r="CA1684" s="2" t="s">
        <v>366</v>
      </c>
      <c r="CC1684" s="2" t="s">
        <v>75</v>
      </c>
      <c r="CD1684" s="2">
        <v>1601</v>
      </c>
      <c r="CE1684" s="2" t="s">
        <v>120</v>
      </c>
      <c r="CF1684" s="3">
        <v>43083</v>
      </c>
      <c r="CI1684" s="2">
        <v>1</v>
      </c>
      <c r="CJ1684" s="2">
        <v>1</v>
      </c>
      <c r="CK1684" s="2">
        <v>22</v>
      </c>
      <c r="CL1684" s="2" t="s">
        <v>89</v>
      </c>
    </row>
    <row r="1685" spans="1:90">
      <c r="A1685" s="2" t="s">
        <v>71</v>
      </c>
      <c r="B1685" s="2" t="s">
        <v>72</v>
      </c>
      <c r="C1685" s="2" t="s">
        <v>73</v>
      </c>
      <c r="E1685" s="2" t="str">
        <f>"FES1162594672"</f>
        <v>FES1162594672</v>
      </c>
      <c r="F1685" s="3">
        <v>43081</v>
      </c>
      <c r="G1685" s="2">
        <v>201806</v>
      </c>
      <c r="H1685" s="2" t="s">
        <v>74</v>
      </c>
      <c r="I1685" s="2" t="s">
        <v>75</v>
      </c>
      <c r="J1685" s="2" t="s">
        <v>97</v>
      </c>
      <c r="K1685" s="2" t="s">
        <v>77</v>
      </c>
      <c r="L1685" s="2" t="s">
        <v>158</v>
      </c>
      <c r="M1685" s="2" t="s">
        <v>159</v>
      </c>
      <c r="N1685" s="2" t="s">
        <v>1728</v>
      </c>
      <c r="O1685" s="2" t="s">
        <v>101</v>
      </c>
      <c r="P1685" s="2" t="str">
        <f>"217060531                     "</f>
        <v xml:space="preserve">217060531 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6.43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1</v>
      </c>
      <c r="BJ1685" s="2">
        <v>0.2</v>
      </c>
      <c r="BK1685" s="2">
        <v>1</v>
      </c>
      <c r="BL1685" s="2">
        <v>45.93</v>
      </c>
      <c r="BM1685" s="2">
        <v>6.43</v>
      </c>
      <c r="BN1685" s="2">
        <v>52.36</v>
      </c>
      <c r="BO1685" s="2">
        <v>52.36</v>
      </c>
      <c r="BQ1685" s="2" t="s">
        <v>128</v>
      </c>
      <c r="BR1685" s="2" t="s">
        <v>103</v>
      </c>
      <c r="BS1685" s="3">
        <v>43082</v>
      </c>
      <c r="BT1685" s="4">
        <v>0.46527777777777773</v>
      </c>
      <c r="BU1685" s="2" t="s">
        <v>1047</v>
      </c>
      <c r="BV1685" s="2" t="s">
        <v>89</v>
      </c>
      <c r="BW1685" s="2" t="s">
        <v>156</v>
      </c>
      <c r="BX1685" s="2" t="s">
        <v>565</v>
      </c>
      <c r="BY1685" s="2">
        <v>1200</v>
      </c>
      <c r="CA1685" s="2" t="s">
        <v>293</v>
      </c>
      <c r="CC1685" s="2" t="s">
        <v>159</v>
      </c>
      <c r="CD1685" s="2">
        <v>200</v>
      </c>
      <c r="CE1685" s="2" t="s">
        <v>120</v>
      </c>
      <c r="CF1685" s="3">
        <v>43084</v>
      </c>
      <c r="CI1685" s="2">
        <v>1</v>
      </c>
      <c r="CJ1685" s="2">
        <v>1</v>
      </c>
      <c r="CK1685" s="2">
        <v>21</v>
      </c>
      <c r="CL1685" s="2" t="s">
        <v>89</v>
      </c>
    </row>
    <row r="1686" spans="1:90">
      <c r="A1686" s="2" t="s">
        <v>71</v>
      </c>
      <c r="B1686" s="2" t="s">
        <v>72</v>
      </c>
      <c r="C1686" s="2" t="s">
        <v>73</v>
      </c>
      <c r="E1686" s="2" t="str">
        <f>"FES1162595497"</f>
        <v>FES1162595497</v>
      </c>
      <c r="F1686" s="3">
        <v>43081</v>
      </c>
      <c r="G1686" s="2">
        <v>201806</v>
      </c>
      <c r="H1686" s="2" t="s">
        <v>74</v>
      </c>
      <c r="I1686" s="2" t="s">
        <v>75</v>
      </c>
      <c r="J1686" s="2" t="s">
        <v>97</v>
      </c>
      <c r="K1686" s="2" t="s">
        <v>77</v>
      </c>
      <c r="L1686" s="2" t="s">
        <v>136</v>
      </c>
      <c r="M1686" s="2" t="s">
        <v>137</v>
      </c>
      <c r="N1686" s="2" t="s">
        <v>2105</v>
      </c>
      <c r="O1686" s="2" t="s">
        <v>101</v>
      </c>
      <c r="P1686" s="2" t="str">
        <f>"2170607364                    "</f>
        <v xml:space="preserve">2170607364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6.43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1</v>
      </c>
      <c r="BJ1686" s="2">
        <v>0.2</v>
      </c>
      <c r="BK1686" s="2">
        <v>1</v>
      </c>
      <c r="BL1686" s="2">
        <v>45.93</v>
      </c>
      <c r="BM1686" s="2">
        <v>6.43</v>
      </c>
      <c r="BN1686" s="2">
        <v>52.36</v>
      </c>
      <c r="BO1686" s="2">
        <v>52.36</v>
      </c>
      <c r="BQ1686" s="2" t="s">
        <v>102</v>
      </c>
      <c r="BR1686" s="2" t="s">
        <v>103</v>
      </c>
      <c r="BS1686" s="3">
        <v>43082</v>
      </c>
      <c r="BT1686" s="4">
        <v>0.31041666666666667</v>
      </c>
      <c r="BU1686" s="2" t="s">
        <v>2106</v>
      </c>
      <c r="BV1686" s="2" t="s">
        <v>85</v>
      </c>
      <c r="BY1686" s="2">
        <v>1200</v>
      </c>
      <c r="CA1686" s="2" t="s">
        <v>140</v>
      </c>
      <c r="CC1686" s="2" t="s">
        <v>137</v>
      </c>
      <c r="CD1686" s="2">
        <v>6012</v>
      </c>
      <c r="CE1686" s="2" t="s">
        <v>120</v>
      </c>
      <c r="CF1686" s="3">
        <v>43084</v>
      </c>
      <c r="CI1686" s="2">
        <v>1</v>
      </c>
      <c r="CJ1686" s="2">
        <v>1</v>
      </c>
      <c r="CK1686" s="2">
        <v>21</v>
      </c>
      <c r="CL1686" s="2" t="s">
        <v>89</v>
      </c>
    </row>
    <row r="1687" spans="1:90">
      <c r="A1687" s="2" t="s">
        <v>71</v>
      </c>
      <c r="B1687" s="2" t="s">
        <v>72</v>
      </c>
      <c r="C1687" s="2" t="s">
        <v>73</v>
      </c>
      <c r="E1687" s="2" t="str">
        <f>"FES1162595523"</f>
        <v>FES1162595523</v>
      </c>
      <c r="F1687" s="3">
        <v>43081</v>
      </c>
      <c r="G1687" s="2">
        <v>201806</v>
      </c>
      <c r="H1687" s="2" t="s">
        <v>74</v>
      </c>
      <c r="I1687" s="2" t="s">
        <v>75</v>
      </c>
      <c r="J1687" s="2" t="s">
        <v>97</v>
      </c>
      <c r="K1687" s="2" t="s">
        <v>77</v>
      </c>
      <c r="L1687" s="2" t="s">
        <v>145</v>
      </c>
      <c r="M1687" s="2" t="s">
        <v>146</v>
      </c>
      <c r="N1687" s="2" t="s">
        <v>745</v>
      </c>
      <c r="O1687" s="2" t="s">
        <v>101</v>
      </c>
      <c r="P1687" s="2" t="str">
        <f>"2170607380                    "</f>
        <v xml:space="preserve">2170607380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6.43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</v>
      </c>
      <c r="BJ1687" s="2">
        <v>0.2</v>
      </c>
      <c r="BK1687" s="2">
        <v>1</v>
      </c>
      <c r="BL1687" s="2">
        <v>45.93</v>
      </c>
      <c r="BM1687" s="2">
        <v>6.43</v>
      </c>
      <c r="BN1687" s="2">
        <v>52.36</v>
      </c>
      <c r="BO1687" s="2">
        <v>52.36</v>
      </c>
      <c r="BQ1687" s="2" t="s">
        <v>82</v>
      </c>
      <c r="BR1687" s="2" t="s">
        <v>103</v>
      </c>
      <c r="BS1687" s="3">
        <v>43082</v>
      </c>
      <c r="BT1687" s="4">
        <v>0.40416666666666662</v>
      </c>
      <c r="BU1687" s="2" t="s">
        <v>2107</v>
      </c>
      <c r="BV1687" s="2" t="s">
        <v>85</v>
      </c>
      <c r="BY1687" s="2">
        <v>1200</v>
      </c>
      <c r="CA1687" s="2" t="s">
        <v>629</v>
      </c>
      <c r="CC1687" s="2" t="s">
        <v>146</v>
      </c>
      <c r="CD1687" s="2">
        <v>5201</v>
      </c>
      <c r="CE1687" s="2" t="s">
        <v>120</v>
      </c>
      <c r="CF1687" s="3">
        <v>43087</v>
      </c>
      <c r="CI1687" s="2">
        <v>1</v>
      </c>
      <c r="CJ1687" s="2">
        <v>1</v>
      </c>
      <c r="CK1687" s="2">
        <v>21</v>
      </c>
      <c r="CL1687" s="2" t="s">
        <v>89</v>
      </c>
    </row>
    <row r="1688" spans="1:90">
      <c r="A1688" s="2" t="s">
        <v>71</v>
      </c>
      <c r="B1688" s="2" t="s">
        <v>72</v>
      </c>
      <c r="C1688" s="2" t="s">
        <v>73</v>
      </c>
      <c r="E1688" s="2" t="str">
        <f>"FES1162595465"</f>
        <v>FES1162595465</v>
      </c>
      <c r="F1688" s="3">
        <v>43081</v>
      </c>
      <c r="G1688" s="2">
        <v>201806</v>
      </c>
      <c r="H1688" s="2" t="s">
        <v>74</v>
      </c>
      <c r="I1688" s="2" t="s">
        <v>75</v>
      </c>
      <c r="J1688" s="2" t="s">
        <v>97</v>
      </c>
      <c r="K1688" s="2" t="s">
        <v>77</v>
      </c>
      <c r="L1688" s="2" t="s">
        <v>462</v>
      </c>
      <c r="M1688" s="2" t="s">
        <v>463</v>
      </c>
      <c r="N1688" s="2" t="s">
        <v>464</v>
      </c>
      <c r="O1688" s="2" t="s">
        <v>101</v>
      </c>
      <c r="P1688" s="2" t="str">
        <f>"2170604356                    "</f>
        <v xml:space="preserve">2170604356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14.47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4.2</v>
      </c>
      <c r="BJ1688" s="2">
        <v>1.7</v>
      </c>
      <c r="BK1688" s="2">
        <v>4.5</v>
      </c>
      <c r="BL1688" s="2">
        <v>103.32</v>
      </c>
      <c r="BM1688" s="2">
        <v>14.46</v>
      </c>
      <c r="BN1688" s="2">
        <v>117.78</v>
      </c>
      <c r="BO1688" s="2">
        <v>117.78</v>
      </c>
      <c r="BQ1688" s="2" t="s">
        <v>465</v>
      </c>
      <c r="BR1688" s="2" t="s">
        <v>103</v>
      </c>
      <c r="BS1688" s="3">
        <v>43082</v>
      </c>
      <c r="BT1688" s="4">
        <v>0.41666666666666669</v>
      </c>
      <c r="BU1688" s="2" t="s">
        <v>200</v>
      </c>
      <c r="BV1688" s="2" t="s">
        <v>85</v>
      </c>
      <c r="BY1688" s="2">
        <v>8696.16</v>
      </c>
      <c r="CA1688" s="2" t="s">
        <v>542</v>
      </c>
      <c r="CC1688" s="2" t="s">
        <v>463</v>
      </c>
      <c r="CD1688" s="2">
        <v>7130</v>
      </c>
      <c r="CE1688" s="2" t="s">
        <v>95</v>
      </c>
      <c r="CF1688" s="3">
        <v>43083</v>
      </c>
      <c r="CI1688" s="2">
        <v>1</v>
      </c>
      <c r="CJ1688" s="2">
        <v>1</v>
      </c>
      <c r="CK1688" s="2">
        <v>21</v>
      </c>
      <c r="CL1688" s="2" t="s">
        <v>89</v>
      </c>
    </row>
    <row r="1689" spans="1:90">
      <c r="A1689" s="2" t="s">
        <v>71</v>
      </c>
      <c r="B1689" s="2" t="s">
        <v>72</v>
      </c>
      <c r="C1689" s="2" t="s">
        <v>73</v>
      </c>
      <c r="E1689" s="2" t="str">
        <f>"FES1162595462"</f>
        <v>FES1162595462</v>
      </c>
      <c r="F1689" s="3">
        <v>43081</v>
      </c>
      <c r="G1689" s="2">
        <v>201806</v>
      </c>
      <c r="H1689" s="2" t="s">
        <v>74</v>
      </c>
      <c r="I1689" s="2" t="s">
        <v>75</v>
      </c>
      <c r="J1689" s="2" t="s">
        <v>97</v>
      </c>
      <c r="K1689" s="2" t="s">
        <v>77</v>
      </c>
      <c r="L1689" s="2" t="s">
        <v>173</v>
      </c>
      <c r="M1689" s="2" t="s">
        <v>174</v>
      </c>
      <c r="N1689" s="2" t="s">
        <v>2108</v>
      </c>
      <c r="O1689" s="2" t="s">
        <v>101</v>
      </c>
      <c r="P1689" s="2" t="str">
        <f>"2170607332                    "</f>
        <v xml:space="preserve">2170607332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6.43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1.1000000000000001</v>
      </c>
      <c r="BJ1689" s="2">
        <v>2</v>
      </c>
      <c r="BK1689" s="2">
        <v>2</v>
      </c>
      <c r="BL1689" s="2">
        <v>45.93</v>
      </c>
      <c r="BM1689" s="2">
        <v>6.43</v>
      </c>
      <c r="BN1689" s="2">
        <v>52.36</v>
      </c>
      <c r="BO1689" s="2">
        <v>52.36</v>
      </c>
      <c r="BQ1689" s="2" t="s">
        <v>128</v>
      </c>
      <c r="BR1689" s="2" t="s">
        <v>103</v>
      </c>
      <c r="BS1689" s="3">
        <v>43082</v>
      </c>
      <c r="BT1689" s="4">
        <v>0.40277777777777773</v>
      </c>
      <c r="BU1689" s="2" t="s">
        <v>2109</v>
      </c>
      <c r="BV1689" s="2" t="s">
        <v>85</v>
      </c>
      <c r="BY1689" s="2">
        <v>9811.98</v>
      </c>
      <c r="CA1689" s="2" t="s">
        <v>469</v>
      </c>
      <c r="CC1689" s="2" t="s">
        <v>174</v>
      </c>
      <c r="CD1689" s="2">
        <v>7764</v>
      </c>
      <c r="CE1689" s="2" t="s">
        <v>95</v>
      </c>
      <c r="CF1689" s="3">
        <v>43082</v>
      </c>
      <c r="CI1689" s="2">
        <v>1</v>
      </c>
      <c r="CJ1689" s="2">
        <v>1</v>
      </c>
      <c r="CK1689" s="2">
        <v>21</v>
      </c>
      <c r="CL1689" s="2" t="s">
        <v>89</v>
      </c>
    </row>
    <row r="1690" spans="1:90">
      <c r="A1690" s="2" t="s">
        <v>71</v>
      </c>
      <c r="B1690" s="2" t="s">
        <v>72</v>
      </c>
      <c r="C1690" s="2" t="s">
        <v>73</v>
      </c>
      <c r="E1690" s="2" t="str">
        <f>"FES1162594792"</f>
        <v>FES1162594792</v>
      </c>
      <c r="F1690" s="3">
        <v>43081</v>
      </c>
      <c r="G1690" s="2">
        <v>201806</v>
      </c>
      <c r="H1690" s="2" t="s">
        <v>74</v>
      </c>
      <c r="I1690" s="2" t="s">
        <v>75</v>
      </c>
      <c r="J1690" s="2" t="s">
        <v>97</v>
      </c>
      <c r="K1690" s="2" t="s">
        <v>77</v>
      </c>
      <c r="L1690" s="2" t="s">
        <v>125</v>
      </c>
      <c r="M1690" s="2" t="s">
        <v>126</v>
      </c>
      <c r="N1690" s="2" t="s">
        <v>664</v>
      </c>
      <c r="O1690" s="2" t="s">
        <v>101</v>
      </c>
      <c r="P1690" s="2" t="str">
        <f>"2170605165                    "</f>
        <v xml:space="preserve">2170605165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6.43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45.93</v>
      </c>
      <c r="BM1690" s="2">
        <v>6.43</v>
      </c>
      <c r="BN1690" s="2">
        <v>52.36</v>
      </c>
      <c r="BO1690" s="2">
        <v>52.36</v>
      </c>
      <c r="BQ1690" s="2" t="s">
        <v>102</v>
      </c>
      <c r="BR1690" s="2" t="s">
        <v>103</v>
      </c>
      <c r="BS1690" s="3">
        <v>43082</v>
      </c>
      <c r="BT1690" s="4">
        <v>0.4375</v>
      </c>
      <c r="BU1690" s="2" t="s">
        <v>2110</v>
      </c>
      <c r="BV1690" s="2" t="s">
        <v>85</v>
      </c>
      <c r="BY1690" s="2">
        <v>1200</v>
      </c>
      <c r="CA1690" s="2" t="s">
        <v>666</v>
      </c>
      <c r="CC1690" s="2" t="s">
        <v>126</v>
      </c>
      <c r="CD1690" s="2">
        <v>4001</v>
      </c>
      <c r="CE1690" s="2" t="s">
        <v>120</v>
      </c>
      <c r="CF1690" s="3">
        <v>43083</v>
      </c>
      <c r="CI1690" s="2">
        <v>1</v>
      </c>
      <c r="CJ1690" s="2">
        <v>1</v>
      </c>
      <c r="CK1690" s="2">
        <v>21</v>
      </c>
      <c r="CL1690" s="2" t="s">
        <v>89</v>
      </c>
    </row>
    <row r="1691" spans="1:90">
      <c r="A1691" s="2" t="s">
        <v>71</v>
      </c>
      <c r="B1691" s="2" t="s">
        <v>72</v>
      </c>
      <c r="C1691" s="2" t="s">
        <v>73</v>
      </c>
      <c r="E1691" s="2" t="str">
        <f>"FES1162595484"</f>
        <v>FES1162595484</v>
      </c>
      <c r="F1691" s="3">
        <v>43081</v>
      </c>
      <c r="G1691" s="2">
        <v>201806</v>
      </c>
      <c r="H1691" s="2" t="s">
        <v>74</v>
      </c>
      <c r="I1691" s="2" t="s">
        <v>75</v>
      </c>
      <c r="J1691" s="2" t="s">
        <v>97</v>
      </c>
      <c r="K1691" s="2" t="s">
        <v>77</v>
      </c>
      <c r="L1691" s="2" t="s">
        <v>1986</v>
      </c>
      <c r="M1691" s="2" t="s">
        <v>1987</v>
      </c>
      <c r="N1691" s="2" t="s">
        <v>1988</v>
      </c>
      <c r="O1691" s="2" t="s">
        <v>101</v>
      </c>
      <c r="P1691" s="2" t="str">
        <f>"2170606971                    "</f>
        <v xml:space="preserve">2170606971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16.079999999999998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4.8</v>
      </c>
      <c r="BJ1691" s="2">
        <v>2.8</v>
      </c>
      <c r="BK1691" s="2">
        <v>5</v>
      </c>
      <c r="BL1691" s="2">
        <v>114.8</v>
      </c>
      <c r="BM1691" s="2">
        <v>16.07</v>
      </c>
      <c r="BN1691" s="2">
        <v>130.87</v>
      </c>
      <c r="BO1691" s="2">
        <v>130.87</v>
      </c>
      <c r="BQ1691" s="2" t="s">
        <v>142</v>
      </c>
      <c r="BR1691" s="2" t="s">
        <v>103</v>
      </c>
      <c r="BS1691" s="3">
        <v>43083</v>
      </c>
      <c r="BT1691" s="4">
        <v>0.33124999999999999</v>
      </c>
      <c r="BU1691" s="2" t="s">
        <v>2111</v>
      </c>
      <c r="BV1691" s="2" t="s">
        <v>85</v>
      </c>
      <c r="BY1691" s="2">
        <v>13956.7</v>
      </c>
      <c r="CA1691" s="2" t="s">
        <v>1990</v>
      </c>
      <c r="CC1691" s="2" t="s">
        <v>1987</v>
      </c>
      <c r="CD1691" s="2">
        <v>6740</v>
      </c>
      <c r="CE1691" s="2" t="s">
        <v>87</v>
      </c>
      <c r="CF1691" s="3">
        <v>43087</v>
      </c>
      <c r="CI1691" s="2">
        <v>3</v>
      </c>
      <c r="CJ1691" s="2">
        <v>2</v>
      </c>
      <c r="CK1691" s="2">
        <v>21</v>
      </c>
      <c r="CL1691" s="2" t="s">
        <v>89</v>
      </c>
    </row>
    <row r="1692" spans="1:90">
      <c r="A1692" s="2" t="s">
        <v>71</v>
      </c>
      <c r="B1692" s="2" t="s">
        <v>72</v>
      </c>
      <c r="C1692" s="2" t="s">
        <v>73</v>
      </c>
      <c r="E1692" s="2" t="str">
        <f>"FES1162594881"</f>
        <v>FES1162594881</v>
      </c>
      <c r="F1692" s="3">
        <v>43081</v>
      </c>
      <c r="G1692" s="2">
        <v>201806</v>
      </c>
      <c r="H1692" s="2" t="s">
        <v>74</v>
      </c>
      <c r="I1692" s="2" t="s">
        <v>75</v>
      </c>
      <c r="J1692" s="2" t="s">
        <v>97</v>
      </c>
      <c r="K1692" s="2" t="s">
        <v>77</v>
      </c>
      <c r="L1692" s="2" t="s">
        <v>168</v>
      </c>
      <c r="M1692" s="2" t="s">
        <v>169</v>
      </c>
      <c r="N1692" s="2" t="s">
        <v>2112</v>
      </c>
      <c r="O1692" s="2" t="s">
        <v>101</v>
      </c>
      <c r="P1692" s="2" t="str">
        <f>"2170606756                    "</f>
        <v xml:space="preserve">2170606756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6.43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1</v>
      </c>
      <c r="BJ1692" s="2">
        <v>0.2</v>
      </c>
      <c r="BK1692" s="2">
        <v>1</v>
      </c>
      <c r="BL1692" s="2">
        <v>45.93</v>
      </c>
      <c r="BM1692" s="2">
        <v>6.43</v>
      </c>
      <c r="BN1692" s="2">
        <v>52.36</v>
      </c>
      <c r="BO1692" s="2">
        <v>52.36</v>
      </c>
      <c r="BQ1692" s="2" t="s">
        <v>82</v>
      </c>
      <c r="BR1692" s="2" t="s">
        <v>103</v>
      </c>
      <c r="BS1692" s="3">
        <v>43082</v>
      </c>
      <c r="BT1692" s="4">
        <v>0.40972222222222227</v>
      </c>
      <c r="BU1692" s="2" t="s">
        <v>2113</v>
      </c>
      <c r="BV1692" s="2" t="s">
        <v>85</v>
      </c>
      <c r="BY1692" s="2">
        <v>1200</v>
      </c>
      <c r="CA1692" s="2" t="s">
        <v>2114</v>
      </c>
      <c r="CC1692" s="2" t="s">
        <v>169</v>
      </c>
      <c r="CD1692" s="2">
        <v>3610</v>
      </c>
      <c r="CE1692" s="2" t="s">
        <v>120</v>
      </c>
      <c r="CF1692" s="3">
        <v>43083</v>
      </c>
      <c r="CI1692" s="2">
        <v>1</v>
      </c>
      <c r="CJ1692" s="2">
        <v>1</v>
      </c>
      <c r="CK1692" s="2">
        <v>21</v>
      </c>
      <c r="CL1692" s="2" t="s">
        <v>89</v>
      </c>
    </row>
    <row r="1693" spans="1:90">
      <c r="A1693" s="2" t="s">
        <v>71</v>
      </c>
      <c r="B1693" s="2" t="s">
        <v>72</v>
      </c>
      <c r="C1693" s="2" t="s">
        <v>73</v>
      </c>
      <c r="E1693" s="2" t="str">
        <f>"FES1162595489"</f>
        <v>FES1162595489</v>
      </c>
      <c r="F1693" s="3">
        <v>43081</v>
      </c>
      <c r="G1693" s="2">
        <v>201806</v>
      </c>
      <c r="H1693" s="2" t="s">
        <v>74</v>
      </c>
      <c r="I1693" s="2" t="s">
        <v>75</v>
      </c>
      <c r="J1693" s="2" t="s">
        <v>97</v>
      </c>
      <c r="K1693" s="2" t="s">
        <v>77</v>
      </c>
      <c r="L1693" s="2" t="s">
        <v>173</v>
      </c>
      <c r="M1693" s="2" t="s">
        <v>174</v>
      </c>
      <c r="N1693" s="2" t="s">
        <v>2115</v>
      </c>
      <c r="O1693" s="2" t="s">
        <v>101</v>
      </c>
      <c r="P1693" s="2" t="str">
        <f>"2170607316                    "</f>
        <v xml:space="preserve">2170607316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9.65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3</v>
      </c>
      <c r="BJ1693" s="2">
        <v>0.1</v>
      </c>
      <c r="BK1693" s="2">
        <v>3</v>
      </c>
      <c r="BL1693" s="2">
        <v>68.89</v>
      </c>
      <c r="BM1693" s="2">
        <v>9.64</v>
      </c>
      <c r="BN1693" s="2">
        <v>78.53</v>
      </c>
      <c r="BO1693" s="2">
        <v>78.53</v>
      </c>
      <c r="BR1693" s="2" t="s">
        <v>103</v>
      </c>
      <c r="BS1693" s="3">
        <v>43082</v>
      </c>
      <c r="BT1693" s="4">
        <v>0.6020833333333333</v>
      </c>
      <c r="BU1693" s="2" t="s">
        <v>2116</v>
      </c>
      <c r="BV1693" s="2" t="s">
        <v>89</v>
      </c>
      <c r="BW1693" s="2" t="s">
        <v>149</v>
      </c>
      <c r="BX1693" s="2" t="s">
        <v>368</v>
      </c>
      <c r="BY1693" s="2">
        <v>684</v>
      </c>
      <c r="CA1693" s="2" t="s">
        <v>1923</v>
      </c>
      <c r="CC1693" s="2" t="s">
        <v>174</v>
      </c>
      <c r="CD1693" s="2">
        <v>7570</v>
      </c>
      <c r="CE1693" s="2" t="s">
        <v>87</v>
      </c>
      <c r="CF1693" s="3">
        <v>43082</v>
      </c>
      <c r="CI1693" s="2">
        <v>1</v>
      </c>
      <c r="CJ1693" s="2">
        <v>1</v>
      </c>
      <c r="CK1693" s="2">
        <v>21</v>
      </c>
      <c r="CL1693" s="2" t="s">
        <v>89</v>
      </c>
    </row>
    <row r="1694" spans="1:90">
      <c r="A1694" s="2" t="s">
        <v>71</v>
      </c>
      <c r="B1694" s="2" t="s">
        <v>72</v>
      </c>
      <c r="C1694" s="2" t="s">
        <v>73</v>
      </c>
      <c r="E1694" s="2" t="str">
        <f>"FES1162595490"</f>
        <v>FES1162595490</v>
      </c>
      <c r="F1694" s="3">
        <v>43081</v>
      </c>
      <c r="G1694" s="2">
        <v>201806</v>
      </c>
      <c r="H1694" s="2" t="s">
        <v>74</v>
      </c>
      <c r="I1694" s="2" t="s">
        <v>75</v>
      </c>
      <c r="J1694" s="2" t="s">
        <v>97</v>
      </c>
      <c r="K1694" s="2" t="s">
        <v>77</v>
      </c>
      <c r="L1694" s="2" t="s">
        <v>212</v>
      </c>
      <c r="M1694" s="2" t="s">
        <v>212</v>
      </c>
      <c r="N1694" s="2" t="s">
        <v>904</v>
      </c>
      <c r="O1694" s="2" t="s">
        <v>101</v>
      </c>
      <c r="P1694" s="2" t="str">
        <f>"2170607353                    "</f>
        <v xml:space="preserve">2170607353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6.43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2</v>
      </c>
      <c r="BJ1694" s="2">
        <v>0.9</v>
      </c>
      <c r="BK1694" s="2">
        <v>2</v>
      </c>
      <c r="BL1694" s="2">
        <v>45.93</v>
      </c>
      <c r="BM1694" s="2">
        <v>6.43</v>
      </c>
      <c r="BN1694" s="2">
        <v>52.36</v>
      </c>
      <c r="BO1694" s="2">
        <v>52.36</v>
      </c>
      <c r="BQ1694" s="2" t="s">
        <v>187</v>
      </c>
      <c r="BR1694" s="2" t="s">
        <v>103</v>
      </c>
      <c r="BS1694" s="3">
        <v>43082</v>
      </c>
      <c r="BT1694" s="4">
        <v>0.57500000000000007</v>
      </c>
      <c r="BU1694" s="2" t="s">
        <v>1759</v>
      </c>
      <c r="BV1694" s="2" t="s">
        <v>85</v>
      </c>
      <c r="BY1694" s="2">
        <v>4500</v>
      </c>
      <c r="CC1694" s="2" t="s">
        <v>212</v>
      </c>
      <c r="CD1694" s="2">
        <v>7646</v>
      </c>
      <c r="CE1694" s="2" t="s">
        <v>87</v>
      </c>
      <c r="CF1694" s="3">
        <v>43083</v>
      </c>
      <c r="CI1694" s="2">
        <v>1</v>
      </c>
      <c r="CJ1694" s="2">
        <v>1</v>
      </c>
      <c r="CK1694" s="2">
        <v>21</v>
      </c>
      <c r="CL1694" s="2" t="s">
        <v>89</v>
      </c>
    </row>
    <row r="1695" spans="1:90">
      <c r="A1695" s="2" t="s">
        <v>71</v>
      </c>
      <c r="B1695" s="2" t="s">
        <v>72</v>
      </c>
      <c r="C1695" s="2" t="s">
        <v>73</v>
      </c>
      <c r="E1695" s="2" t="str">
        <f>"FES1162594818"</f>
        <v>FES1162594818</v>
      </c>
      <c r="F1695" s="3">
        <v>43081</v>
      </c>
      <c r="G1695" s="2">
        <v>201806</v>
      </c>
      <c r="H1695" s="2" t="s">
        <v>74</v>
      </c>
      <c r="I1695" s="2" t="s">
        <v>75</v>
      </c>
      <c r="J1695" s="2" t="s">
        <v>97</v>
      </c>
      <c r="K1695" s="2" t="s">
        <v>77</v>
      </c>
      <c r="L1695" s="2" t="s">
        <v>131</v>
      </c>
      <c r="M1695" s="2" t="s">
        <v>132</v>
      </c>
      <c r="N1695" s="2" t="s">
        <v>1355</v>
      </c>
      <c r="O1695" s="2" t="s">
        <v>101</v>
      </c>
      <c r="P1695" s="2" t="str">
        <f>"2170606708                    "</f>
        <v xml:space="preserve">2170606708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6.43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45.93</v>
      </c>
      <c r="BM1695" s="2">
        <v>6.43</v>
      </c>
      <c r="BN1695" s="2">
        <v>52.36</v>
      </c>
      <c r="BO1695" s="2">
        <v>52.36</v>
      </c>
      <c r="BQ1695" s="2" t="s">
        <v>82</v>
      </c>
      <c r="BR1695" s="2" t="s">
        <v>103</v>
      </c>
      <c r="BS1695" s="3">
        <v>43082</v>
      </c>
      <c r="BT1695" s="4">
        <v>0.37916666666666665</v>
      </c>
      <c r="BU1695" s="2" t="s">
        <v>2117</v>
      </c>
      <c r="BV1695" s="2" t="s">
        <v>85</v>
      </c>
      <c r="BY1695" s="2">
        <v>1200</v>
      </c>
      <c r="CA1695" s="2" t="s">
        <v>135</v>
      </c>
      <c r="CC1695" s="2" t="s">
        <v>132</v>
      </c>
      <c r="CD1695" s="2">
        <v>4300</v>
      </c>
      <c r="CE1695" s="2" t="s">
        <v>120</v>
      </c>
      <c r="CF1695" s="3">
        <v>43083</v>
      </c>
      <c r="CI1695" s="2">
        <v>1</v>
      </c>
      <c r="CJ1695" s="2">
        <v>1</v>
      </c>
      <c r="CK1695" s="2">
        <v>21</v>
      </c>
      <c r="CL1695" s="2" t="s">
        <v>89</v>
      </c>
    </row>
    <row r="1696" spans="1:90">
      <c r="A1696" s="2" t="s">
        <v>71</v>
      </c>
      <c r="B1696" s="2" t="s">
        <v>72</v>
      </c>
      <c r="C1696" s="2" t="s">
        <v>73</v>
      </c>
      <c r="E1696" s="2" t="str">
        <f>"FES1162595491"</f>
        <v>FES1162595491</v>
      </c>
      <c r="F1696" s="3">
        <v>43081</v>
      </c>
      <c r="G1696" s="2">
        <v>201806</v>
      </c>
      <c r="H1696" s="2" t="s">
        <v>74</v>
      </c>
      <c r="I1696" s="2" t="s">
        <v>75</v>
      </c>
      <c r="J1696" s="2" t="s">
        <v>97</v>
      </c>
      <c r="K1696" s="2" t="s">
        <v>77</v>
      </c>
      <c r="L1696" s="2" t="s">
        <v>106</v>
      </c>
      <c r="M1696" s="2" t="s">
        <v>107</v>
      </c>
      <c r="N1696" s="2" t="s">
        <v>2118</v>
      </c>
      <c r="O1696" s="2" t="s">
        <v>101</v>
      </c>
      <c r="P1696" s="2" t="str">
        <f>"2170607355                    "</f>
        <v xml:space="preserve">2170607355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5.03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1.8</v>
      </c>
      <c r="BJ1696" s="2">
        <v>3.2</v>
      </c>
      <c r="BK1696" s="2">
        <v>4</v>
      </c>
      <c r="BL1696" s="2">
        <v>35.89</v>
      </c>
      <c r="BM1696" s="2">
        <v>5.0199999999999996</v>
      </c>
      <c r="BN1696" s="2">
        <v>40.909999999999997</v>
      </c>
      <c r="BO1696" s="2">
        <v>40.909999999999997</v>
      </c>
      <c r="BQ1696" s="2" t="s">
        <v>2119</v>
      </c>
      <c r="BR1696" s="2" t="s">
        <v>103</v>
      </c>
      <c r="BS1696" s="3">
        <v>43082</v>
      </c>
      <c r="BT1696" s="4">
        <v>0.35416666666666669</v>
      </c>
      <c r="BU1696" s="2" t="s">
        <v>2120</v>
      </c>
      <c r="BV1696" s="2" t="s">
        <v>85</v>
      </c>
      <c r="BY1696" s="2">
        <v>15820.35</v>
      </c>
      <c r="CA1696" s="2" t="s">
        <v>110</v>
      </c>
      <c r="CC1696" s="2" t="s">
        <v>107</v>
      </c>
      <c r="CD1696" s="2">
        <v>2094</v>
      </c>
      <c r="CE1696" s="2" t="s">
        <v>87</v>
      </c>
      <c r="CF1696" s="3">
        <v>43083</v>
      </c>
      <c r="CI1696" s="2">
        <v>1</v>
      </c>
      <c r="CJ1696" s="2">
        <v>1</v>
      </c>
      <c r="CK1696" s="2">
        <v>22</v>
      </c>
      <c r="CL1696" s="2" t="s">
        <v>89</v>
      </c>
    </row>
    <row r="1697" spans="1:90">
      <c r="A1697" s="2" t="s">
        <v>71</v>
      </c>
      <c r="B1697" s="2" t="s">
        <v>72</v>
      </c>
      <c r="C1697" s="2" t="s">
        <v>73</v>
      </c>
      <c r="E1697" s="2" t="str">
        <f>"FES1162594943"</f>
        <v>FES1162594943</v>
      </c>
      <c r="F1697" s="3">
        <v>43081</v>
      </c>
      <c r="G1697" s="2">
        <v>201806</v>
      </c>
      <c r="H1697" s="2" t="s">
        <v>74</v>
      </c>
      <c r="I1697" s="2" t="s">
        <v>75</v>
      </c>
      <c r="J1697" s="2" t="s">
        <v>97</v>
      </c>
      <c r="K1697" s="2" t="s">
        <v>77</v>
      </c>
      <c r="L1697" s="2" t="s">
        <v>131</v>
      </c>
      <c r="M1697" s="2" t="s">
        <v>132</v>
      </c>
      <c r="N1697" s="2" t="s">
        <v>133</v>
      </c>
      <c r="O1697" s="2" t="s">
        <v>101</v>
      </c>
      <c r="P1697" s="2" t="str">
        <f>"2170606856                    "</f>
        <v xml:space="preserve">2170606856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6.43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45.93</v>
      </c>
      <c r="BM1697" s="2">
        <v>6.43</v>
      </c>
      <c r="BN1697" s="2">
        <v>52.36</v>
      </c>
      <c r="BO1697" s="2">
        <v>52.36</v>
      </c>
      <c r="BQ1697" s="2" t="s">
        <v>102</v>
      </c>
      <c r="BR1697" s="2" t="s">
        <v>103</v>
      </c>
      <c r="BS1697" s="3">
        <v>43082</v>
      </c>
      <c r="BT1697" s="4">
        <v>0.37916666666666665</v>
      </c>
      <c r="BU1697" s="2" t="s">
        <v>1069</v>
      </c>
      <c r="BV1697" s="2" t="s">
        <v>85</v>
      </c>
      <c r="BY1697" s="2">
        <v>1200</v>
      </c>
      <c r="CA1697" s="2" t="s">
        <v>135</v>
      </c>
      <c r="CC1697" s="2" t="s">
        <v>132</v>
      </c>
      <c r="CD1697" s="2">
        <v>4302</v>
      </c>
      <c r="CE1697" s="2" t="s">
        <v>120</v>
      </c>
      <c r="CF1697" s="3">
        <v>43083</v>
      </c>
      <c r="CI1697" s="2">
        <v>1</v>
      </c>
      <c r="CJ1697" s="2">
        <v>1</v>
      </c>
      <c r="CK1697" s="2">
        <v>21</v>
      </c>
      <c r="CL1697" s="2" t="s">
        <v>89</v>
      </c>
    </row>
    <row r="1698" spans="1:90">
      <c r="A1698" s="2" t="s">
        <v>71</v>
      </c>
      <c r="B1698" s="2" t="s">
        <v>72</v>
      </c>
      <c r="C1698" s="2" t="s">
        <v>73</v>
      </c>
      <c r="E1698" s="2" t="str">
        <f>"FES1162595025"</f>
        <v>FES1162595025</v>
      </c>
      <c r="F1698" s="3">
        <v>43081</v>
      </c>
      <c r="G1698" s="2">
        <v>201806</v>
      </c>
      <c r="H1698" s="2" t="s">
        <v>74</v>
      </c>
      <c r="I1698" s="2" t="s">
        <v>75</v>
      </c>
      <c r="J1698" s="2" t="s">
        <v>97</v>
      </c>
      <c r="K1698" s="2" t="s">
        <v>77</v>
      </c>
      <c r="L1698" s="2" t="s">
        <v>74</v>
      </c>
      <c r="M1698" s="2" t="s">
        <v>75</v>
      </c>
      <c r="N1698" s="2" t="s">
        <v>501</v>
      </c>
      <c r="O1698" s="2" t="s">
        <v>101</v>
      </c>
      <c r="P1698" s="2" t="str">
        <f>"2170606948                    "</f>
        <v xml:space="preserve">2170606948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5.03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</v>
      </c>
      <c r="BJ1698" s="2">
        <v>0.2</v>
      </c>
      <c r="BK1698" s="2">
        <v>1</v>
      </c>
      <c r="BL1698" s="2">
        <v>35.89</v>
      </c>
      <c r="BM1698" s="2">
        <v>5.0199999999999996</v>
      </c>
      <c r="BN1698" s="2">
        <v>40.909999999999997</v>
      </c>
      <c r="BO1698" s="2">
        <v>40.909999999999997</v>
      </c>
      <c r="BQ1698" s="2" t="s">
        <v>82</v>
      </c>
      <c r="BR1698" s="2" t="s">
        <v>103</v>
      </c>
      <c r="BS1698" s="3">
        <v>43082</v>
      </c>
      <c r="BT1698" s="4">
        <v>0.33680555555555558</v>
      </c>
      <c r="BU1698" s="2" t="s">
        <v>2121</v>
      </c>
      <c r="BV1698" s="2" t="s">
        <v>85</v>
      </c>
      <c r="BY1698" s="2">
        <v>1200</v>
      </c>
      <c r="CA1698" s="2" t="s">
        <v>619</v>
      </c>
      <c r="CC1698" s="2" t="s">
        <v>75</v>
      </c>
      <c r="CD1698" s="2">
        <v>1609</v>
      </c>
      <c r="CE1698" s="2" t="s">
        <v>120</v>
      </c>
      <c r="CF1698" s="3">
        <v>43084</v>
      </c>
      <c r="CI1698" s="2">
        <v>1</v>
      </c>
      <c r="CJ1698" s="2">
        <v>1</v>
      </c>
      <c r="CK1698" s="2">
        <v>22</v>
      </c>
      <c r="CL1698" s="2" t="s">
        <v>89</v>
      </c>
    </row>
    <row r="1699" spans="1:90">
      <c r="A1699" s="2" t="s">
        <v>71</v>
      </c>
      <c r="B1699" s="2" t="s">
        <v>72</v>
      </c>
      <c r="C1699" s="2" t="s">
        <v>73</v>
      </c>
      <c r="E1699" s="2" t="str">
        <f>"FES1162590461"</f>
        <v>FES1162590461</v>
      </c>
      <c r="F1699" s="3">
        <v>43081</v>
      </c>
      <c r="G1699" s="2">
        <v>201806</v>
      </c>
      <c r="H1699" s="2" t="s">
        <v>74</v>
      </c>
      <c r="I1699" s="2" t="s">
        <v>75</v>
      </c>
      <c r="J1699" s="2" t="s">
        <v>97</v>
      </c>
      <c r="K1699" s="2" t="s">
        <v>77</v>
      </c>
      <c r="L1699" s="2" t="s">
        <v>106</v>
      </c>
      <c r="M1699" s="2" t="s">
        <v>107</v>
      </c>
      <c r="N1699" s="2" t="s">
        <v>2101</v>
      </c>
      <c r="O1699" s="2" t="s">
        <v>101</v>
      </c>
      <c r="P1699" s="2" t="str">
        <f>"2170603339                    "</f>
        <v xml:space="preserve">2170603339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5.03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</v>
      </c>
      <c r="BJ1699" s="2">
        <v>0.2</v>
      </c>
      <c r="BK1699" s="2">
        <v>1</v>
      </c>
      <c r="BL1699" s="2">
        <v>35.89</v>
      </c>
      <c r="BM1699" s="2">
        <v>5.0199999999999996</v>
      </c>
      <c r="BN1699" s="2">
        <v>40.909999999999997</v>
      </c>
      <c r="BO1699" s="2">
        <v>40.909999999999997</v>
      </c>
      <c r="BQ1699" s="2" t="s">
        <v>102</v>
      </c>
      <c r="BR1699" s="2" t="s">
        <v>103</v>
      </c>
      <c r="BS1699" s="3">
        <v>43082</v>
      </c>
      <c r="BT1699" s="4">
        <v>0.41666666666666669</v>
      </c>
      <c r="BU1699" s="2" t="s">
        <v>2102</v>
      </c>
      <c r="BV1699" s="2" t="s">
        <v>85</v>
      </c>
      <c r="BY1699" s="2">
        <v>1200</v>
      </c>
      <c r="CA1699" s="2" t="s">
        <v>94</v>
      </c>
      <c r="CC1699" s="2" t="s">
        <v>107</v>
      </c>
      <c r="CD1699" s="2">
        <v>2013</v>
      </c>
      <c r="CE1699" s="2" t="s">
        <v>120</v>
      </c>
      <c r="CF1699" s="3">
        <v>43083</v>
      </c>
      <c r="CI1699" s="2">
        <v>1</v>
      </c>
      <c r="CJ1699" s="2">
        <v>1</v>
      </c>
      <c r="CK1699" s="2">
        <v>22</v>
      </c>
      <c r="CL1699" s="2" t="s">
        <v>89</v>
      </c>
    </row>
    <row r="1700" spans="1:90">
      <c r="A1700" s="2" t="s">
        <v>71</v>
      </c>
      <c r="B1700" s="2" t="s">
        <v>72</v>
      </c>
      <c r="C1700" s="2" t="s">
        <v>73</v>
      </c>
      <c r="E1700" s="2" t="str">
        <f>"FES1162592066"</f>
        <v>FES1162592066</v>
      </c>
      <c r="F1700" s="3">
        <v>43081</v>
      </c>
      <c r="G1700" s="2">
        <v>201806</v>
      </c>
      <c r="H1700" s="2" t="s">
        <v>74</v>
      </c>
      <c r="I1700" s="2" t="s">
        <v>75</v>
      </c>
      <c r="J1700" s="2" t="s">
        <v>97</v>
      </c>
      <c r="K1700" s="2" t="s">
        <v>77</v>
      </c>
      <c r="L1700" s="2" t="s">
        <v>106</v>
      </c>
      <c r="M1700" s="2" t="s">
        <v>107</v>
      </c>
      <c r="N1700" s="2" t="s">
        <v>2101</v>
      </c>
      <c r="O1700" s="2" t="s">
        <v>101</v>
      </c>
      <c r="P1700" s="2" t="str">
        <f>"2170604820                    "</f>
        <v xml:space="preserve">2170604820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5.03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35.89</v>
      </c>
      <c r="BM1700" s="2">
        <v>5.0199999999999996</v>
      </c>
      <c r="BN1700" s="2">
        <v>40.909999999999997</v>
      </c>
      <c r="BO1700" s="2">
        <v>40.909999999999997</v>
      </c>
      <c r="BQ1700" s="2" t="s">
        <v>102</v>
      </c>
      <c r="BR1700" s="2" t="s">
        <v>103</v>
      </c>
      <c r="BS1700" s="3">
        <v>43082</v>
      </c>
      <c r="BT1700" s="4">
        <v>0.51666666666666672</v>
      </c>
      <c r="BU1700" s="2" t="s">
        <v>2102</v>
      </c>
      <c r="BV1700" s="2" t="s">
        <v>89</v>
      </c>
      <c r="BW1700" s="2" t="s">
        <v>156</v>
      </c>
      <c r="BX1700" s="2" t="s">
        <v>157</v>
      </c>
      <c r="BY1700" s="2">
        <v>1200</v>
      </c>
      <c r="CA1700" s="2" t="s">
        <v>94</v>
      </c>
      <c r="CC1700" s="2" t="s">
        <v>107</v>
      </c>
      <c r="CD1700" s="2">
        <v>2013</v>
      </c>
      <c r="CE1700" s="2" t="s">
        <v>120</v>
      </c>
      <c r="CF1700" s="3">
        <v>43083</v>
      </c>
      <c r="CI1700" s="2">
        <v>1</v>
      </c>
      <c r="CJ1700" s="2">
        <v>1</v>
      </c>
      <c r="CK1700" s="2">
        <v>22</v>
      </c>
      <c r="CL1700" s="2" t="s">
        <v>89</v>
      </c>
    </row>
    <row r="1701" spans="1:90">
      <c r="A1701" s="2" t="s">
        <v>71</v>
      </c>
      <c r="B1701" s="2" t="s">
        <v>72</v>
      </c>
      <c r="C1701" s="2" t="s">
        <v>73</v>
      </c>
      <c r="E1701" s="2" t="str">
        <f>"FES1162592067"</f>
        <v>FES1162592067</v>
      </c>
      <c r="F1701" s="3">
        <v>43081</v>
      </c>
      <c r="G1701" s="2">
        <v>201806</v>
      </c>
      <c r="H1701" s="2" t="s">
        <v>74</v>
      </c>
      <c r="I1701" s="2" t="s">
        <v>75</v>
      </c>
      <c r="J1701" s="2" t="s">
        <v>97</v>
      </c>
      <c r="K1701" s="2" t="s">
        <v>77</v>
      </c>
      <c r="L1701" s="2" t="s">
        <v>106</v>
      </c>
      <c r="M1701" s="2" t="s">
        <v>107</v>
      </c>
      <c r="N1701" s="2" t="s">
        <v>2101</v>
      </c>
      <c r="O1701" s="2" t="s">
        <v>101</v>
      </c>
      <c r="P1701" s="2" t="str">
        <f>"2170604821                    "</f>
        <v xml:space="preserve">2170604821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5.03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35.89</v>
      </c>
      <c r="BM1701" s="2">
        <v>5.0199999999999996</v>
      </c>
      <c r="BN1701" s="2">
        <v>40.909999999999997</v>
      </c>
      <c r="BO1701" s="2">
        <v>40.909999999999997</v>
      </c>
      <c r="BQ1701" s="2" t="s">
        <v>102</v>
      </c>
      <c r="BR1701" s="2" t="s">
        <v>103</v>
      </c>
      <c r="BS1701" s="3">
        <v>43082</v>
      </c>
      <c r="BT1701" s="4">
        <v>0.51666666666666672</v>
      </c>
      <c r="BU1701" s="2" t="s">
        <v>2102</v>
      </c>
      <c r="BV1701" s="2" t="s">
        <v>89</v>
      </c>
      <c r="BW1701" s="2" t="s">
        <v>156</v>
      </c>
      <c r="BX1701" s="2" t="s">
        <v>157</v>
      </c>
      <c r="BY1701" s="2">
        <v>1200</v>
      </c>
      <c r="CA1701" s="2" t="s">
        <v>94</v>
      </c>
      <c r="CC1701" s="2" t="s">
        <v>107</v>
      </c>
      <c r="CD1701" s="2">
        <v>2013</v>
      </c>
      <c r="CE1701" s="2" t="s">
        <v>120</v>
      </c>
      <c r="CF1701" s="3">
        <v>43083</v>
      </c>
      <c r="CI1701" s="2">
        <v>1</v>
      </c>
      <c r="CJ1701" s="2">
        <v>1</v>
      </c>
      <c r="CK1701" s="2">
        <v>22</v>
      </c>
      <c r="CL1701" s="2" t="s">
        <v>89</v>
      </c>
    </row>
    <row r="1702" spans="1:90">
      <c r="A1702" s="2" t="s">
        <v>71</v>
      </c>
      <c r="B1702" s="2" t="s">
        <v>72</v>
      </c>
      <c r="C1702" s="2" t="s">
        <v>73</v>
      </c>
      <c r="E1702" s="2" t="str">
        <f>"FES1162595482"</f>
        <v>FES1162595482</v>
      </c>
      <c r="F1702" s="3">
        <v>43081</v>
      </c>
      <c r="G1702" s="2">
        <v>201806</v>
      </c>
      <c r="H1702" s="2" t="s">
        <v>74</v>
      </c>
      <c r="I1702" s="2" t="s">
        <v>75</v>
      </c>
      <c r="J1702" s="2" t="s">
        <v>97</v>
      </c>
      <c r="K1702" s="2" t="s">
        <v>77</v>
      </c>
      <c r="L1702" s="2" t="s">
        <v>173</v>
      </c>
      <c r="M1702" s="2" t="s">
        <v>174</v>
      </c>
      <c r="N1702" s="2" t="s">
        <v>2122</v>
      </c>
      <c r="O1702" s="2" t="s">
        <v>101</v>
      </c>
      <c r="P1702" s="2" t="str">
        <f>"2170607352                    "</f>
        <v xml:space="preserve">2170607352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6.43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</v>
      </c>
      <c r="BJ1702" s="2">
        <v>0.2</v>
      </c>
      <c r="BK1702" s="2">
        <v>1</v>
      </c>
      <c r="BL1702" s="2">
        <v>45.93</v>
      </c>
      <c r="BM1702" s="2">
        <v>6.43</v>
      </c>
      <c r="BN1702" s="2">
        <v>52.36</v>
      </c>
      <c r="BO1702" s="2">
        <v>52.36</v>
      </c>
      <c r="BQ1702" s="2" t="s">
        <v>82</v>
      </c>
      <c r="BR1702" s="2" t="s">
        <v>103</v>
      </c>
      <c r="BS1702" s="3">
        <v>43082</v>
      </c>
      <c r="BT1702" s="4">
        <v>0.51111111111111118</v>
      </c>
      <c r="BU1702" s="2" t="s">
        <v>2123</v>
      </c>
      <c r="BV1702" s="2" t="s">
        <v>89</v>
      </c>
      <c r="BW1702" s="2" t="s">
        <v>149</v>
      </c>
      <c r="BX1702" s="2" t="s">
        <v>368</v>
      </c>
      <c r="BY1702" s="2">
        <v>1200</v>
      </c>
      <c r="BZ1702" s="2" t="s">
        <v>27</v>
      </c>
      <c r="CA1702" s="2" t="s">
        <v>360</v>
      </c>
      <c r="CC1702" s="2" t="s">
        <v>174</v>
      </c>
      <c r="CD1702" s="2">
        <v>7405</v>
      </c>
      <c r="CE1702" s="2" t="s">
        <v>383</v>
      </c>
      <c r="CF1702" s="3">
        <v>43083</v>
      </c>
      <c r="CI1702" s="2">
        <v>1</v>
      </c>
      <c r="CJ1702" s="2">
        <v>1</v>
      </c>
      <c r="CK1702" s="2">
        <v>21</v>
      </c>
      <c r="CL1702" s="2" t="s">
        <v>89</v>
      </c>
    </row>
    <row r="1703" spans="1:90">
      <c r="A1703" s="2" t="s">
        <v>71</v>
      </c>
      <c r="B1703" s="2" t="s">
        <v>72</v>
      </c>
      <c r="C1703" s="2" t="s">
        <v>73</v>
      </c>
      <c r="E1703" s="2" t="str">
        <f>"FES1162595476"</f>
        <v>FES1162595476</v>
      </c>
      <c r="F1703" s="3">
        <v>43081</v>
      </c>
      <c r="G1703" s="2">
        <v>201806</v>
      </c>
      <c r="H1703" s="2" t="s">
        <v>74</v>
      </c>
      <c r="I1703" s="2" t="s">
        <v>75</v>
      </c>
      <c r="J1703" s="2" t="s">
        <v>97</v>
      </c>
      <c r="K1703" s="2" t="s">
        <v>77</v>
      </c>
      <c r="L1703" s="2" t="s">
        <v>462</v>
      </c>
      <c r="M1703" s="2" t="s">
        <v>463</v>
      </c>
      <c r="N1703" s="2" t="s">
        <v>464</v>
      </c>
      <c r="O1703" s="2" t="s">
        <v>101</v>
      </c>
      <c r="P1703" s="2" t="str">
        <f>"2170605922                    "</f>
        <v xml:space="preserve">2170605922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32.159999999999997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9.8000000000000007</v>
      </c>
      <c r="BJ1703" s="2">
        <v>3.6</v>
      </c>
      <c r="BK1703" s="2">
        <v>10</v>
      </c>
      <c r="BL1703" s="2">
        <v>229.58</v>
      </c>
      <c r="BM1703" s="2">
        <v>32.14</v>
      </c>
      <c r="BN1703" s="2">
        <v>261.72000000000003</v>
      </c>
      <c r="BO1703" s="2">
        <v>261.72000000000003</v>
      </c>
      <c r="BQ1703" s="2" t="s">
        <v>465</v>
      </c>
      <c r="BR1703" s="2" t="s">
        <v>103</v>
      </c>
      <c r="BS1703" s="3">
        <v>43082</v>
      </c>
      <c r="BT1703" s="4">
        <v>0.41666666666666669</v>
      </c>
      <c r="BU1703" s="2" t="s">
        <v>200</v>
      </c>
      <c r="BV1703" s="2" t="s">
        <v>85</v>
      </c>
      <c r="BY1703" s="2">
        <v>17986.919999999998</v>
      </c>
      <c r="CA1703" s="2" t="s">
        <v>542</v>
      </c>
      <c r="CC1703" s="2" t="s">
        <v>463</v>
      </c>
      <c r="CD1703" s="2">
        <v>7130</v>
      </c>
      <c r="CE1703" s="2" t="s">
        <v>95</v>
      </c>
      <c r="CF1703" s="3">
        <v>43083</v>
      </c>
      <c r="CI1703" s="2">
        <v>1</v>
      </c>
      <c r="CJ1703" s="2">
        <v>1</v>
      </c>
      <c r="CK1703" s="2">
        <v>21</v>
      </c>
      <c r="CL1703" s="2" t="s">
        <v>89</v>
      </c>
    </row>
    <row r="1704" spans="1:90">
      <c r="A1704" s="2" t="s">
        <v>71</v>
      </c>
      <c r="B1704" s="2" t="s">
        <v>72</v>
      </c>
      <c r="C1704" s="2" t="s">
        <v>73</v>
      </c>
      <c r="E1704" s="2" t="str">
        <f>"FES1162595488"</f>
        <v>FES1162595488</v>
      </c>
      <c r="F1704" s="3">
        <v>43081</v>
      </c>
      <c r="G1704" s="2">
        <v>201806</v>
      </c>
      <c r="H1704" s="2" t="s">
        <v>74</v>
      </c>
      <c r="I1704" s="2" t="s">
        <v>75</v>
      </c>
      <c r="J1704" s="2" t="s">
        <v>97</v>
      </c>
      <c r="K1704" s="2" t="s">
        <v>77</v>
      </c>
      <c r="L1704" s="2" t="s">
        <v>173</v>
      </c>
      <c r="M1704" s="2" t="s">
        <v>174</v>
      </c>
      <c r="N1704" s="2" t="s">
        <v>2115</v>
      </c>
      <c r="O1704" s="2" t="s">
        <v>101</v>
      </c>
      <c r="P1704" s="2" t="str">
        <f>"2170607313                    "</f>
        <v xml:space="preserve">2170607313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6.43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</v>
      </c>
      <c r="BJ1704" s="2">
        <v>0.2</v>
      </c>
      <c r="BK1704" s="2">
        <v>1</v>
      </c>
      <c r="BL1704" s="2">
        <v>45.93</v>
      </c>
      <c r="BM1704" s="2">
        <v>6.43</v>
      </c>
      <c r="BN1704" s="2">
        <v>52.36</v>
      </c>
      <c r="BO1704" s="2">
        <v>52.36</v>
      </c>
      <c r="BQ1704" s="2" t="s">
        <v>82</v>
      </c>
      <c r="BR1704" s="2" t="s">
        <v>103</v>
      </c>
      <c r="BS1704" s="3">
        <v>43082</v>
      </c>
      <c r="BT1704" s="4">
        <v>0.6020833333333333</v>
      </c>
      <c r="BU1704" s="2" t="s">
        <v>2116</v>
      </c>
      <c r="BV1704" s="2" t="s">
        <v>89</v>
      </c>
      <c r="BW1704" s="2" t="s">
        <v>149</v>
      </c>
      <c r="BX1704" s="2" t="s">
        <v>368</v>
      </c>
      <c r="BY1704" s="2">
        <v>1200</v>
      </c>
      <c r="BZ1704" s="2" t="s">
        <v>27</v>
      </c>
      <c r="CA1704" s="2" t="s">
        <v>1923</v>
      </c>
      <c r="CC1704" s="2" t="s">
        <v>174</v>
      </c>
      <c r="CD1704" s="2">
        <v>7570</v>
      </c>
      <c r="CE1704" s="2" t="s">
        <v>383</v>
      </c>
      <c r="CF1704" s="3">
        <v>43082</v>
      </c>
      <c r="CI1704" s="2">
        <v>1</v>
      </c>
      <c r="CJ1704" s="2">
        <v>1</v>
      </c>
      <c r="CK1704" s="2">
        <v>21</v>
      </c>
      <c r="CL1704" s="2" t="s">
        <v>89</v>
      </c>
    </row>
    <row r="1705" spans="1:90">
      <c r="A1705" s="2" t="s">
        <v>71</v>
      </c>
      <c r="B1705" s="2" t="s">
        <v>72</v>
      </c>
      <c r="C1705" s="2" t="s">
        <v>73</v>
      </c>
      <c r="E1705" s="2" t="str">
        <f>"FES1162595505"</f>
        <v>FES1162595505</v>
      </c>
      <c r="F1705" s="3">
        <v>43081</v>
      </c>
      <c r="G1705" s="2">
        <v>201806</v>
      </c>
      <c r="H1705" s="2" t="s">
        <v>74</v>
      </c>
      <c r="I1705" s="2" t="s">
        <v>75</v>
      </c>
      <c r="J1705" s="2" t="s">
        <v>97</v>
      </c>
      <c r="K1705" s="2" t="s">
        <v>77</v>
      </c>
      <c r="L1705" s="2" t="s">
        <v>173</v>
      </c>
      <c r="M1705" s="2" t="s">
        <v>174</v>
      </c>
      <c r="N1705" s="2" t="s">
        <v>175</v>
      </c>
      <c r="O1705" s="2" t="s">
        <v>101</v>
      </c>
      <c r="P1705" s="2" t="str">
        <f>"2170607368                    "</f>
        <v xml:space="preserve">2170607368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6.43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1</v>
      </c>
      <c r="BJ1705" s="2">
        <v>0.2</v>
      </c>
      <c r="BK1705" s="2">
        <v>1</v>
      </c>
      <c r="BL1705" s="2">
        <v>45.93</v>
      </c>
      <c r="BM1705" s="2">
        <v>6.43</v>
      </c>
      <c r="BN1705" s="2">
        <v>52.36</v>
      </c>
      <c r="BO1705" s="2">
        <v>52.36</v>
      </c>
      <c r="BQ1705" s="2" t="s">
        <v>102</v>
      </c>
      <c r="BR1705" s="2" t="s">
        <v>103</v>
      </c>
      <c r="BS1705" s="3">
        <v>43082</v>
      </c>
      <c r="BT1705" s="4">
        <v>0.52708333333333335</v>
      </c>
      <c r="BU1705" s="2" t="s">
        <v>176</v>
      </c>
      <c r="BV1705" s="2" t="s">
        <v>89</v>
      </c>
      <c r="BY1705" s="2">
        <v>1200</v>
      </c>
      <c r="BZ1705" s="2" t="s">
        <v>27</v>
      </c>
      <c r="CA1705" s="2" t="s">
        <v>177</v>
      </c>
      <c r="CC1705" s="2" t="s">
        <v>174</v>
      </c>
      <c r="CD1705" s="2">
        <v>7405</v>
      </c>
      <c r="CE1705" s="2" t="s">
        <v>383</v>
      </c>
      <c r="CF1705" s="3">
        <v>43083</v>
      </c>
      <c r="CI1705" s="2">
        <v>1</v>
      </c>
      <c r="CJ1705" s="2">
        <v>1</v>
      </c>
      <c r="CK1705" s="2">
        <v>21</v>
      </c>
      <c r="CL1705" s="2" t="s">
        <v>89</v>
      </c>
    </row>
    <row r="1706" spans="1:90">
      <c r="A1706" s="2" t="s">
        <v>71</v>
      </c>
      <c r="B1706" s="2" t="s">
        <v>72</v>
      </c>
      <c r="C1706" s="2" t="s">
        <v>73</v>
      </c>
      <c r="E1706" s="2" t="str">
        <f>"FES1162595407"</f>
        <v>FES1162595407</v>
      </c>
      <c r="F1706" s="3">
        <v>43081</v>
      </c>
      <c r="G1706" s="2">
        <v>201806</v>
      </c>
      <c r="H1706" s="2" t="s">
        <v>74</v>
      </c>
      <c r="I1706" s="2" t="s">
        <v>75</v>
      </c>
      <c r="J1706" s="2" t="s">
        <v>97</v>
      </c>
      <c r="K1706" s="2" t="s">
        <v>77</v>
      </c>
      <c r="L1706" s="2" t="s">
        <v>277</v>
      </c>
      <c r="M1706" s="2" t="s">
        <v>278</v>
      </c>
      <c r="N1706" s="2" t="s">
        <v>639</v>
      </c>
      <c r="O1706" s="2" t="s">
        <v>101</v>
      </c>
      <c r="P1706" s="2" t="str">
        <f>"2170607268                    "</f>
        <v xml:space="preserve">2170607268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5.03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2</v>
      </c>
      <c r="BJ1706" s="2">
        <v>2.7</v>
      </c>
      <c r="BK1706" s="2">
        <v>3</v>
      </c>
      <c r="BL1706" s="2">
        <v>35.89</v>
      </c>
      <c r="BM1706" s="2">
        <v>5.0199999999999996</v>
      </c>
      <c r="BN1706" s="2">
        <v>40.909999999999997</v>
      </c>
      <c r="BO1706" s="2">
        <v>40.909999999999997</v>
      </c>
      <c r="BQ1706" s="2" t="s">
        <v>142</v>
      </c>
      <c r="BR1706" s="2" t="s">
        <v>103</v>
      </c>
      <c r="BS1706" s="3">
        <v>43082</v>
      </c>
      <c r="BT1706" s="4">
        <v>0.41666666666666669</v>
      </c>
      <c r="BU1706" s="2" t="s">
        <v>640</v>
      </c>
      <c r="BV1706" s="2" t="s">
        <v>85</v>
      </c>
      <c r="BY1706" s="2">
        <v>13454</v>
      </c>
      <c r="CA1706" s="2" t="s">
        <v>320</v>
      </c>
      <c r="CC1706" s="2" t="s">
        <v>278</v>
      </c>
      <c r="CD1706" s="2">
        <v>2163</v>
      </c>
      <c r="CE1706" s="2" t="s">
        <v>87</v>
      </c>
      <c r="CF1706" s="3">
        <v>43084</v>
      </c>
      <c r="CI1706" s="2">
        <v>1</v>
      </c>
      <c r="CJ1706" s="2">
        <v>1</v>
      </c>
      <c r="CK1706" s="2">
        <v>22</v>
      </c>
      <c r="CL1706" s="2" t="s">
        <v>89</v>
      </c>
    </row>
    <row r="1707" spans="1:90">
      <c r="A1707" s="2" t="s">
        <v>71</v>
      </c>
      <c r="B1707" s="2" t="s">
        <v>72</v>
      </c>
      <c r="C1707" s="2" t="s">
        <v>73</v>
      </c>
      <c r="E1707" s="2" t="str">
        <f>"FES1162594756"</f>
        <v>FES1162594756</v>
      </c>
      <c r="F1707" s="3">
        <v>43081</v>
      </c>
      <c r="G1707" s="2">
        <v>201806</v>
      </c>
      <c r="H1707" s="2" t="s">
        <v>74</v>
      </c>
      <c r="I1707" s="2" t="s">
        <v>75</v>
      </c>
      <c r="J1707" s="2" t="s">
        <v>97</v>
      </c>
      <c r="K1707" s="2" t="s">
        <v>77</v>
      </c>
      <c r="L1707" s="2" t="s">
        <v>168</v>
      </c>
      <c r="M1707" s="2" t="s">
        <v>169</v>
      </c>
      <c r="N1707" s="2" t="s">
        <v>217</v>
      </c>
      <c r="O1707" s="2" t="s">
        <v>101</v>
      </c>
      <c r="P1707" s="2" t="str">
        <f>"2170606646                    "</f>
        <v xml:space="preserve">2170606646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11.26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2.6</v>
      </c>
      <c r="BJ1707" s="2">
        <v>3.2</v>
      </c>
      <c r="BK1707" s="2">
        <v>3.5</v>
      </c>
      <c r="BL1707" s="2">
        <v>80.37</v>
      </c>
      <c r="BM1707" s="2">
        <v>11.25</v>
      </c>
      <c r="BN1707" s="2">
        <v>91.62</v>
      </c>
      <c r="BO1707" s="2">
        <v>91.62</v>
      </c>
      <c r="BQ1707" s="2" t="s">
        <v>102</v>
      </c>
      <c r="BR1707" s="2" t="s">
        <v>103</v>
      </c>
      <c r="BS1707" s="3">
        <v>43082</v>
      </c>
      <c r="BT1707" s="4">
        <v>0.42986111111111108</v>
      </c>
      <c r="BU1707" s="2" t="s">
        <v>218</v>
      </c>
      <c r="BV1707" s="2" t="s">
        <v>85</v>
      </c>
      <c r="BY1707" s="2">
        <v>16022.16</v>
      </c>
      <c r="CA1707" s="2" t="s">
        <v>220</v>
      </c>
      <c r="CC1707" s="2" t="s">
        <v>169</v>
      </c>
      <c r="CD1707" s="2">
        <v>3620</v>
      </c>
      <c r="CE1707" s="2" t="s">
        <v>95</v>
      </c>
      <c r="CF1707" s="3">
        <v>43083</v>
      </c>
      <c r="CI1707" s="2">
        <v>1</v>
      </c>
      <c r="CJ1707" s="2">
        <v>1</v>
      </c>
      <c r="CK1707" s="2">
        <v>21</v>
      </c>
      <c r="CL1707" s="2" t="s">
        <v>89</v>
      </c>
    </row>
    <row r="1708" spans="1:90">
      <c r="A1708" s="2" t="s">
        <v>71</v>
      </c>
      <c r="B1708" s="2" t="s">
        <v>72</v>
      </c>
      <c r="C1708" s="2" t="s">
        <v>73</v>
      </c>
      <c r="E1708" s="2" t="str">
        <f>"FES1162594659"</f>
        <v>FES1162594659</v>
      </c>
      <c r="F1708" s="3">
        <v>43081</v>
      </c>
      <c r="G1708" s="2">
        <v>201806</v>
      </c>
      <c r="H1708" s="2" t="s">
        <v>74</v>
      </c>
      <c r="I1708" s="2" t="s">
        <v>75</v>
      </c>
      <c r="J1708" s="2" t="s">
        <v>97</v>
      </c>
      <c r="K1708" s="2" t="s">
        <v>77</v>
      </c>
      <c r="L1708" s="2" t="s">
        <v>125</v>
      </c>
      <c r="M1708" s="2" t="s">
        <v>126</v>
      </c>
      <c r="N1708" s="2" t="s">
        <v>2124</v>
      </c>
      <c r="O1708" s="2" t="s">
        <v>101</v>
      </c>
      <c r="P1708" s="2" t="str">
        <f>"217060513                     "</f>
        <v xml:space="preserve">217060513 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6.43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2</v>
      </c>
      <c r="BJ1708" s="2">
        <v>1.3</v>
      </c>
      <c r="BK1708" s="2">
        <v>2</v>
      </c>
      <c r="BL1708" s="2">
        <v>45.93</v>
      </c>
      <c r="BM1708" s="2">
        <v>6.43</v>
      </c>
      <c r="BN1708" s="2">
        <v>52.36</v>
      </c>
      <c r="BO1708" s="2">
        <v>52.36</v>
      </c>
      <c r="BR1708" s="2" t="s">
        <v>103</v>
      </c>
      <c r="BS1708" s="3">
        <v>43082</v>
      </c>
      <c r="BT1708" s="4">
        <v>0.41666666666666669</v>
      </c>
      <c r="BU1708" s="2" t="s">
        <v>200</v>
      </c>
      <c r="BV1708" s="2" t="s">
        <v>85</v>
      </c>
      <c r="BY1708" s="2">
        <v>6727</v>
      </c>
      <c r="CC1708" s="2" t="s">
        <v>126</v>
      </c>
      <c r="CD1708" s="2">
        <v>4001</v>
      </c>
      <c r="CE1708" s="2" t="s">
        <v>87</v>
      </c>
      <c r="CF1708" s="3">
        <v>43083</v>
      </c>
      <c r="CI1708" s="2">
        <v>1</v>
      </c>
      <c r="CJ1708" s="2">
        <v>1</v>
      </c>
      <c r="CK1708" s="2">
        <v>21</v>
      </c>
      <c r="CL1708" s="2" t="s">
        <v>89</v>
      </c>
    </row>
    <row r="1709" spans="1:90">
      <c r="A1709" s="2" t="s">
        <v>71</v>
      </c>
      <c r="B1709" s="2" t="s">
        <v>72</v>
      </c>
      <c r="C1709" s="2" t="s">
        <v>73</v>
      </c>
      <c r="E1709" s="2" t="str">
        <f>"FES1162595504"</f>
        <v>FES1162595504</v>
      </c>
      <c r="F1709" s="3">
        <v>43081</v>
      </c>
      <c r="G1709" s="2">
        <v>201806</v>
      </c>
      <c r="H1709" s="2" t="s">
        <v>74</v>
      </c>
      <c r="I1709" s="2" t="s">
        <v>75</v>
      </c>
      <c r="J1709" s="2" t="s">
        <v>97</v>
      </c>
      <c r="K1709" s="2" t="s">
        <v>77</v>
      </c>
      <c r="L1709" s="2" t="s">
        <v>173</v>
      </c>
      <c r="M1709" s="2" t="s">
        <v>174</v>
      </c>
      <c r="N1709" s="2" t="s">
        <v>802</v>
      </c>
      <c r="O1709" s="2" t="s">
        <v>101</v>
      </c>
      <c r="P1709" s="2" t="str">
        <f>"2170607366                    "</f>
        <v xml:space="preserve">2170607366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6.43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1</v>
      </c>
      <c r="BJ1709" s="2">
        <v>0.2</v>
      </c>
      <c r="BK1709" s="2">
        <v>1</v>
      </c>
      <c r="BL1709" s="2">
        <v>45.93</v>
      </c>
      <c r="BM1709" s="2">
        <v>6.43</v>
      </c>
      <c r="BN1709" s="2">
        <v>52.36</v>
      </c>
      <c r="BO1709" s="2">
        <v>52.36</v>
      </c>
      <c r="BQ1709" s="2" t="s">
        <v>102</v>
      </c>
      <c r="BR1709" s="2" t="s">
        <v>103</v>
      </c>
      <c r="BS1709" s="3">
        <v>43082</v>
      </c>
      <c r="BT1709" s="4">
        <v>0.42222222222222222</v>
      </c>
      <c r="BU1709" s="2" t="s">
        <v>1933</v>
      </c>
      <c r="BV1709" s="2" t="s">
        <v>85</v>
      </c>
      <c r="BY1709" s="2">
        <v>1200</v>
      </c>
      <c r="BZ1709" s="2" t="s">
        <v>27</v>
      </c>
      <c r="CA1709" s="2" t="s">
        <v>395</v>
      </c>
      <c r="CC1709" s="2" t="s">
        <v>174</v>
      </c>
      <c r="CD1709" s="2">
        <v>7441</v>
      </c>
      <c r="CE1709" s="2" t="s">
        <v>383</v>
      </c>
      <c r="CF1709" s="3">
        <v>43083</v>
      </c>
      <c r="CI1709" s="2">
        <v>1</v>
      </c>
      <c r="CJ1709" s="2">
        <v>1</v>
      </c>
      <c r="CK1709" s="2">
        <v>21</v>
      </c>
      <c r="CL1709" s="2" t="s">
        <v>89</v>
      </c>
    </row>
    <row r="1710" spans="1:90">
      <c r="A1710" s="2" t="s">
        <v>71</v>
      </c>
      <c r="B1710" s="2" t="s">
        <v>72</v>
      </c>
      <c r="C1710" s="2" t="s">
        <v>73</v>
      </c>
      <c r="E1710" s="2" t="str">
        <f>"FES1162595433"</f>
        <v>FES1162595433</v>
      </c>
      <c r="F1710" s="3">
        <v>43081</v>
      </c>
      <c r="G1710" s="2">
        <v>201806</v>
      </c>
      <c r="H1710" s="2" t="s">
        <v>74</v>
      </c>
      <c r="I1710" s="2" t="s">
        <v>75</v>
      </c>
      <c r="J1710" s="2" t="s">
        <v>97</v>
      </c>
      <c r="K1710" s="2" t="s">
        <v>77</v>
      </c>
      <c r="L1710" s="2" t="s">
        <v>136</v>
      </c>
      <c r="M1710" s="2" t="s">
        <v>137</v>
      </c>
      <c r="N1710" s="2" t="s">
        <v>974</v>
      </c>
      <c r="O1710" s="2" t="s">
        <v>101</v>
      </c>
      <c r="P1710" s="2" t="str">
        <f>"2170606430                    "</f>
        <v xml:space="preserve">2170606430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36.979999999999997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11.4</v>
      </c>
      <c r="BJ1710" s="2">
        <v>4.9000000000000004</v>
      </c>
      <c r="BK1710" s="2">
        <v>11.5</v>
      </c>
      <c r="BL1710" s="2">
        <v>264.01</v>
      </c>
      <c r="BM1710" s="2">
        <v>36.96</v>
      </c>
      <c r="BN1710" s="2">
        <v>300.97000000000003</v>
      </c>
      <c r="BO1710" s="2">
        <v>300.97000000000003</v>
      </c>
      <c r="BQ1710" s="2" t="s">
        <v>82</v>
      </c>
      <c r="BR1710" s="2" t="s">
        <v>103</v>
      </c>
      <c r="BS1710" s="3">
        <v>43082</v>
      </c>
      <c r="BT1710" s="4">
        <v>0.34027777777777773</v>
      </c>
      <c r="BU1710" s="2" t="s">
        <v>692</v>
      </c>
      <c r="BV1710" s="2" t="s">
        <v>85</v>
      </c>
      <c r="BY1710" s="2">
        <v>24369.69</v>
      </c>
      <c r="CA1710" s="2" t="s">
        <v>140</v>
      </c>
      <c r="CC1710" s="2" t="s">
        <v>137</v>
      </c>
      <c r="CD1710" s="2">
        <v>6001</v>
      </c>
      <c r="CE1710" s="2" t="s">
        <v>87</v>
      </c>
      <c r="CF1710" s="3">
        <v>43084</v>
      </c>
      <c r="CI1710" s="2">
        <v>1</v>
      </c>
      <c r="CJ1710" s="2">
        <v>1</v>
      </c>
      <c r="CK1710" s="2">
        <v>21</v>
      </c>
      <c r="CL1710" s="2" t="s">
        <v>89</v>
      </c>
    </row>
    <row r="1711" spans="1:90">
      <c r="A1711" s="2" t="s">
        <v>71</v>
      </c>
      <c r="B1711" s="2" t="s">
        <v>72</v>
      </c>
      <c r="C1711" s="2" t="s">
        <v>73</v>
      </c>
      <c r="E1711" s="2" t="str">
        <f>"FES1162595475"</f>
        <v>FES1162595475</v>
      </c>
      <c r="F1711" s="3">
        <v>43081</v>
      </c>
      <c r="G1711" s="2">
        <v>201806</v>
      </c>
      <c r="H1711" s="2" t="s">
        <v>74</v>
      </c>
      <c r="I1711" s="2" t="s">
        <v>75</v>
      </c>
      <c r="J1711" s="2" t="s">
        <v>97</v>
      </c>
      <c r="K1711" s="2" t="s">
        <v>77</v>
      </c>
      <c r="L1711" s="2" t="s">
        <v>462</v>
      </c>
      <c r="M1711" s="2" t="s">
        <v>463</v>
      </c>
      <c r="N1711" s="2" t="s">
        <v>464</v>
      </c>
      <c r="O1711" s="2" t="s">
        <v>101</v>
      </c>
      <c r="P1711" s="2" t="str">
        <f>"2170603284                    "</f>
        <v xml:space="preserve">2170603284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16.079999999999998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5</v>
      </c>
      <c r="BJ1711" s="2">
        <v>1.9</v>
      </c>
      <c r="BK1711" s="2">
        <v>5</v>
      </c>
      <c r="BL1711" s="2">
        <v>114.8</v>
      </c>
      <c r="BM1711" s="2">
        <v>16.07</v>
      </c>
      <c r="BN1711" s="2">
        <v>130.87</v>
      </c>
      <c r="BO1711" s="2">
        <v>130.87</v>
      </c>
      <c r="BQ1711" s="2" t="s">
        <v>465</v>
      </c>
      <c r="BR1711" s="2" t="s">
        <v>103</v>
      </c>
      <c r="BS1711" s="3">
        <v>43082</v>
      </c>
      <c r="BT1711" s="4">
        <v>0.41666666666666669</v>
      </c>
      <c r="BU1711" s="2" t="s">
        <v>200</v>
      </c>
      <c r="BV1711" s="2" t="s">
        <v>85</v>
      </c>
      <c r="BY1711" s="2">
        <v>9559.9500000000007</v>
      </c>
      <c r="BZ1711" s="2" t="s">
        <v>27</v>
      </c>
      <c r="CA1711" s="2" t="s">
        <v>542</v>
      </c>
      <c r="CC1711" s="2" t="s">
        <v>463</v>
      </c>
      <c r="CD1711" s="2">
        <v>7130</v>
      </c>
      <c r="CE1711" s="2" t="s">
        <v>282</v>
      </c>
      <c r="CF1711" s="3">
        <v>43083</v>
      </c>
      <c r="CI1711" s="2">
        <v>1</v>
      </c>
      <c r="CJ1711" s="2">
        <v>1</v>
      </c>
      <c r="CK1711" s="2">
        <v>21</v>
      </c>
      <c r="CL1711" s="2" t="s">
        <v>89</v>
      </c>
    </row>
    <row r="1712" spans="1:90">
      <c r="A1712" s="2" t="s">
        <v>71</v>
      </c>
      <c r="B1712" s="2" t="s">
        <v>72</v>
      </c>
      <c r="C1712" s="2" t="s">
        <v>73</v>
      </c>
      <c r="E1712" s="2" t="str">
        <f>"FES1162595495"</f>
        <v>FES1162595495</v>
      </c>
      <c r="F1712" s="3">
        <v>43081</v>
      </c>
      <c r="G1712" s="2">
        <v>201806</v>
      </c>
      <c r="H1712" s="2" t="s">
        <v>74</v>
      </c>
      <c r="I1712" s="2" t="s">
        <v>75</v>
      </c>
      <c r="J1712" s="2" t="s">
        <v>97</v>
      </c>
      <c r="K1712" s="2" t="s">
        <v>77</v>
      </c>
      <c r="L1712" s="2" t="s">
        <v>136</v>
      </c>
      <c r="M1712" s="2" t="s">
        <v>137</v>
      </c>
      <c r="N1712" s="2" t="s">
        <v>580</v>
      </c>
      <c r="O1712" s="2" t="s">
        <v>101</v>
      </c>
      <c r="P1712" s="2" t="str">
        <f>"2170607360                    "</f>
        <v xml:space="preserve">2170607360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6.43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1</v>
      </c>
      <c r="BJ1712" s="2">
        <v>0.2</v>
      </c>
      <c r="BK1712" s="2">
        <v>1</v>
      </c>
      <c r="BL1712" s="2">
        <v>45.93</v>
      </c>
      <c r="BM1712" s="2">
        <v>6.43</v>
      </c>
      <c r="BN1712" s="2">
        <v>52.36</v>
      </c>
      <c r="BO1712" s="2">
        <v>52.36</v>
      </c>
      <c r="BQ1712" s="2" t="s">
        <v>102</v>
      </c>
      <c r="BR1712" s="2" t="s">
        <v>103</v>
      </c>
      <c r="BS1712" s="3">
        <v>43082</v>
      </c>
      <c r="BT1712" s="4">
        <v>0.3263888888888889</v>
      </c>
      <c r="BU1712" s="2" t="s">
        <v>1751</v>
      </c>
      <c r="BV1712" s="2" t="s">
        <v>85</v>
      </c>
      <c r="BY1712" s="2">
        <v>1200</v>
      </c>
      <c r="BZ1712" s="2" t="s">
        <v>27</v>
      </c>
      <c r="CA1712" s="2" t="s">
        <v>180</v>
      </c>
      <c r="CC1712" s="2" t="s">
        <v>137</v>
      </c>
      <c r="CD1712" s="2">
        <v>6001</v>
      </c>
      <c r="CE1712" s="2" t="s">
        <v>383</v>
      </c>
      <c r="CF1712" s="3">
        <v>43084</v>
      </c>
      <c r="CI1712" s="2">
        <v>1</v>
      </c>
      <c r="CJ1712" s="2">
        <v>1</v>
      </c>
      <c r="CK1712" s="2">
        <v>21</v>
      </c>
      <c r="CL1712" s="2" t="s">
        <v>89</v>
      </c>
    </row>
    <row r="1713" spans="1:90">
      <c r="A1713" s="2" t="s">
        <v>71</v>
      </c>
      <c r="B1713" s="2" t="s">
        <v>72</v>
      </c>
      <c r="C1713" s="2" t="s">
        <v>73</v>
      </c>
      <c r="E1713" s="2" t="str">
        <f>"FES1162595467"</f>
        <v>FES1162595467</v>
      </c>
      <c r="F1713" s="3">
        <v>43081</v>
      </c>
      <c r="G1713" s="2">
        <v>201806</v>
      </c>
      <c r="H1713" s="2" t="s">
        <v>74</v>
      </c>
      <c r="I1713" s="2" t="s">
        <v>75</v>
      </c>
      <c r="J1713" s="2" t="s">
        <v>97</v>
      </c>
      <c r="K1713" s="2" t="s">
        <v>77</v>
      </c>
      <c r="L1713" s="2" t="s">
        <v>74</v>
      </c>
      <c r="M1713" s="2" t="s">
        <v>75</v>
      </c>
      <c r="N1713" s="2" t="s">
        <v>204</v>
      </c>
      <c r="O1713" s="2" t="s">
        <v>101</v>
      </c>
      <c r="P1713" s="2" t="str">
        <f>"2170607335                    "</f>
        <v xml:space="preserve">2170607335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5.03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1.9</v>
      </c>
      <c r="BJ1713" s="2">
        <v>3.5</v>
      </c>
      <c r="BK1713" s="2">
        <v>4</v>
      </c>
      <c r="BL1713" s="2">
        <v>35.89</v>
      </c>
      <c r="BM1713" s="2">
        <v>5.0199999999999996</v>
      </c>
      <c r="BN1713" s="2">
        <v>40.909999999999997</v>
      </c>
      <c r="BO1713" s="2">
        <v>40.909999999999997</v>
      </c>
      <c r="BQ1713" s="2" t="s">
        <v>102</v>
      </c>
      <c r="BR1713" s="2" t="s">
        <v>103</v>
      </c>
      <c r="BS1713" s="3">
        <v>43082</v>
      </c>
      <c r="BT1713" s="4">
        <v>0.32291666666666669</v>
      </c>
      <c r="BU1713" s="2" t="s">
        <v>205</v>
      </c>
      <c r="BV1713" s="2" t="s">
        <v>85</v>
      </c>
      <c r="BY1713" s="2">
        <v>17535.98</v>
      </c>
      <c r="BZ1713" s="2" t="s">
        <v>27</v>
      </c>
      <c r="CA1713" s="2" t="s">
        <v>206</v>
      </c>
      <c r="CC1713" s="2" t="s">
        <v>75</v>
      </c>
      <c r="CD1713" s="2">
        <v>1645</v>
      </c>
      <c r="CE1713" s="2" t="s">
        <v>95</v>
      </c>
      <c r="CF1713" s="3">
        <v>43083</v>
      </c>
      <c r="CI1713" s="2">
        <v>1</v>
      </c>
      <c r="CJ1713" s="2">
        <v>1</v>
      </c>
      <c r="CK1713" s="2">
        <v>22</v>
      </c>
      <c r="CL1713" s="2" t="s">
        <v>89</v>
      </c>
    </row>
    <row r="1714" spans="1:90">
      <c r="A1714" s="2" t="s">
        <v>71</v>
      </c>
      <c r="B1714" s="2" t="s">
        <v>72</v>
      </c>
      <c r="C1714" s="2" t="s">
        <v>73</v>
      </c>
      <c r="E1714" s="2" t="str">
        <f>"FES1162595439"</f>
        <v>FES1162595439</v>
      </c>
      <c r="F1714" s="3">
        <v>43081</v>
      </c>
      <c r="G1714" s="2">
        <v>201806</v>
      </c>
      <c r="H1714" s="2" t="s">
        <v>74</v>
      </c>
      <c r="I1714" s="2" t="s">
        <v>75</v>
      </c>
      <c r="J1714" s="2" t="s">
        <v>97</v>
      </c>
      <c r="K1714" s="2" t="s">
        <v>77</v>
      </c>
      <c r="L1714" s="2" t="s">
        <v>74</v>
      </c>
      <c r="M1714" s="2" t="s">
        <v>75</v>
      </c>
      <c r="N1714" s="2" t="s">
        <v>204</v>
      </c>
      <c r="O1714" s="2" t="s">
        <v>101</v>
      </c>
      <c r="P1714" s="2" t="str">
        <f>"2170607296                    "</f>
        <v xml:space="preserve">2170607296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5.03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1</v>
      </c>
      <c r="BJ1714" s="2">
        <v>0.2</v>
      </c>
      <c r="BK1714" s="2">
        <v>1</v>
      </c>
      <c r="BL1714" s="2">
        <v>35.89</v>
      </c>
      <c r="BM1714" s="2">
        <v>5.0199999999999996</v>
      </c>
      <c r="BN1714" s="2">
        <v>40.909999999999997</v>
      </c>
      <c r="BO1714" s="2">
        <v>40.909999999999997</v>
      </c>
      <c r="BQ1714" s="2" t="s">
        <v>102</v>
      </c>
      <c r="BR1714" s="2" t="s">
        <v>103</v>
      </c>
      <c r="BS1714" s="3">
        <v>43082</v>
      </c>
      <c r="BT1714" s="4">
        <v>0.32361111111111113</v>
      </c>
      <c r="BU1714" s="2" t="s">
        <v>205</v>
      </c>
      <c r="BV1714" s="2" t="s">
        <v>85</v>
      </c>
      <c r="BY1714" s="2">
        <v>1200</v>
      </c>
      <c r="BZ1714" s="2" t="s">
        <v>27</v>
      </c>
      <c r="CA1714" s="2" t="s">
        <v>206</v>
      </c>
      <c r="CC1714" s="2" t="s">
        <v>75</v>
      </c>
      <c r="CD1714" s="2">
        <v>1645</v>
      </c>
      <c r="CE1714" s="2" t="s">
        <v>120</v>
      </c>
      <c r="CF1714" s="3">
        <v>43083</v>
      </c>
      <c r="CI1714" s="2">
        <v>1</v>
      </c>
      <c r="CJ1714" s="2">
        <v>1</v>
      </c>
      <c r="CK1714" s="2">
        <v>22</v>
      </c>
      <c r="CL1714" s="2" t="s">
        <v>89</v>
      </c>
    </row>
    <row r="1715" spans="1:90">
      <c r="A1715" s="2" t="s">
        <v>71</v>
      </c>
      <c r="B1715" s="2" t="s">
        <v>72</v>
      </c>
      <c r="C1715" s="2" t="s">
        <v>73</v>
      </c>
      <c r="E1715" s="2" t="str">
        <f>"FES1162595171"</f>
        <v>FES1162595171</v>
      </c>
      <c r="F1715" s="3">
        <v>43081</v>
      </c>
      <c r="G1715" s="2">
        <v>201806</v>
      </c>
      <c r="H1715" s="2" t="s">
        <v>74</v>
      </c>
      <c r="I1715" s="2" t="s">
        <v>75</v>
      </c>
      <c r="J1715" s="2" t="s">
        <v>97</v>
      </c>
      <c r="K1715" s="2" t="s">
        <v>77</v>
      </c>
      <c r="L1715" s="2" t="s">
        <v>74</v>
      </c>
      <c r="M1715" s="2" t="s">
        <v>75</v>
      </c>
      <c r="N1715" s="2" t="s">
        <v>204</v>
      </c>
      <c r="O1715" s="2" t="s">
        <v>101</v>
      </c>
      <c r="P1715" s="2" t="str">
        <f>"2170607075                    "</f>
        <v xml:space="preserve">2170607075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5.03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</v>
      </c>
      <c r="BJ1715" s="2">
        <v>0.2</v>
      </c>
      <c r="BK1715" s="2">
        <v>1</v>
      </c>
      <c r="BL1715" s="2">
        <v>35.89</v>
      </c>
      <c r="BM1715" s="2">
        <v>5.0199999999999996</v>
      </c>
      <c r="BN1715" s="2">
        <v>40.909999999999997</v>
      </c>
      <c r="BO1715" s="2">
        <v>40.909999999999997</v>
      </c>
      <c r="BQ1715" s="2" t="s">
        <v>102</v>
      </c>
      <c r="BR1715" s="2" t="s">
        <v>103</v>
      </c>
      <c r="BS1715" s="3">
        <v>43082</v>
      </c>
      <c r="BT1715" s="4">
        <v>0.32361111111111113</v>
      </c>
      <c r="BU1715" s="2" t="s">
        <v>205</v>
      </c>
      <c r="BV1715" s="2" t="s">
        <v>85</v>
      </c>
      <c r="BY1715" s="2">
        <v>1200</v>
      </c>
      <c r="BZ1715" s="2" t="s">
        <v>27</v>
      </c>
      <c r="CA1715" s="2" t="s">
        <v>206</v>
      </c>
      <c r="CC1715" s="2" t="s">
        <v>75</v>
      </c>
      <c r="CD1715" s="2">
        <v>1645</v>
      </c>
      <c r="CE1715" s="2" t="s">
        <v>120</v>
      </c>
      <c r="CF1715" s="3">
        <v>43083</v>
      </c>
      <c r="CI1715" s="2">
        <v>1</v>
      </c>
      <c r="CJ1715" s="2">
        <v>1</v>
      </c>
      <c r="CK1715" s="2">
        <v>22</v>
      </c>
      <c r="CL1715" s="2" t="s">
        <v>89</v>
      </c>
    </row>
    <row r="1716" spans="1:90">
      <c r="A1716" s="2" t="s">
        <v>71</v>
      </c>
      <c r="B1716" s="2" t="s">
        <v>72</v>
      </c>
      <c r="C1716" s="2" t="s">
        <v>73</v>
      </c>
      <c r="E1716" s="2" t="str">
        <f>"FES1162595496"</f>
        <v>FES1162595496</v>
      </c>
      <c r="F1716" s="3">
        <v>43081</v>
      </c>
      <c r="G1716" s="2">
        <v>201806</v>
      </c>
      <c r="H1716" s="2" t="s">
        <v>74</v>
      </c>
      <c r="I1716" s="2" t="s">
        <v>75</v>
      </c>
      <c r="J1716" s="2" t="s">
        <v>97</v>
      </c>
      <c r="K1716" s="2" t="s">
        <v>77</v>
      </c>
      <c r="L1716" s="2" t="s">
        <v>136</v>
      </c>
      <c r="M1716" s="2" t="s">
        <v>137</v>
      </c>
      <c r="N1716" s="2" t="s">
        <v>2105</v>
      </c>
      <c r="O1716" s="2" t="s">
        <v>101</v>
      </c>
      <c r="P1716" s="2" t="str">
        <f>"2170607362                    "</f>
        <v xml:space="preserve">2170607362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6.43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1</v>
      </c>
      <c r="BJ1716" s="2">
        <v>0.2</v>
      </c>
      <c r="BK1716" s="2">
        <v>1</v>
      </c>
      <c r="BL1716" s="2">
        <v>45.93</v>
      </c>
      <c r="BM1716" s="2">
        <v>6.43</v>
      </c>
      <c r="BN1716" s="2">
        <v>52.36</v>
      </c>
      <c r="BO1716" s="2">
        <v>52.36</v>
      </c>
      <c r="BQ1716" s="2" t="s">
        <v>102</v>
      </c>
      <c r="BR1716" s="2" t="s">
        <v>103</v>
      </c>
      <c r="BS1716" s="3">
        <v>43082</v>
      </c>
      <c r="BT1716" s="4">
        <v>0.30555555555555552</v>
      </c>
      <c r="BU1716" s="2" t="s">
        <v>2106</v>
      </c>
      <c r="BV1716" s="2" t="s">
        <v>85</v>
      </c>
      <c r="BY1716" s="2">
        <v>1200</v>
      </c>
      <c r="BZ1716" s="2" t="s">
        <v>27</v>
      </c>
      <c r="CA1716" s="2" t="s">
        <v>140</v>
      </c>
      <c r="CC1716" s="2" t="s">
        <v>137</v>
      </c>
      <c r="CD1716" s="2">
        <v>6012</v>
      </c>
      <c r="CE1716" s="2" t="s">
        <v>383</v>
      </c>
      <c r="CF1716" s="3">
        <v>43084</v>
      </c>
      <c r="CI1716" s="2">
        <v>1</v>
      </c>
      <c r="CJ1716" s="2">
        <v>1</v>
      </c>
      <c r="CK1716" s="2">
        <v>21</v>
      </c>
      <c r="CL1716" s="2" t="s">
        <v>89</v>
      </c>
    </row>
    <row r="1717" spans="1:90">
      <c r="A1717" s="2" t="s">
        <v>71</v>
      </c>
      <c r="B1717" s="2" t="s">
        <v>72</v>
      </c>
      <c r="C1717" s="2" t="s">
        <v>73</v>
      </c>
      <c r="E1717" s="2" t="str">
        <f>"FES1162595492"</f>
        <v>FES1162595492</v>
      </c>
      <c r="F1717" s="3">
        <v>43081</v>
      </c>
      <c r="G1717" s="2">
        <v>201806</v>
      </c>
      <c r="H1717" s="2" t="s">
        <v>74</v>
      </c>
      <c r="I1717" s="2" t="s">
        <v>75</v>
      </c>
      <c r="J1717" s="2" t="s">
        <v>97</v>
      </c>
      <c r="K1717" s="2" t="s">
        <v>77</v>
      </c>
      <c r="L1717" s="2" t="s">
        <v>136</v>
      </c>
      <c r="M1717" s="2" t="s">
        <v>137</v>
      </c>
      <c r="N1717" s="2" t="s">
        <v>446</v>
      </c>
      <c r="O1717" s="2" t="s">
        <v>101</v>
      </c>
      <c r="P1717" s="2" t="str">
        <f>"2170607356                    "</f>
        <v xml:space="preserve">2170607356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6.43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1</v>
      </c>
      <c r="BJ1717" s="2">
        <v>0.2</v>
      </c>
      <c r="BK1717" s="2">
        <v>1</v>
      </c>
      <c r="BL1717" s="2">
        <v>45.93</v>
      </c>
      <c r="BM1717" s="2">
        <v>6.43</v>
      </c>
      <c r="BN1717" s="2">
        <v>52.36</v>
      </c>
      <c r="BO1717" s="2">
        <v>52.36</v>
      </c>
      <c r="BQ1717" s="2" t="s">
        <v>102</v>
      </c>
      <c r="BR1717" s="2" t="s">
        <v>103</v>
      </c>
      <c r="BS1717" s="3">
        <v>43082</v>
      </c>
      <c r="BT1717" s="4">
        <v>0.31944444444444448</v>
      </c>
      <c r="BU1717" s="2" t="s">
        <v>2125</v>
      </c>
      <c r="BV1717" s="2" t="s">
        <v>85</v>
      </c>
      <c r="BY1717" s="2">
        <v>1200</v>
      </c>
      <c r="BZ1717" s="2" t="s">
        <v>27</v>
      </c>
      <c r="CA1717" s="2" t="s">
        <v>140</v>
      </c>
      <c r="CC1717" s="2" t="s">
        <v>137</v>
      </c>
      <c r="CD1717" s="2">
        <v>6012</v>
      </c>
      <c r="CE1717" s="2" t="s">
        <v>383</v>
      </c>
      <c r="CF1717" s="3">
        <v>43084</v>
      </c>
      <c r="CI1717" s="2">
        <v>1</v>
      </c>
      <c r="CJ1717" s="2">
        <v>1</v>
      </c>
      <c r="CK1717" s="2">
        <v>21</v>
      </c>
      <c r="CL1717" s="2" t="s">
        <v>89</v>
      </c>
    </row>
    <row r="1718" spans="1:90">
      <c r="A1718" s="2" t="s">
        <v>71</v>
      </c>
      <c r="B1718" s="2" t="s">
        <v>72</v>
      </c>
      <c r="C1718" s="2" t="s">
        <v>73</v>
      </c>
      <c r="E1718" s="2" t="str">
        <f>"FES1162594793"</f>
        <v>FES1162594793</v>
      </c>
      <c r="F1718" s="3">
        <v>43081</v>
      </c>
      <c r="G1718" s="2">
        <v>201806</v>
      </c>
      <c r="H1718" s="2" t="s">
        <v>74</v>
      </c>
      <c r="I1718" s="2" t="s">
        <v>75</v>
      </c>
      <c r="J1718" s="2" t="s">
        <v>97</v>
      </c>
      <c r="K1718" s="2" t="s">
        <v>77</v>
      </c>
      <c r="L1718" s="2" t="s">
        <v>2126</v>
      </c>
      <c r="M1718" s="2" t="s">
        <v>2127</v>
      </c>
      <c r="N1718" s="2" t="s">
        <v>2128</v>
      </c>
      <c r="O1718" s="2" t="s">
        <v>101</v>
      </c>
      <c r="P1718" s="2" t="str">
        <f>"2170605270                    "</f>
        <v xml:space="preserve">2170605270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9.0500000000000007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1</v>
      </c>
      <c r="BJ1718" s="2">
        <v>0.2</v>
      </c>
      <c r="BK1718" s="2">
        <v>1</v>
      </c>
      <c r="BL1718" s="2">
        <v>64.599999999999994</v>
      </c>
      <c r="BM1718" s="2">
        <v>9.0399999999999991</v>
      </c>
      <c r="BN1718" s="2">
        <v>73.64</v>
      </c>
      <c r="BO1718" s="2">
        <v>73.64</v>
      </c>
      <c r="BR1718" s="2" t="s">
        <v>103</v>
      </c>
      <c r="BS1718" s="3">
        <v>43083</v>
      </c>
      <c r="BT1718" s="4">
        <v>0.72430555555555554</v>
      </c>
      <c r="BU1718" s="2" t="s">
        <v>2129</v>
      </c>
      <c r="BV1718" s="2" t="s">
        <v>89</v>
      </c>
      <c r="BY1718" s="2">
        <v>1200</v>
      </c>
      <c r="BZ1718" s="2" t="s">
        <v>27</v>
      </c>
      <c r="CA1718" s="2" t="s">
        <v>2130</v>
      </c>
      <c r="CC1718" s="2" t="s">
        <v>2127</v>
      </c>
      <c r="CD1718" s="2">
        <v>319</v>
      </c>
      <c r="CE1718" s="2" t="s">
        <v>383</v>
      </c>
      <c r="CF1718" s="3">
        <v>43088</v>
      </c>
      <c r="CI1718" s="2">
        <v>1</v>
      </c>
      <c r="CJ1718" s="2">
        <v>2</v>
      </c>
      <c r="CK1718" s="2">
        <v>24</v>
      </c>
      <c r="CL1718" s="2" t="s">
        <v>89</v>
      </c>
    </row>
    <row r="1719" spans="1:90">
      <c r="A1719" s="2" t="s">
        <v>71</v>
      </c>
      <c r="B1719" s="2" t="s">
        <v>72</v>
      </c>
      <c r="C1719" s="2" t="s">
        <v>73</v>
      </c>
      <c r="E1719" s="2" t="str">
        <f>"FES1162595232"</f>
        <v>FES1162595232</v>
      </c>
      <c r="F1719" s="3">
        <v>43081</v>
      </c>
      <c r="G1719" s="2">
        <v>201806</v>
      </c>
      <c r="H1719" s="2" t="s">
        <v>74</v>
      </c>
      <c r="I1719" s="2" t="s">
        <v>75</v>
      </c>
      <c r="J1719" s="2" t="s">
        <v>97</v>
      </c>
      <c r="K1719" s="2" t="s">
        <v>77</v>
      </c>
      <c r="L1719" s="2" t="s">
        <v>158</v>
      </c>
      <c r="M1719" s="2" t="s">
        <v>159</v>
      </c>
      <c r="N1719" s="2" t="s">
        <v>615</v>
      </c>
      <c r="O1719" s="2" t="s">
        <v>101</v>
      </c>
      <c r="P1719" s="2" t="str">
        <f>"2170607129                    "</f>
        <v xml:space="preserve">2170607129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6.43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1</v>
      </c>
      <c r="BJ1719" s="2">
        <v>0.2</v>
      </c>
      <c r="BK1719" s="2">
        <v>1</v>
      </c>
      <c r="BL1719" s="2">
        <v>45.93</v>
      </c>
      <c r="BM1719" s="2">
        <v>6.43</v>
      </c>
      <c r="BN1719" s="2">
        <v>52.36</v>
      </c>
      <c r="BO1719" s="2">
        <v>52.36</v>
      </c>
      <c r="BQ1719" s="2" t="s">
        <v>102</v>
      </c>
      <c r="BR1719" s="2" t="s">
        <v>103</v>
      </c>
      <c r="BS1719" s="3">
        <v>43082</v>
      </c>
      <c r="BT1719" s="4">
        <v>0.41666666666666669</v>
      </c>
      <c r="BU1719" s="2" t="s">
        <v>893</v>
      </c>
      <c r="BV1719" s="2" t="s">
        <v>85</v>
      </c>
      <c r="BY1719" s="2">
        <v>1200</v>
      </c>
      <c r="BZ1719" s="2" t="s">
        <v>27</v>
      </c>
      <c r="CC1719" s="2" t="s">
        <v>159</v>
      </c>
      <c r="CD1719" s="2">
        <v>200</v>
      </c>
      <c r="CE1719" s="2" t="s">
        <v>383</v>
      </c>
      <c r="CF1719" s="3">
        <v>43084</v>
      </c>
      <c r="CI1719" s="2">
        <v>1</v>
      </c>
      <c r="CJ1719" s="2">
        <v>1</v>
      </c>
      <c r="CK1719" s="2">
        <v>21</v>
      </c>
      <c r="CL1719" s="2" t="s">
        <v>89</v>
      </c>
    </row>
    <row r="1720" spans="1:90">
      <c r="A1720" s="2" t="s">
        <v>71</v>
      </c>
      <c r="B1720" s="2" t="s">
        <v>72</v>
      </c>
      <c r="C1720" s="2" t="s">
        <v>73</v>
      </c>
      <c r="E1720" s="2" t="str">
        <f>"FES1162594746"</f>
        <v>FES1162594746</v>
      </c>
      <c r="F1720" s="3">
        <v>43081</v>
      </c>
      <c r="G1720" s="2">
        <v>201806</v>
      </c>
      <c r="H1720" s="2" t="s">
        <v>74</v>
      </c>
      <c r="I1720" s="2" t="s">
        <v>75</v>
      </c>
      <c r="J1720" s="2" t="s">
        <v>97</v>
      </c>
      <c r="K1720" s="2" t="s">
        <v>77</v>
      </c>
      <c r="L1720" s="2" t="s">
        <v>759</v>
      </c>
      <c r="M1720" s="2" t="s">
        <v>760</v>
      </c>
      <c r="N1720" s="2" t="s">
        <v>1476</v>
      </c>
      <c r="O1720" s="2" t="s">
        <v>101</v>
      </c>
      <c r="P1720" s="2" t="str">
        <f>"2170606630                    "</f>
        <v xml:space="preserve">2170606630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6.43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45.93</v>
      </c>
      <c r="BM1720" s="2">
        <v>6.43</v>
      </c>
      <c r="BN1720" s="2">
        <v>52.36</v>
      </c>
      <c r="BO1720" s="2">
        <v>52.36</v>
      </c>
      <c r="BQ1720" s="2" t="s">
        <v>82</v>
      </c>
      <c r="BR1720" s="2" t="s">
        <v>103</v>
      </c>
      <c r="BS1720" s="3">
        <v>43082</v>
      </c>
      <c r="BT1720" s="4">
        <v>0.41805555555555557</v>
      </c>
      <c r="BU1720" s="2" t="s">
        <v>2131</v>
      </c>
      <c r="BV1720" s="2" t="s">
        <v>85</v>
      </c>
      <c r="BY1720" s="2">
        <v>1200</v>
      </c>
      <c r="BZ1720" s="2" t="s">
        <v>27</v>
      </c>
      <c r="CA1720" s="2" t="s">
        <v>1997</v>
      </c>
      <c r="CC1720" s="2" t="s">
        <v>760</v>
      </c>
      <c r="CD1720" s="2">
        <v>4026</v>
      </c>
      <c r="CE1720" s="2" t="s">
        <v>383</v>
      </c>
      <c r="CF1720" s="3">
        <v>43083</v>
      </c>
      <c r="CI1720" s="2">
        <v>1</v>
      </c>
      <c r="CJ1720" s="2">
        <v>1</v>
      </c>
      <c r="CK1720" s="2">
        <v>21</v>
      </c>
      <c r="CL1720" s="2" t="s">
        <v>89</v>
      </c>
    </row>
    <row r="1721" spans="1:90">
      <c r="A1721" s="2" t="s">
        <v>71</v>
      </c>
      <c r="B1721" s="2" t="s">
        <v>72</v>
      </c>
      <c r="C1721" s="2" t="s">
        <v>73</v>
      </c>
      <c r="E1721" s="2" t="str">
        <f>"FES1162594798"</f>
        <v>FES1162594798</v>
      </c>
      <c r="F1721" s="3">
        <v>43081</v>
      </c>
      <c r="G1721" s="2">
        <v>201806</v>
      </c>
      <c r="H1721" s="2" t="s">
        <v>74</v>
      </c>
      <c r="I1721" s="2" t="s">
        <v>75</v>
      </c>
      <c r="J1721" s="2" t="s">
        <v>97</v>
      </c>
      <c r="K1721" s="2" t="s">
        <v>77</v>
      </c>
      <c r="L1721" s="2" t="s">
        <v>125</v>
      </c>
      <c r="M1721" s="2" t="s">
        <v>126</v>
      </c>
      <c r="N1721" s="2" t="s">
        <v>1111</v>
      </c>
      <c r="O1721" s="2" t="s">
        <v>101</v>
      </c>
      <c r="P1721" s="2" t="str">
        <f>"2170605813                    "</f>
        <v xml:space="preserve">2170605813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6.43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</v>
      </c>
      <c r="BJ1721" s="2">
        <v>0.2</v>
      </c>
      <c r="BK1721" s="2">
        <v>1</v>
      </c>
      <c r="BL1721" s="2">
        <v>45.93</v>
      </c>
      <c r="BM1721" s="2">
        <v>6.43</v>
      </c>
      <c r="BN1721" s="2">
        <v>52.36</v>
      </c>
      <c r="BO1721" s="2">
        <v>52.36</v>
      </c>
      <c r="BQ1721" s="2" t="s">
        <v>82</v>
      </c>
      <c r="BR1721" s="2" t="s">
        <v>103</v>
      </c>
      <c r="BS1721" s="3">
        <v>43082</v>
      </c>
      <c r="BT1721" s="4">
        <v>0.4069444444444445</v>
      </c>
      <c r="BU1721" s="2" t="s">
        <v>2132</v>
      </c>
      <c r="BV1721" s="2" t="s">
        <v>85</v>
      </c>
      <c r="BY1721" s="2">
        <v>1200</v>
      </c>
      <c r="BZ1721" s="2" t="s">
        <v>27</v>
      </c>
      <c r="CA1721" s="2" t="s">
        <v>1997</v>
      </c>
      <c r="CC1721" s="2" t="s">
        <v>126</v>
      </c>
      <c r="CD1721" s="2">
        <v>4052</v>
      </c>
      <c r="CE1721" s="2" t="s">
        <v>383</v>
      </c>
      <c r="CF1721" s="3">
        <v>43083</v>
      </c>
      <c r="CI1721" s="2">
        <v>1</v>
      </c>
      <c r="CJ1721" s="2">
        <v>1</v>
      </c>
      <c r="CK1721" s="2">
        <v>21</v>
      </c>
      <c r="CL1721" s="2" t="s">
        <v>89</v>
      </c>
    </row>
    <row r="1722" spans="1:90">
      <c r="A1722" s="2" t="s">
        <v>71</v>
      </c>
      <c r="B1722" s="2" t="s">
        <v>72</v>
      </c>
      <c r="C1722" s="2" t="s">
        <v>73</v>
      </c>
      <c r="E1722" s="2" t="str">
        <f>"FES1162594804"</f>
        <v>FES1162594804</v>
      </c>
      <c r="F1722" s="3">
        <v>43081</v>
      </c>
      <c r="G1722" s="2">
        <v>201806</v>
      </c>
      <c r="H1722" s="2" t="s">
        <v>74</v>
      </c>
      <c r="I1722" s="2" t="s">
        <v>75</v>
      </c>
      <c r="J1722" s="2" t="s">
        <v>97</v>
      </c>
      <c r="K1722" s="2" t="s">
        <v>77</v>
      </c>
      <c r="L1722" s="2" t="s">
        <v>125</v>
      </c>
      <c r="M1722" s="2" t="s">
        <v>126</v>
      </c>
      <c r="N1722" s="2" t="s">
        <v>514</v>
      </c>
      <c r="O1722" s="2" t="s">
        <v>101</v>
      </c>
      <c r="P1722" s="2" t="str">
        <f>"21706066667                   "</f>
        <v xml:space="preserve">21706066667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6.43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</v>
      </c>
      <c r="BJ1722" s="2">
        <v>0.2</v>
      </c>
      <c r="BK1722" s="2">
        <v>1</v>
      </c>
      <c r="BL1722" s="2">
        <v>45.93</v>
      </c>
      <c r="BM1722" s="2">
        <v>6.43</v>
      </c>
      <c r="BN1722" s="2">
        <v>52.36</v>
      </c>
      <c r="BO1722" s="2">
        <v>52.36</v>
      </c>
      <c r="BQ1722" s="2" t="s">
        <v>515</v>
      </c>
      <c r="BR1722" s="2" t="s">
        <v>103</v>
      </c>
      <c r="BS1722" s="3">
        <v>43083</v>
      </c>
      <c r="BT1722" s="4">
        <v>0.32569444444444445</v>
      </c>
      <c r="BU1722" s="2" t="s">
        <v>2133</v>
      </c>
      <c r="BV1722" s="2" t="s">
        <v>89</v>
      </c>
      <c r="BY1722" s="2">
        <v>1200</v>
      </c>
      <c r="BZ1722" s="2" t="s">
        <v>27</v>
      </c>
      <c r="CA1722" s="2" t="s">
        <v>507</v>
      </c>
      <c r="CC1722" s="2" t="s">
        <v>126</v>
      </c>
      <c r="CD1722" s="2">
        <v>4001</v>
      </c>
      <c r="CE1722" s="2" t="s">
        <v>383</v>
      </c>
      <c r="CF1722" s="3">
        <v>43084</v>
      </c>
      <c r="CI1722" s="2">
        <v>1</v>
      </c>
      <c r="CJ1722" s="2">
        <v>2</v>
      </c>
      <c r="CK1722" s="2">
        <v>21</v>
      </c>
      <c r="CL1722" s="2" t="s">
        <v>89</v>
      </c>
    </row>
    <row r="1723" spans="1:90">
      <c r="A1723" s="2" t="s">
        <v>71</v>
      </c>
      <c r="B1723" s="2" t="s">
        <v>72</v>
      </c>
      <c r="C1723" s="2" t="s">
        <v>73</v>
      </c>
      <c r="E1723" s="2" t="str">
        <f>"FES1162595457"</f>
        <v>FES1162595457</v>
      </c>
      <c r="F1723" s="3">
        <v>43081</v>
      </c>
      <c r="G1723" s="2">
        <v>201806</v>
      </c>
      <c r="H1723" s="2" t="s">
        <v>74</v>
      </c>
      <c r="I1723" s="2" t="s">
        <v>75</v>
      </c>
      <c r="J1723" s="2" t="s">
        <v>97</v>
      </c>
      <c r="K1723" s="2" t="s">
        <v>77</v>
      </c>
      <c r="L1723" s="2" t="s">
        <v>145</v>
      </c>
      <c r="M1723" s="2" t="s">
        <v>146</v>
      </c>
      <c r="N1723" s="2" t="s">
        <v>753</v>
      </c>
      <c r="O1723" s="2" t="s">
        <v>101</v>
      </c>
      <c r="P1723" s="2" t="str">
        <f>"2170607322                    "</f>
        <v xml:space="preserve">2170607322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6.43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45.93</v>
      </c>
      <c r="BM1723" s="2">
        <v>6.43</v>
      </c>
      <c r="BN1723" s="2">
        <v>52.36</v>
      </c>
      <c r="BO1723" s="2">
        <v>52.36</v>
      </c>
      <c r="BQ1723" s="2" t="s">
        <v>82</v>
      </c>
      <c r="BR1723" s="2" t="s">
        <v>103</v>
      </c>
      <c r="BS1723" s="3">
        <v>43082</v>
      </c>
      <c r="BT1723" s="4">
        <v>0.39583333333333331</v>
      </c>
      <c r="BU1723" s="2" t="s">
        <v>1579</v>
      </c>
      <c r="BV1723" s="2" t="s">
        <v>85</v>
      </c>
      <c r="BY1723" s="2">
        <v>1200</v>
      </c>
      <c r="BZ1723" s="2" t="s">
        <v>27</v>
      </c>
      <c r="CA1723" s="2" t="s">
        <v>754</v>
      </c>
      <c r="CC1723" s="2" t="s">
        <v>146</v>
      </c>
      <c r="CD1723" s="2">
        <v>5201</v>
      </c>
      <c r="CE1723" s="2" t="s">
        <v>383</v>
      </c>
      <c r="CF1723" s="3">
        <v>43087</v>
      </c>
      <c r="CI1723" s="2">
        <v>1</v>
      </c>
      <c r="CJ1723" s="2">
        <v>1</v>
      </c>
      <c r="CK1723" s="2">
        <v>21</v>
      </c>
      <c r="CL1723" s="2" t="s">
        <v>89</v>
      </c>
    </row>
    <row r="1724" spans="1:90">
      <c r="A1724" s="2" t="s">
        <v>71</v>
      </c>
      <c r="B1724" s="2" t="s">
        <v>72</v>
      </c>
      <c r="C1724" s="2" t="s">
        <v>73</v>
      </c>
      <c r="E1724" s="2" t="str">
        <f>"FES1162594595"</f>
        <v>FES1162594595</v>
      </c>
      <c r="F1724" s="3">
        <v>43081</v>
      </c>
      <c r="G1724" s="2">
        <v>201806</v>
      </c>
      <c r="H1724" s="2" t="s">
        <v>74</v>
      </c>
      <c r="I1724" s="2" t="s">
        <v>75</v>
      </c>
      <c r="J1724" s="2" t="s">
        <v>97</v>
      </c>
      <c r="K1724" s="2" t="s">
        <v>77</v>
      </c>
      <c r="L1724" s="2" t="s">
        <v>125</v>
      </c>
      <c r="M1724" s="2" t="s">
        <v>126</v>
      </c>
      <c r="N1724" s="2" t="s">
        <v>955</v>
      </c>
      <c r="O1724" s="2" t="s">
        <v>101</v>
      </c>
      <c r="P1724" s="2" t="str">
        <f>"2170604969                    "</f>
        <v xml:space="preserve">2170604969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6.43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45.93</v>
      </c>
      <c r="BM1724" s="2">
        <v>6.43</v>
      </c>
      <c r="BN1724" s="2">
        <v>52.36</v>
      </c>
      <c r="BO1724" s="2">
        <v>52.36</v>
      </c>
      <c r="BQ1724" s="2" t="s">
        <v>102</v>
      </c>
      <c r="BR1724" s="2" t="s">
        <v>103</v>
      </c>
      <c r="BS1724" s="3">
        <v>43082</v>
      </c>
      <c r="BT1724" s="4">
        <v>0.40347222222222223</v>
      </c>
      <c r="BU1724" s="2" t="s">
        <v>2093</v>
      </c>
      <c r="BV1724" s="2" t="s">
        <v>85</v>
      </c>
      <c r="BY1724" s="2">
        <v>1200</v>
      </c>
      <c r="BZ1724" s="2" t="s">
        <v>27</v>
      </c>
      <c r="CA1724" s="2" t="s">
        <v>2073</v>
      </c>
      <c r="CC1724" s="2" t="s">
        <v>126</v>
      </c>
      <c r="CD1724" s="2">
        <v>4001</v>
      </c>
      <c r="CE1724" s="2" t="s">
        <v>383</v>
      </c>
      <c r="CF1724" s="3">
        <v>43083</v>
      </c>
      <c r="CI1724" s="2">
        <v>1</v>
      </c>
      <c r="CJ1724" s="2">
        <v>1</v>
      </c>
      <c r="CK1724" s="2">
        <v>21</v>
      </c>
      <c r="CL1724" s="2" t="s">
        <v>89</v>
      </c>
    </row>
    <row r="1725" spans="1:90">
      <c r="A1725" s="2" t="s">
        <v>71</v>
      </c>
      <c r="B1725" s="2" t="s">
        <v>72</v>
      </c>
      <c r="C1725" s="2" t="s">
        <v>73</v>
      </c>
      <c r="E1725" s="2" t="str">
        <f>"FES1162594926"</f>
        <v>FES1162594926</v>
      </c>
      <c r="F1725" s="3">
        <v>43081</v>
      </c>
      <c r="G1725" s="2">
        <v>201806</v>
      </c>
      <c r="H1725" s="2" t="s">
        <v>74</v>
      </c>
      <c r="I1725" s="2" t="s">
        <v>75</v>
      </c>
      <c r="J1725" s="2" t="s">
        <v>97</v>
      </c>
      <c r="K1725" s="2" t="s">
        <v>77</v>
      </c>
      <c r="L1725" s="2" t="s">
        <v>125</v>
      </c>
      <c r="M1725" s="2" t="s">
        <v>126</v>
      </c>
      <c r="N1725" s="2" t="s">
        <v>1034</v>
      </c>
      <c r="O1725" s="2" t="s">
        <v>101</v>
      </c>
      <c r="P1725" s="2" t="str">
        <f>"2170606830                    "</f>
        <v xml:space="preserve">2170606830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6.43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45.93</v>
      </c>
      <c r="BM1725" s="2">
        <v>6.43</v>
      </c>
      <c r="BN1725" s="2">
        <v>52.36</v>
      </c>
      <c r="BO1725" s="2">
        <v>52.36</v>
      </c>
      <c r="BQ1725" s="2" t="s">
        <v>128</v>
      </c>
      <c r="BR1725" s="2" t="s">
        <v>103</v>
      </c>
      <c r="BS1725" s="3">
        <v>43077</v>
      </c>
      <c r="BT1725" s="4">
        <v>0.53749999999999998</v>
      </c>
      <c r="BU1725" s="2" t="s">
        <v>1035</v>
      </c>
      <c r="BV1725" s="2" t="s">
        <v>85</v>
      </c>
      <c r="BY1725" s="2">
        <v>1200</v>
      </c>
      <c r="BZ1725" s="2" t="s">
        <v>27</v>
      </c>
      <c r="CC1725" s="2" t="s">
        <v>126</v>
      </c>
      <c r="CD1725" s="2">
        <v>4001</v>
      </c>
      <c r="CE1725" s="2" t="s">
        <v>383</v>
      </c>
      <c r="CF1725" s="3">
        <v>43084</v>
      </c>
      <c r="CI1725" s="2">
        <v>1</v>
      </c>
      <c r="CJ1725" s="2">
        <v>-4</v>
      </c>
      <c r="CK1725" s="2">
        <v>21</v>
      </c>
      <c r="CL1725" s="2" t="s">
        <v>89</v>
      </c>
    </row>
    <row r="1726" spans="1:90">
      <c r="A1726" s="2" t="s">
        <v>71</v>
      </c>
      <c r="B1726" s="2" t="s">
        <v>72</v>
      </c>
      <c r="C1726" s="2" t="s">
        <v>73</v>
      </c>
      <c r="E1726" s="2" t="str">
        <f>"FES1162595366"</f>
        <v>FES1162595366</v>
      </c>
      <c r="F1726" s="3">
        <v>43081</v>
      </c>
      <c r="G1726" s="2">
        <v>201806</v>
      </c>
      <c r="H1726" s="2" t="s">
        <v>74</v>
      </c>
      <c r="I1726" s="2" t="s">
        <v>75</v>
      </c>
      <c r="J1726" s="2" t="s">
        <v>97</v>
      </c>
      <c r="K1726" s="2" t="s">
        <v>77</v>
      </c>
      <c r="L1726" s="2" t="s">
        <v>168</v>
      </c>
      <c r="M1726" s="2" t="s">
        <v>169</v>
      </c>
      <c r="N1726" s="2" t="s">
        <v>2134</v>
      </c>
      <c r="O1726" s="2" t="s">
        <v>101</v>
      </c>
      <c r="P1726" s="2" t="str">
        <f>"2170606973                    "</f>
        <v xml:space="preserve">2170606973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6.43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</v>
      </c>
      <c r="BJ1726" s="2">
        <v>0.2</v>
      </c>
      <c r="BK1726" s="2">
        <v>1</v>
      </c>
      <c r="BL1726" s="2">
        <v>45.93</v>
      </c>
      <c r="BM1726" s="2">
        <v>6.43</v>
      </c>
      <c r="BN1726" s="2">
        <v>52.36</v>
      </c>
      <c r="BO1726" s="2">
        <v>52.36</v>
      </c>
      <c r="BQ1726" s="2" t="s">
        <v>2135</v>
      </c>
      <c r="BR1726" s="2" t="s">
        <v>103</v>
      </c>
      <c r="BS1726" s="3">
        <v>43082</v>
      </c>
      <c r="BT1726" s="4">
        <v>0.33749999999999997</v>
      </c>
      <c r="BU1726" s="2" t="s">
        <v>2136</v>
      </c>
      <c r="BV1726" s="2" t="s">
        <v>85</v>
      </c>
      <c r="BY1726" s="2">
        <v>1200</v>
      </c>
      <c r="BZ1726" s="2" t="s">
        <v>27</v>
      </c>
      <c r="CA1726" s="2" t="s">
        <v>172</v>
      </c>
      <c r="CC1726" s="2" t="s">
        <v>169</v>
      </c>
      <c r="CD1726" s="2">
        <v>3610</v>
      </c>
      <c r="CE1726" s="2" t="s">
        <v>383</v>
      </c>
      <c r="CF1726" s="3">
        <v>43083</v>
      </c>
      <c r="CI1726" s="2">
        <v>1</v>
      </c>
      <c r="CJ1726" s="2">
        <v>1</v>
      </c>
      <c r="CK1726" s="2">
        <v>21</v>
      </c>
      <c r="CL1726" s="2" t="s">
        <v>89</v>
      </c>
    </row>
    <row r="1727" spans="1:90">
      <c r="A1727" s="2" t="s">
        <v>71</v>
      </c>
      <c r="B1727" s="2" t="s">
        <v>72</v>
      </c>
      <c r="C1727" s="2" t="s">
        <v>73</v>
      </c>
      <c r="E1727" s="2" t="str">
        <f>"FES1162595273"</f>
        <v>FES1162595273</v>
      </c>
      <c r="F1727" s="3">
        <v>43081</v>
      </c>
      <c r="G1727" s="2">
        <v>201806</v>
      </c>
      <c r="H1727" s="2" t="s">
        <v>74</v>
      </c>
      <c r="I1727" s="2" t="s">
        <v>75</v>
      </c>
      <c r="J1727" s="2" t="s">
        <v>97</v>
      </c>
      <c r="K1727" s="2" t="s">
        <v>77</v>
      </c>
      <c r="L1727" s="2" t="s">
        <v>136</v>
      </c>
      <c r="M1727" s="2" t="s">
        <v>137</v>
      </c>
      <c r="N1727" s="2" t="s">
        <v>138</v>
      </c>
      <c r="O1727" s="2" t="s">
        <v>101</v>
      </c>
      <c r="P1727" s="2" t="str">
        <f>"2170606450                    "</f>
        <v xml:space="preserve">2170606450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6.43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1</v>
      </c>
      <c r="BJ1727" s="2">
        <v>0.2</v>
      </c>
      <c r="BK1727" s="2">
        <v>1</v>
      </c>
      <c r="BL1727" s="2">
        <v>45.93</v>
      </c>
      <c r="BM1727" s="2">
        <v>6.43</v>
      </c>
      <c r="BN1727" s="2">
        <v>52.36</v>
      </c>
      <c r="BO1727" s="2">
        <v>52.36</v>
      </c>
      <c r="BQ1727" s="2" t="s">
        <v>82</v>
      </c>
      <c r="BR1727" s="2" t="s">
        <v>103</v>
      </c>
      <c r="BS1727" s="3">
        <v>43082</v>
      </c>
      <c r="BT1727" s="4">
        <v>0.35416666666666669</v>
      </c>
      <c r="BU1727" s="2" t="s">
        <v>139</v>
      </c>
      <c r="BV1727" s="2" t="s">
        <v>85</v>
      </c>
      <c r="BY1727" s="2">
        <v>1200</v>
      </c>
      <c r="BZ1727" s="2" t="s">
        <v>27</v>
      </c>
      <c r="CA1727" s="2" t="s">
        <v>140</v>
      </c>
      <c r="CC1727" s="2" t="s">
        <v>137</v>
      </c>
      <c r="CD1727" s="2">
        <v>6001</v>
      </c>
      <c r="CE1727" s="2" t="s">
        <v>383</v>
      </c>
      <c r="CF1727" s="3">
        <v>43084</v>
      </c>
      <c r="CI1727" s="2">
        <v>1</v>
      </c>
      <c r="CJ1727" s="2">
        <v>1</v>
      </c>
      <c r="CK1727" s="2">
        <v>21</v>
      </c>
      <c r="CL1727" s="2" t="s">
        <v>89</v>
      </c>
    </row>
    <row r="1728" spans="1:90">
      <c r="A1728" s="2" t="s">
        <v>71</v>
      </c>
      <c r="B1728" s="2" t="s">
        <v>72</v>
      </c>
      <c r="C1728" s="2" t="s">
        <v>73</v>
      </c>
      <c r="E1728" s="2" t="str">
        <f>"FES1162594681"</f>
        <v>FES1162594681</v>
      </c>
      <c r="F1728" s="3">
        <v>43081</v>
      </c>
      <c r="G1728" s="2">
        <v>201806</v>
      </c>
      <c r="H1728" s="2" t="s">
        <v>74</v>
      </c>
      <c r="I1728" s="2" t="s">
        <v>75</v>
      </c>
      <c r="J1728" s="2" t="s">
        <v>97</v>
      </c>
      <c r="K1728" s="2" t="s">
        <v>77</v>
      </c>
      <c r="L1728" s="2" t="s">
        <v>131</v>
      </c>
      <c r="M1728" s="2" t="s">
        <v>132</v>
      </c>
      <c r="N1728" s="2" t="s">
        <v>133</v>
      </c>
      <c r="O1728" s="2" t="s">
        <v>101</v>
      </c>
      <c r="P1728" s="2" t="str">
        <f>"2170606543                    "</f>
        <v xml:space="preserve">2170606543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6.43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0.2</v>
      </c>
      <c r="BK1728" s="2">
        <v>1</v>
      </c>
      <c r="BL1728" s="2">
        <v>45.93</v>
      </c>
      <c r="BM1728" s="2">
        <v>6.43</v>
      </c>
      <c r="BN1728" s="2">
        <v>52.36</v>
      </c>
      <c r="BO1728" s="2">
        <v>52.36</v>
      </c>
      <c r="BQ1728" s="2" t="s">
        <v>102</v>
      </c>
      <c r="BR1728" s="2" t="s">
        <v>103</v>
      </c>
      <c r="BS1728" s="3">
        <v>43083</v>
      </c>
      <c r="BT1728" s="4">
        <v>0.43194444444444446</v>
      </c>
      <c r="BU1728" s="2" t="s">
        <v>134</v>
      </c>
      <c r="BV1728" s="2" t="s">
        <v>89</v>
      </c>
      <c r="BW1728" s="2" t="s">
        <v>149</v>
      </c>
      <c r="BX1728" s="2" t="s">
        <v>219</v>
      </c>
      <c r="BY1728" s="2">
        <v>1200</v>
      </c>
      <c r="BZ1728" s="2" t="s">
        <v>27</v>
      </c>
      <c r="CA1728" s="2" t="s">
        <v>135</v>
      </c>
      <c r="CC1728" s="2" t="s">
        <v>132</v>
      </c>
      <c r="CD1728" s="2">
        <v>4302</v>
      </c>
      <c r="CE1728" s="2" t="s">
        <v>383</v>
      </c>
      <c r="CF1728" s="3">
        <v>43084</v>
      </c>
      <c r="CI1728" s="2">
        <v>1</v>
      </c>
      <c r="CJ1728" s="2">
        <v>2</v>
      </c>
      <c r="CK1728" s="2">
        <v>21</v>
      </c>
      <c r="CL1728" s="2" t="s">
        <v>89</v>
      </c>
    </row>
    <row r="1729" spans="1:90">
      <c r="A1729" s="2" t="s">
        <v>71</v>
      </c>
      <c r="B1729" s="2" t="s">
        <v>72</v>
      </c>
      <c r="C1729" s="2" t="s">
        <v>73</v>
      </c>
      <c r="E1729" s="2" t="str">
        <f>"FES1162595203"</f>
        <v>FES1162595203</v>
      </c>
      <c r="F1729" s="3">
        <v>43081</v>
      </c>
      <c r="G1729" s="2">
        <v>201806</v>
      </c>
      <c r="H1729" s="2" t="s">
        <v>74</v>
      </c>
      <c r="I1729" s="2" t="s">
        <v>75</v>
      </c>
      <c r="J1729" s="2" t="s">
        <v>97</v>
      </c>
      <c r="K1729" s="2" t="s">
        <v>77</v>
      </c>
      <c r="L1729" s="2" t="s">
        <v>158</v>
      </c>
      <c r="M1729" s="2" t="s">
        <v>159</v>
      </c>
      <c r="N1729" s="2" t="s">
        <v>786</v>
      </c>
      <c r="O1729" s="2" t="s">
        <v>101</v>
      </c>
      <c r="P1729" s="2" t="str">
        <f>"2170606846                    "</f>
        <v xml:space="preserve">2170606846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6.43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0.2</v>
      </c>
      <c r="BK1729" s="2">
        <v>1</v>
      </c>
      <c r="BL1729" s="2">
        <v>45.93</v>
      </c>
      <c r="BM1729" s="2">
        <v>6.43</v>
      </c>
      <c r="BN1729" s="2">
        <v>52.36</v>
      </c>
      <c r="BO1729" s="2">
        <v>52.36</v>
      </c>
      <c r="BR1729" s="2" t="s">
        <v>103</v>
      </c>
      <c r="BS1729" s="3">
        <v>43082</v>
      </c>
      <c r="BT1729" s="4">
        <v>0.55555555555555558</v>
      </c>
      <c r="BU1729" s="2" t="s">
        <v>1070</v>
      </c>
      <c r="BV1729" s="2" t="s">
        <v>85</v>
      </c>
      <c r="BY1729" s="2">
        <v>1200</v>
      </c>
      <c r="BZ1729" s="2" t="s">
        <v>27</v>
      </c>
      <c r="CC1729" s="2" t="s">
        <v>159</v>
      </c>
      <c r="CD1729" s="2">
        <v>82</v>
      </c>
      <c r="CE1729" s="2" t="s">
        <v>383</v>
      </c>
      <c r="CF1729" s="3">
        <v>43084</v>
      </c>
      <c r="CI1729" s="2">
        <v>1</v>
      </c>
      <c r="CJ1729" s="2">
        <v>1</v>
      </c>
      <c r="CK1729" s="2">
        <v>21</v>
      </c>
      <c r="CL1729" s="2" t="s">
        <v>89</v>
      </c>
    </row>
    <row r="1730" spans="1:90">
      <c r="A1730" s="2" t="s">
        <v>71</v>
      </c>
      <c r="B1730" s="2" t="s">
        <v>72</v>
      </c>
      <c r="C1730" s="2" t="s">
        <v>73</v>
      </c>
      <c r="E1730" s="2" t="str">
        <f>"FES1162594762"</f>
        <v>FES1162594762</v>
      </c>
      <c r="F1730" s="3">
        <v>43081</v>
      </c>
      <c r="G1730" s="2">
        <v>201806</v>
      </c>
      <c r="H1730" s="2" t="s">
        <v>74</v>
      </c>
      <c r="I1730" s="2" t="s">
        <v>75</v>
      </c>
      <c r="J1730" s="2" t="s">
        <v>97</v>
      </c>
      <c r="K1730" s="2" t="s">
        <v>77</v>
      </c>
      <c r="L1730" s="2" t="s">
        <v>1976</v>
      </c>
      <c r="M1730" s="2" t="s">
        <v>1977</v>
      </c>
      <c r="N1730" s="2" t="s">
        <v>2137</v>
      </c>
      <c r="O1730" s="2" t="s">
        <v>101</v>
      </c>
      <c r="P1730" s="2" t="str">
        <f>"2170606659                    "</f>
        <v xml:space="preserve">2170606659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51.88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8.6</v>
      </c>
      <c r="BJ1730" s="2">
        <v>1.8</v>
      </c>
      <c r="BK1730" s="2">
        <v>9</v>
      </c>
      <c r="BL1730" s="2">
        <v>370.33</v>
      </c>
      <c r="BM1730" s="2">
        <v>51.85</v>
      </c>
      <c r="BN1730" s="2">
        <v>422.18</v>
      </c>
      <c r="BO1730" s="2">
        <v>422.18</v>
      </c>
      <c r="BQ1730" s="2" t="s">
        <v>82</v>
      </c>
      <c r="BR1730" s="2" t="s">
        <v>103</v>
      </c>
      <c r="BS1730" s="3">
        <v>43082</v>
      </c>
      <c r="BT1730" s="4">
        <v>0.4465277777777778</v>
      </c>
      <c r="BU1730" s="2" t="s">
        <v>2138</v>
      </c>
      <c r="BV1730" s="2" t="s">
        <v>85</v>
      </c>
      <c r="BY1730" s="2">
        <v>8946.1299999999992</v>
      </c>
      <c r="CA1730" s="2" t="s">
        <v>225</v>
      </c>
      <c r="CC1730" s="2" t="s">
        <v>1977</v>
      </c>
      <c r="CD1730" s="2">
        <v>4339</v>
      </c>
      <c r="CE1730" s="2" t="s">
        <v>95</v>
      </c>
      <c r="CF1730" s="3">
        <v>43084</v>
      </c>
      <c r="CI1730" s="2">
        <v>1</v>
      </c>
      <c r="CJ1730" s="2">
        <v>1</v>
      </c>
      <c r="CK1730" s="2">
        <v>23</v>
      </c>
      <c r="CL1730" s="2" t="s">
        <v>89</v>
      </c>
    </row>
    <row r="1731" spans="1:90">
      <c r="A1731" s="2" t="s">
        <v>71</v>
      </c>
      <c r="B1731" s="2" t="s">
        <v>72</v>
      </c>
      <c r="C1731" s="2" t="s">
        <v>73</v>
      </c>
      <c r="E1731" s="2" t="str">
        <f>"FES1162595474"</f>
        <v>FES1162595474</v>
      </c>
      <c r="F1731" s="3">
        <v>43081</v>
      </c>
      <c r="G1731" s="2">
        <v>201806</v>
      </c>
      <c r="H1731" s="2" t="s">
        <v>74</v>
      </c>
      <c r="I1731" s="2" t="s">
        <v>75</v>
      </c>
      <c r="J1731" s="2" t="s">
        <v>97</v>
      </c>
      <c r="K1731" s="2" t="s">
        <v>77</v>
      </c>
      <c r="L1731" s="2" t="s">
        <v>2139</v>
      </c>
      <c r="M1731" s="2" t="s">
        <v>2140</v>
      </c>
      <c r="N1731" s="2" t="s">
        <v>2141</v>
      </c>
      <c r="O1731" s="2" t="s">
        <v>101</v>
      </c>
      <c r="P1731" s="2" t="str">
        <f>"2170607344                    "</f>
        <v xml:space="preserve">2170607344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5.03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</v>
      </c>
      <c r="BJ1731" s="2">
        <v>0.2</v>
      </c>
      <c r="BK1731" s="2">
        <v>1</v>
      </c>
      <c r="BL1731" s="2">
        <v>35.89</v>
      </c>
      <c r="BM1731" s="2">
        <v>5.0199999999999996</v>
      </c>
      <c r="BN1731" s="2">
        <v>40.909999999999997</v>
      </c>
      <c r="BO1731" s="2">
        <v>40.909999999999997</v>
      </c>
      <c r="BQ1731" s="2" t="s">
        <v>2142</v>
      </c>
      <c r="BR1731" s="2" t="s">
        <v>103</v>
      </c>
      <c r="BS1731" s="3">
        <v>43082</v>
      </c>
      <c r="BT1731" s="4">
        <v>0.41666666666666669</v>
      </c>
      <c r="BU1731" s="2" t="s">
        <v>2143</v>
      </c>
      <c r="BV1731" s="2" t="s">
        <v>85</v>
      </c>
      <c r="BY1731" s="2">
        <v>1200</v>
      </c>
      <c r="BZ1731" s="2" t="s">
        <v>27</v>
      </c>
      <c r="CC1731" s="2" t="s">
        <v>2140</v>
      </c>
      <c r="CD1731" s="2">
        <v>1684</v>
      </c>
      <c r="CE1731" s="2" t="s">
        <v>120</v>
      </c>
      <c r="CF1731" s="3">
        <v>43083</v>
      </c>
      <c r="CI1731" s="2">
        <v>1</v>
      </c>
      <c r="CJ1731" s="2">
        <v>1</v>
      </c>
      <c r="CK1731" s="2">
        <v>22</v>
      </c>
      <c r="CL1731" s="2" t="s">
        <v>89</v>
      </c>
    </row>
    <row r="1732" spans="1:90">
      <c r="A1732" s="2" t="s">
        <v>71</v>
      </c>
      <c r="B1732" s="2" t="s">
        <v>72</v>
      </c>
      <c r="C1732" s="2" t="s">
        <v>73</v>
      </c>
      <c r="E1732" s="2" t="str">
        <f>"FES1162594759"</f>
        <v>FES1162594759</v>
      </c>
      <c r="F1732" s="3">
        <v>43081</v>
      </c>
      <c r="G1732" s="2">
        <v>201806</v>
      </c>
      <c r="H1732" s="2" t="s">
        <v>74</v>
      </c>
      <c r="I1732" s="2" t="s">
        <v>75</v>
      </c>
      <c r="J1732" s="2" t="s">
        <v>97</v>
      </c>
      <c r="K1732" s="2" t="s">
        <v>77</v>
      </c>
      <c r="L1732" s="2" t="s">
        <v>125</v>
      </c>
      <c r="M1732" s="2" t="s">
        <v>126</v>
      </c>
      <c r="N1732" s="2" t="s">
        <v>1048</v>
      </c>
      <c r="O1732" s="2" t="s">
        <v>101</v>
      </c>
      <c r="P1732" s="2" t="str">
        <f>"2170606652                    "</f>
        <v xml:space="preserve">2170606652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14.47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2</v>
      </c>
      <c r="BI1732" s="2">
        <v>4.3</v>
      </c>
      <c r="BJ1732" s="2">
        <v>3.9</v>
      </c>
      <c r="BK1732" s="2">
        <v>4.5</v>
      </c>
      <c r="BL1732" s="2">
        <v>103.32</v>
      </c>
      <c r="BM1732" s="2">
        <v>14.46</v>
      </c>
      <c r="BN1732" s="2">
        <v>117.78</v>
      </c>
      <c r="BO1732" s="2">
        <v>117.78</v>
      </c>
      <c r="BQ1732" s="2" t="s">
        <v>82</v>
      </c>
      <c r="BR1732" s="2" t="s">
        <v>103</v>
      </c>
      <c r="BS1732" s="3">
        <v>43083</v>
      </c>
      <c r="BT1732" s="4">
        <v>0.41666666666666669</v>
      </c>
      <c r="BU1732" s="2" t="s">
        <v>2144</v>
      </c>
      <c r="BV1732" s="2" t="s">
        <v>89</v>
      </c>
      <c r="BW1732" s="2" t="s">
        <v>149</v>
      </c>
      <c r="BX1732" s="2" t="s">
        <v>219</v>
      </c>
      <c r="BY1732" s="2">
        <v>19493.3</v>
      </c>
      <c r="BZ1732" s="2" t="s">
        <v>27</v>
      </c>
      <c r="CA1732" s="2" t="s">
        <v>666</v>
      </c>
      <c r="CC1732" s="2" t="s">
        <v>126</v>
      </c>
      <c r="CD1732" s="2">
        <v>4001</v>
      </c>
      <c r="CE1732" s="2" t="s">
        <v>95</v>
      </c>
      <c r="CF1732" s="3">
        <v>43084</v>
      </c>
      <c r="CI1732" s="2">
        <v>1</v>
      </c>
      <c r="CJ1732" s="2">
        <v>2</v>
      </c>
      <c r="CK1732" s="2">
        <v>21</v>
      </c>
      <c r="CL1732" s="2" t="s">
        <v>89</v>
      </c>
    </row>
    <row r="1733" spans="1:90">
      <c r="A1733" s="2" t="s">
        <v>71</v>
      </c>
      <c r="B1733" s="2" t="s">
        <v>72</v>
      </c>
      <c r="C1733" s="2" t="s">
        <v>73</v>
      </c>
      <c r="E1733" s="2" t="str">
        <f>"FES1162595385"</f>
        <v>FES1162595385</v>
      </c>
      <c r="F1733" s="3">
        <v>43081</v>
      </c>
      <c r="G1733" s="2">
        <v>201806</v>
      </c>
      <c r="H1733" s="2" t="s">
        <v>74</v>
      </c>
      <c r="I1733" s="2" t="s">
        <v>75</v>
      </c>
      <c r="J1733" s="2" t="s">
        <v>97</v>
      </c>
      <c r="K1733" s="2" t="s">
        <v>77</v>
      </c>
      <c r="L1733" s="2" t="s">
        <v>78</v>
      </c>
      <c r="M1733" s="2" t="s">
        <v>79</v>
      </c>
      <c r="N1733" s="2" t="s">
        <v>2145</v>
      </c>
      <c r="O1733" s="2" t="s">
        <v>101</v>
      </c>
      <c r="P1733" s="2" t="str">
        <f>"2170607240                    "</f>
        <v xml:space="preserve">2170607240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6.43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1</v>
      </c>
      <c r="BJ1733" s="2">
        <v>0.2</v>
      </c>
      <c r="BK1733" s="2">
        <v>1</v>
      </c>
      <c r="BL1733" s="2">
        <v>45.93</v>
      </c>
      <c r="BM1733" s="2">
        <v>6.43</v>
      </c>
      <c r="BN1733" s="2">
        <v>52.36</v>
      </c>
      <c r="BO1733" s="2">
        <v>52.36</v>
      </c>
      <c r="BQ1733" s="2" t="s">
        <v>82</v>
      </c>
      <c r="BR1733" s="2" t="s">
        <v>103</v>
      </c>
      <c r="BS1733" s="3">
        <v>43084</v>
      </c>
      <c r="BT1733" s="4">
        <v>0.5</v>
      </c>
      <c r="BU1733" s="2" t="s">
        <v>2010</v>
      </c>
      <c r="BV1733" s="2" t="s">
        <v>89</v>
      </c>
      <c r="BY1733" s="2">
        <v>1200</v>
      </c>
      <c r="BZ1733" s="2" t="s">
        <v>27</v>
      </c>
      <c r="CC1733" s="2" t="s">
        <v>79</v>
      </c>
      <c r="CD1733" s="2">
        <v>1947</v>
      </c>
      <c r="CE1733" s="2" t="s">
        <v>383</v>
      </c>
      <c r="CF1733" s="3">
        <v>43088</v>
      </c>
      <c r="CI1733" s="2">
        <v>1</v>
      </c>
      <c r="CJ1733" s="2">
        <v>3</v>
      </c>
      <c r="CK1733" s="2">
        <v>21</v>
      </c>
      <c r="CL1733" s="2" t="s">
        <v>89</v>
      </c>
    </row>
    <row r="1734" spans="1:90">
      <c r="A1734" s="2" t="s">
        <v>71</v>
      </c>
      <c r="B1734" s="2" t="s">
        <v>72</v>
      </c>
      <c r="C1734" s="2" t="s">
        <v>73</v>
      </c>
      <c r="E1734" s="2" t="str">
        <f>"FES1162595180"</f>
        <v>FES1162595180</v>
      </c>
      <c r="F1734" s="3">
        <v>43081</v>
      </c>
      <c r="G1734" s="2">
        <v>201806</v>
      </c>
      <c r="H1734" s="2" t="s">
        <v>74</v>
      </c>
      <c r="I1734" s="2" t="s">
        <v>75</v>
      </c>
      <c r="J1734" s="2" t="s">
        <v>97</v>
      </c>
      <c r="K1734" s="2" t="s">
        <v>77</v>
      </c>
      <c r="L1734" s="2" t="s">
        <v>189</v>
      </c>
      <c r="M1734" s="2" t="s">
        <v>190</v>
      </c>
      <c r="N1734" s="2" t="s">
        <v>191</v>
      </c>
      <c r="O1734" s="2" t="s">
        <v>101</v>
      </c>
      <c r="P1734" s="2" t="str">
        <f>"2170606852                    "</f>
        <v xml:space="preserve">2170606852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6.43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1</v>
      </c>
      <c r="BJ1734" s="2">
        <v>0.2</v>
      </c>
      <c r="BK1734" s="2">
        <v>1</v>
      </c>
      <c r="BL1734" s="2">
        <v>45.93</v>
      </c>
      <c r="BM1734" s="2">
        <v>6.43</v>
      </c>
      <c r="BN1734" s="2">
        <v>52.36</v>
      </c>
      <c r="BO1734" s="2">
        <v>52.36</v>
      </c>
      <c r="BR1734" s="2" t="s">
        <v>103</v>
      </c>
      <c r="BS1734" s="3">
        <v>43082</v>
      </c>
      <c r="BT1734" s="4">
        <v>0.40972222222222227</v>
      </c>
      <c r="BU1734" s="2" t="s">
        <v>200</v>
      </c>
      <c r="BV1734" s="2" t="s">
        <v>85</v>
      </c>
      <c r="BY1734" s="2">
        <v>1200</v>
      </c>
      <c r="BZ1734" s="2" t="s">
        <v>27</v>
      </c>
      <c r="CC1734" s="2" t="s">
        <v>190</v>
      </c>
      <c r="CD1734" s="2">
        <v>157</v>
      </c>
      <c r="CE1734" s="2" t="s">
        <v>383</v>
      </c>
      <c r="CF1734" s="3">
        <v>43084</v>
      </c>
      <c r="CI1734" s="2">
        <v>1</v>
      </c>
      <c r="CJ1734" s="2">
        <v>1</v>
      </c>
      <c r="CK1734" s="2">
        <v>21</v>
      </c>
      <c r="CL1734" s="2" t="s">
        <v>89</v>
      </c>
    </row>
    <row r="1735" spans="1:90">
      <c r="A1735" s="2" t="s">
        <v>71</v>
      </c>
      <c r="B1735" s="2" t="s">
        <v>72</v>
      </c>
      <c r="C1735" s="2" t="s">
        <v>73</v>
      </c>
      <c r="E1735" s="2" t="str">
        <f>"FES1162595312"</f>
        <v>FES1162595312</v>
      </c>
      <c r="F1735" s="3">
        <v>43081</v>
      </c>
      <c r="G1735" s="2">
        <v>201806</v>
      </c>
      <c r="H1735" s="2" t="s">
        <v>74</v>
      </c>
      <c r="I1735" s="2" t="s">
        <v>75</v>
      </c>
      <c r="J1735" s="2" t="s">
        <v>97</v>
      </c>
      <c r="K1735" s="2" t="s">
        <v>77</v>
      </c>
      <c r="L1735" s="2" t="s">
        <v>115</v>
      </c>
      <c r="M1735" s="2" t="s">
        <v>116</v>
      </c>
      <c r="N1735" s="2" t="s">
        <v>283</v>
      </c>
      <c r="O1735" s="2" t="s">
        <v>101</v>
      </c>
      <c r="P1735" s="2" t="str">
        <f>"2170606684                    "</f>
        <v xml:space="preserve">2170606684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5.03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4.5</v>
      </c>
      <c r="BJ1735" s="2">
        <v>2.1</v>
      </c>
      <c r="BK1735" s="2">
        <v>5</v>
      </c>
      <c r="BL1735" s="2">
        <v>35.89</v>
      </c>
      <c r="BM1735" s="2">
        <v>5.0199999999999996</v>
      </c>
      <c r="BN1735" s="2">
        <v>40.909999999999997</v>
      </c>
      <c r="BO1735" s="2">
        <v>40.909999999999997</v>
      </c>
      <c r="BQ1735" s="2" t="s">
        <v>102</v>
      </c>
      <c r="BR1735" s="2" t="s">
        <v>103</v>
      </c>
      <c r="BS1735" s="3">
        <v>43083</v>
      </c>
      <c r="BT1735" s="4">
        <v>0.41666666666666669</v>
      </c>
      <c r="BU1735" s="2" t="s">
        <v>432</v>
      </c>
      <c r="BV1735" s="2" t="s">
        <v>89</v>
      </c>
      <c r="BW1735" s="2" t="s">
        <v>149</v>
      </c>
      <c r="BX1735" s="2" t="s">
        <v>157</v>
      </c>
      <c r="BY1735" s="2">
        <v>10746.76</v>
      </c>
      <c r="BZ1735" s="2" t="s">
        <v>27</v>
      </c>
      <c r="CA1735" s="2" t="s">
        <v>293</v>
      </c>
      <c r="CC1735" s="2" t="s">
        <v>116</v>
      </c>
      <c r="CD1735" s="2">
        <v>1459</v>
      </c>
      <c r="CE1735" s="2" t="s">
        <v>356</v>
      </c>
      <c r="CF1735" s="3">
        <v>43084</v>
      </c>
      <c r="CI1735" s="2">
        <v>1</v>
      </c>
      <c r="CJ1735" s="2">
        <v>2</v>
      </c>
      <c r="CK1735" s="2">
        <v>22</v>
      </c>
      <c r="CL1735" s="2" t="s">
        <v>89</v>
      </c>
    </row>
    <row r="1736" spans="1:90">
      <c r="A1736" s="2" t="s">
        <v>71</v>
      </c>
      <c r="B1736" s="2" t="s">
        <v>72</v>
      </c>
      <c r="C1736" s="2" t="s">
        <v>73</v>
      </c>
      <c r="E1736" s="2" t="str">
        <f>"FES1162595064"</f>
        <v>FES1162595064</v>
      </c>
      <c r="F1736" s="3">
        <v>43081</v>
      </c>
      <c r="G1736" s="2">
        <v>201806</v>
      </c>
      <c r="H1736" s="2" t="s">
        <v>74</v>
      </c>
      <c r="I1736" s="2" t="s">
        <v>75</v>
      </c>
      <c r="J1736" s="2" t="s">
        <v>97</v>
      </c>
      <c r="K1736" s="2" t="s">
        <v>77</v>
      </c>
      <c r="L1736" s="2" t="s">
        <v>125</v>
      </c>
      <c r="M1736" s="2" t="s">
        <v>126</v>
      </c>
      <c r="N1736" s="2" t="s">
        <v>1034</v>
      </c>
      <c r="O1736" s="2" t="s">
        <v>101</v>
      </c>
      <c r="P1736" s="2" t="str">
        <f>"2170606989                    "</f>
        <v xml:space="preserve">2170606989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6.43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1</v>
      </c>
      <c r="BJ1736" s="2">
        <v>0.2</v>
      </c>
      <c r="BK1736" s="2">
        <v>1</v>
      </c>
      <c r="BL1736" s="2">
        <v>45.93</v>
      </c>
      <c r="BM1736" s="2">
        <v>6.43</v>
      </c>
      <c r="BN1736" s="2">
        <v>52.36</v>
      </c>
      <c r="BO1736" s="2">
        <v>52.36</v>
      </c>
      <c r="BQ1736" s="2" t="s">
        <v>128</v>
      </c>
      <c r="BR1736" s="2" t="s">
        <v>103</v>
      </c>
      <c r="BS1736" s="3">
        <v>43077</v>
      </c>
      <c r="BT1736" s="4">
        <v>0.53749999999999998</v>
      </c>
      <c r="BU1736" s="2" t="s">
        <v>2146</v>
      </c>
      <c r="BV1736" s="2" t="s">
        <v>85</v>
      </c>
      <c r="BY1736" s="2">
        <v>1200</v>
      </c>
      <c r="CC1736" s="2" t="s">
        <v>126</v>
      </c>
      <c r="CD1736" s="2">
        <v>4001</v>
      </c>
      <c r="CE1736" s="2" t="s">
        <v>120</v>
      </c>
      <c r="CF1736" s="3">
        <v>43084</v>
      </c>
      <c r="CI1736" s="2">
        <v>1</v>
      </c>
      <c r="CJ1736" s="2">
        <v>-4</v>
      </c>
      <c r="CK1736" s="2">
        <v>21</v>
      </c>
      <c r="CL1736" s="2" t="s">
        <v>89</v>
      </c>
    </row>
    <row r="1737" spans="1:90">
      <c r="A1737" s="2" t="s">
        <v>71</v>
      </c>
      <c r="B1737" s="2" t="s">
        <v>72</v>
      </c>
      <c r="C1737" s="2" t="s">
        <v>73</v>
      </c>
      <c r="E1737" s="2" t="str">
        <f>"FES1162595444"</f>
        <v>FES1162595444</v>
      </c>
      <c r="F1737" s="3">
        <v>43081</v>
      </c>
      <c r="G1737" s="2">
        <v>201806</v>
      </c>
      <c r="H1737" s="2" t="s">
        <v>74</v>
      </c>
      <c r="I1737" s="2" t="s">
        <v>75</v>
      </c>
      <c r="J1737" s="2" t="s">
        <v>97</v>
      </c>
      <c r="K1737" s="2" t="s">
        <v>77</v>
      </c>
      <c r="L1737" s="2" t="s">
        <v>145</v>
      </c>
      <c r="M1737" s="2" t="s">
        <v>146</v>
      </c>
      <c r="N1737" s="2" t="s">
        <v>753</v>
      </c>
      <c r="O1737" s="2" t="s">
        <v>101</v>
      </c>
      <c r="P1737" s="2" t="str">
        <f>"2170607305                    "</f>
        <v xml:space="preserve">2170607305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59.49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11</v>
      </c>
      <c r="BJ1737" s="2">
        <v>18.399999999999999</v>
      </c>
      <c r="BK1737" s="2">
        <v>18.5</v>
      </c>
      <c r="BL1737" s="2">
        <v>424.7</v>
      </c>
      <c r="BM1737" s="2">
        <v>59.46</v>
      </c>
      <c r="BN1737" s="2">
        <v>484.16</v>
      </c>
      <c r="BO1737" s="2">
        <v>484.16</v>
      </c>
      <c r="BQ1737" s="2" t="s">
        <v>82</v>
      </c>
      <c r="BR1737" s="2" t="s">
        <v>103</v>
      </c>
      <c r="BS1737" s="3">
        <v>43082</v>
      </c>
      <c r="BT1737" s="4">
        <v>0.39583333333333331</v>
      </c>
      <c r="BU1737" s="2" t="s">
        <v>1579</v>
      </c>
      <c r="BV1737" s="2" t="s">
        <v>85</v>
      </c>
      <c r="BY1737" s="2">
        <v>92040.62</v>
      </c>
      <c r="CA1737" s="2" t="s">
        <v>754</v>
      </c>
      <c r="CC1737" s="2" t="s">
        <v>146</v>
      </c>
      <c r="CD1737" s="2">
        <v>5201</v>
      </c>
      <c r="CE1737" s="2" t="s">
        <v>95</v>
      </c>
      <c r="CI1737" s="2">
        <v>1</v>
      </c>
      <c r="CJ1737" s="2">
        <v>1</v>
      </c>
      <c r="CK1737" s="2">
        <v>21</v>
      </c>
      <c r="CL1737" s="2" t="s">
        <v>89</v>
      </c>
    </row>
    <row r="1738" spans="1:90">
      <c r="A1738" s="2" t="s">
        <v>71</v>
      </c>
      <c r="B1738" s="2" t="s">
        <v>72</v>
      </c>
      <c r="C1738" s="2" t="s">
        <v>73</v>
      </c>
      <c r="E1738" s="2" t="str">
        <f>"FES1162595291"</f>
        <v>FES1162595291</v>
      </c>
      <c r="F1738" s="3">
        <v>43081</v>
      </c>
      <c r="G1738" s="2">
        <v>201806</v>
      </c>
      <c r="H1738" s="2" t="s">
        <v>74</v>
      </c>
      <c r="I1738" s="2" t="s">
        <v>75</v>
      </c>
      <c r="J1738" s="2" t="s">
        <v>97</v>
      </c>
      <c r="K1738" s="2" t="s">
        <v>77</v>
      </c>
      <c r="L1738" s="2" t="s">
        <v>152</v>
      </c>
      <c r="M1738" s="2" t="s">
        <v>153</v>
      </c>
      <c r="N1738" s="2" t="s">
        <v>1660</v>
      </c>
      <c r="O1738" s="2" t="s">
        <v>101</v>
      </c>
      <c r="P1738" s="2" t="str">
        <f>"2170607162                    "</f>
        <v xml:space="preserve">2170607162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6.23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8.3000000000000007</v>
      </c>
      <c r="BJ1738" s="2">
        <v>9.3000000000000007</v>
      </c>
      <c r="BK1738" s="2">
        <v>10</v>
      </c>
      <c r="BL1738" s="2">
        <v>44.49</v>
      </c>
      <c r="BM1738" s="2">
        <v>6.23</v>
      </c>
      <c r="BN1738" s="2">
        <v>50.72</v>
      </c>
      <c r="BO1738" s="2">
        <v>50.72</v>
      </c>
      <c r="BQ1738" s="2" t="s">
        <v>128</v>
      </c>
      <c r="BR1738" s="2" t="s">
        <v>103</v>
      </c>
      <c r="BS1738" s="3">
        <v>43083</v>
      </c>
      <c r="BT1738" s="4">
        <v>0.4201388888888889</v>
      </c>
      <c r="BU1738" s="2" t="s">
        <v>205</v>
      </c>
      <c r="BV1738" s="2" t="s">
        <v>89</v>
      </c>
      <c r="BW1738" s="2" t="s">
        <v>149</v>
      </c>
      <c r="BX1738" s="2" t="s">
        <v>157</v>
      </c>
      <c r="BY1738" s="2">
        <v>46386.54</v>
      </c>
      <c r="BZ1738" s="2" t="s">
        <v>27</v>
      </c>
      <c r="CA1738" s="2" t="s">
        <v>337</v>
      </c>
      <c r="CC1738" s="2" t="s">
        <v>153</v>
      </c>
      <c r="CD1738" s="2">
        <v>1401</v>
      </c>
      <c r="CE1738" s="2" t="s">
        <v>95</v>
      </c>
      <c r="CF1738" s="3">
        <v>43087</v>
      </c>
      <c r="CI1738" s="2">
        <v>1</v>
      </c>
      <c r="CJ1738" s="2">
        <v>2</v>
      </c>
      <c r="CK1738" s="2">
        <v>22</v>
      </c>
      <c r="CL1738" s="2" t="s">
        <v>89</v>
      </c>
    </row>
    <row r="1739" spans="1:90">
      <c r="A1739" s="2" t="s">
        <v>71</v>
      </c>
      <c r="B1739" s="2" t="s">
        <v>72</v>
      </c>
      <c r="C1739" s="2" t="s">
        <v>73</v>
      </c>
      <c r="E1739" s="2" t="str">
        <f>"FES1162595437"</f>
        <v>FES1162595437</v>
      </c>
      <c r="F1739" s="3">
        <v>43081</v>
      </c>
      <c r="G1739" s="2">
        <v>201806</v>
      </c>
      <c r="H1739" s="2" t="s">
        <v>74</v>
      </c>
      <c r="I1739" s="2" t="s">
        <v>75</v>
      </c>
      <c r="J1739" s="2" t="s">
        <v>97</v>
      </c>
      <c r="K1739" s="2" t="s">
        <v>77</v>
      </c>
      <c r="L1739" s="2" t="s">
        <v>173</v>
      </c>
      <c r="M1739" s="2" t="s">
        <v>174</v>
      </c>
      <c r="N1739" s="2" t="s">
        <v>1757</v>
      </c>
      <c r="O1739" s="2" t="s">
        <v>101</v>
      </c>
      <c r="P1739" s="2" t="str">
        <f>"2170607016                    "</f>
        <v xml:space="preserve">2170607016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14.47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4.2</v>
      </c>
      <c r="BJ1739" s="2">
        <v>1.6</v>
      </c>
      <c r="BK1739" s="2">
        <v>4.5</v>
      </c>
      <c r="BL1739" s="2">
        <v>103.32</v>
      </c>
      <c r="BM1739" s="2">
        <v>14.46</v>
      </c>
      <c r="BN1739" s="2">
        <v>117.78</v>
      </c>
      <c r="BO1739" s="2">
        <v>117.78</v>
      </c>
      <c r="BQ1739" s="2" t="s">
        <v>128</v>
      </c>
      <c r="BR1739" s="2" t="s">
        <v>103</v>
      </c>
      <c r="BS1739" s="3">
        <v>43082</v>
      </c>
      <c r="BT1739" s="4">
        <v>0.41666666666666669</v>
      </c>
      <c r="BU1739" s="2" t="s">
        <v>1758</v>
      </c>
      <c r="BV1739" s="2" t="s">
        <v>85</v>
      </c>
      <c r="BY1739" s="2">
        <v>8078.4</v>
      </c>
      <c r="CA1739" s="2" t="s">
        <v>395</v>
      </c>
      <c r="CC1739" s="2" t="s">
        <v>174</v>
      </c>
      <c r="CD1739" s="2">
        <v>7441</v>
      </c>
      <c r="CE1739" s="2" t="s">
        <v>356</v>
      </c>
      <c r="CF1739" s="3">
        <v>43082</v>
      </c>
      <c r="CI1739" s="2">
        <v>1</v>
      </c>
      <c r="CJ1739" s="2">
        <v>1</v>
      </c>
      <c r="CK1739" s="2">
        <v>21</v>
      </c>
      <c r="CL1739" s="2" t="s">
        <v>89</v>
      </c>
    </row>
    <row r="1740" spans="1:90">
      <c r="A1740" s="2" t="s">
        <v>71</v>
      </c>
      <c r="B1740" s="2" t="s">
        <v>72</v>
      </c>
      <c r="C1740" s="2" t="s">
        <v>73</v>
      </c>
      <c r="E1740" s="2" t="str">
        <f>"FES1162595447"</f>
        <v>FES1162595447</v>
      </c>
      <c r="F1740" s="3">
        <v>43081</v>
      </c>
      <c r="G1740" s="2">
        <v>201806</v>
      </c>
      <c r="H1740" s="2" t="s">
        <v>74</v>
      </c>
      <c r="I1740" s="2" t="s">
        <v>75</v>
      </c>
      <c r="J1740" s="2" t="s">
        <v>97</v>
      </c>
      <c r="K1740" s="2" t="s">
        <v>77</v>
      </c>
      <c r="L1740" s="2" t="s">
        <v>173</v>
      </c>
      <c r="M1740" s="2" t="s">
        <v>174</v>
      </c>
      <c r="N1740" s="2" t="s">
        <v>381</v>
      </c>
      <c r="O1740" s="2" t="s">
        <v>101</v>
      </c>
      <c r="P1740" s="2" t="str">
        <f>"2170607307                    "</f>
        <v xml:space="preserve">2170607307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6.43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</v>
      </c>
      <c r="BJ1740" s="2">
        <v>0.2</v>
      </c>
      <c r="BK1740" s="2">
        <v>1</v>
      </c>
      <c r="BL1740" s="2">
        <v>45.93</v>
      </c>
      <c r="BM1740" s="2">
        <v>6.43</v>
      </c>
      <c r="BN1740" s="2">
        <v>52.36</v>
      </c>
      <c r="BO1740" s="2">
        <v>52.36</v>
      </c>
      <c r="BQ1740" s="2" t="s">
        <v>102</v>
      </c>
      <c r="BR1740" s="2" t="s">
        <v>103</v>
      </c>
      <c r="BS1740" s="3">
        <v>43082</v>
      </c>
      <c r="BT1740" s="4">
        <v>0.52500000000000002</v>
      </c>
      <c r="BU1740" s="2" t="s">
        <v>681</v>
      </c>
      <c r="BV1740" s="2" t="s">
        <v>89</v>
      </c>
      <c r="BY1740" s="2">
        <v>1200</v>
      </c>
      <c r="BZ1740" s="2" t="s">
        <v>27</v>
      </c>
      <c r="CA1740" s="2" t="s">
        <v>177</v>
      </c>
      <c r="CC1740" s="2" t="s">
        <v>174</v>
      </c>
      <c r="CD1740" s="2">
        <v>7405</v>
      </c>
      <c r="CE1740" s="2" t="s">
        <v>383</v>
      </c>
      <c r="CF1740" s="3">
        <v>43083</v>
      </c>
      <c r="CI1740" s="2">
        <v>1</v>
      </c>
      <c r="CJ1740" s="2">
        <v>1</v>
      </c>
      <c r="CK1740" s="2">
        <v>21</v>
      </c>
      <c r="CL1740" s="2" t="s">
        <v>89</v>
      </c>
    </row>
    <row r="1741" spans="1:90">
      <c r="A1741" s="2" t="s">
        <v>71</v>
      </c>
      <c r="B1741" s="2" t="s">
        <v>72</v>
      </c>
      <c r="C1741" s="2" t="s">
        <v>73</v>
      </c>
      <c r="E1741" s="2" t="str">
        <f>"FES1162594674"</f>
        <v>FES1162594674</v>
      </c>
      <c r="F1741" s="3">
        <v>43081</v>
      </c>
      <c r="G1741" s="2">
        <v>201806</v>
      </c>
      <c r="H1741" s="2" t="s">
        <v>74</v>
      </c>
      <c r="I1741" s="2" t="s">
        <v>75</v>
      </c>
      <c r="J1741" s="2" t="s">
        <v>97</v>
      </c>
      <c r="K1741" s="2" t="s">
        <v>77</v>
      </c>
      <c r="L1741" s="2" t="s">
        <v>131</v>
      </c>
      <c r="M1741" s="2" t="s">
        <v>132</v>
      </c>
      <c r="N1741" s="2" t="s">
        <v>228</v>
      </c>
      <c r="O1741" s="2" t="s">
        <v>101</v>
      </c>
      <c r="P1741" s="2" t="str">
        <f>"2170606537                    "</f>
        <v xml:space="preserve">2170606537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20.9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6.1</v>
      </c>
      <c r="BJ1741" s="2">
        <v>3.3</v>
      </c>
      <c r="BK1741" s="2">
        <v>6.5</v>
      </c>
      <c r="BL1741" s="2">
        <v>149.22999999999999</v>
      </c>
      <c r="BM1741" s="2">
        <v>20.89</v>
      </c>
      <c r="BN1741" s="2">
        <v>170.12</v>
      </c>
      <c r="BO1741" s="2">
        <v>170.12</v>
      </c>
      <c r="BQ1741" s="2" t="s">
        <v>229</v>
      </c>
      <c r="BR1741" s="2" t="s">
        <v>103</v>
      </c>
      <c r="BS1741" s="3">
        <v>43082</v>
      </c>
      <c r="BT1741" s="4">
        <v>0.39097222222222222</v>
      </c>
      <c r="BU1741" s="2" t="s">
        <v>230</v>
      </c>
      <c r="BV1741" s="2" t="s">
        <v>85</v>
      </c>
      <c r="BY1741" s="2">
        <v>16520.5</v>
      </c>
      <c r="BZ1741" s="2" t="s">
        <v>27</v>
      </c>
      <c r="CA1741" s="2" t="s">
        <v>231</v>
      </c>
      <c r="CC1741" s="2" t="s">
        <v>132</v>
      </c>
      <c r="CD1741" s="2">
        <v>4300</v>
      </c>
      <c r="CE1741" s="2" t="s">
        <v>282</v>
      </c>
      <c r="CF1741" s="3">
        <v>43083</v>
      </c>
      <c r="CI1741" s="2">
        <v>1</v>
      </c>
      <c r="CJ1741" s="2">
        <v>1</v>
      </c>
      <c r="CK1741" s="2">
        <v>21</v>
      </c>
      <c r="CL1741" s="2" t="s">
        <v>89</v>
      </c>
    </row>
    <row r="1742" spans="1:90">
      <c r="A1742" s="2" t="s">
        <v>71</v>
      </c>
      <c r="B1742" s="2" t="s">
        <v>72</v>
      </c>
      <c r="C1742" s="2" t="s">
        <v>73</v>
      </c>
      <c r="E1742" s="2" t="str">
        <f>"FES1162595473"</f>
        <v>FES1162595473</v>
      </c>
      <c r="F1742" s="3">
        <v>43081</v>
      </c>
      <c r="G1742" s="2">
        <v>201806</v>
      </c>
      <c r="H1742" s="2" t="s">
        <v>74</v>
      </c>
      <c r="I1742" s="2" t="s">
        <v>75</v>
      </c>
      <c r="J1742" s="2" t="s">
        <v>97</v>
      </c>
      <c r="K1742" s="2" t="s">
        <v>77</v>
      </c>
      <c r="L1742" s="2" t="s">
        <v>860</v>
      </c>
      <c r="M1742" s="2" t="s">
        <v>861</v>
      </c>
      <c r="N1742" s="2" t="s">
        <v>2147</v>
      </c>
      <c r="O1742" s="2" t="s">
        <v>101</v>
      </c>
      <c r="P1742" s="2" t="str">
        <f>"2170607343                    "</f>
        <v xml:space="preserve">2170607343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6.43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1.4</v>
      </c>
      <c r="BJ1742" s="2">
        <v>1.4</v>
      </c>
      <c r="BK1742" s="2">
        <v>1.5</v>
      </c>
      <c r="BL1742" s="2">
        <v>45.93</v>
      </c>
      <c r="BM1742" s="2">
        <v>6.43</v>
      </c>
      <c r="BN1742" s="2">
        <v>52.36</v>
      </c>
      <c r="BO1742" s="2">
        <v>52.36</v>
      </c>
      <c r="BQ1742" s="2" t="s">
        <v>863</v>
      </c>
      <c r="BR1742" s="2" t="s">
        <v>103</v>
      </c>
      <c r="BS1742" s="3">
        <v>43083</v>
      </c>
      <c r="BT1742" s="4">
        <v>0.41666666666666669</v>
      </c>
      <c r="BU1742" s="2" t="s">
        <v>2148</v>
      </c>
      <c r="BV1742" s="2" t="s">
        <v>89</v>
      </c>
      <c r="BW1742" s="2" t="s">
        <v>313</v>
      </c>
      <c r="BX1742" s="2" t="s">
        <v>368</v>
      </c>
      <c r="BY1742" s="2">
        <v>6949.44</v>
      </c>
      <c r="BZ1742" s="2" t="s">
        <v>27</v>
      </c>
      <c r="CA1742" s="2" t="s">
        <v>2149</v>
      </c>
      <c r="CC1742" s="2" t="s">
        <v>861</v>
      </c>
      <c r="CD1742" s="2">
        <v>7140</v>
      </c>
      <c r="CE1742" s="2" t="s">
        <v>288</v>
      </c>
      <c r="CF1742" s="3">
        <v>43084</v>
      </c>
      <c r="CI1742" s="2">
        <v>1</v>
      </c>
      <c r="CJ1742" s="2">
        <v>2</v>
      </c>
      <c r="CK1742" s="2">
        <v>21</v>
      </c>
      <c r="CL1742" s="2" t="s">
        <v>89</v>
      </c>
    </row>
    <row r="1743" spans="1:90">
      <c r="A1743" s="2" t="s">
        <v>71</v>
      </c>
      <c r="B1743" s="2" t="s">
        <v>72</v>
      </c>
      <c r="C1743" s="2" t="s">
        <v>73</v>
      </c>
      <c r="E1743" s="2" t="str">
        <f>"FES1162594657"</f>
        <v>FES1162594657</v>
      </c>
      <c r="F1743" s="3">
        <v>43081</v>
      </c>
      <c r="G1743" s="2">
        <v>201806</v>
      </c>
      <c r="H1743" s="2" t="s">
        <v>74</v>
      </c>
      <c r="I1743" s="2" t="s">
        <v>75</v>
      </c>
      <c r="J1743" s="2" t="s">
        <v>97</v>
      </c>
      <c r="K1743" s="2" t="s">
        <v>77</v>
      </c>
      <c r="L1743" s="2" t="s">
        <v>125</v>
      </c>
      <c r="M1743" s="2" t="s">
        <v>126</v>
      </c>
      <c r="N1743" s="2" t="s">
        <v>2124</v>
      </c>
      <c r="O1743" s="2" t="s">
        <v>101</v>
      </c>
      <c r="P1743" s="2" t="str">
        <f>"2170606511                    "</f>
        <v xml:space="preserve">2170606511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12.87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3</v>
      </c>
      <c r="BJ1743" s="2">
        <v>3.7</v>
      </c>
      <c r="BK1743" s="2">
        <v>4</v>
      </c>
      <c r="BL1743" s="2">
        <v>91.85</v>
      </c>
      <c r="BM1743" s="2">
        <v>12.86</v>
      </c>
      <c r="BN1743" s="2">
        <v>104.71</v>
      </c>
      <c r="BO1743" s="2">
        <v>104.71</v>
      </c>
      <c r="BR1743" s="2" t="s">
        <v>103</v>
      </c>
      <c r="BS1743" s="3">
        <v>43083</v>
      </c>
      <c r="BT1743" s="4">
        <v>0.4375</v>
      </c>
      <c r="BU1743" s="2" t="s">
        <v>1377</v>
      </c>
      <c r="BV1743" s="2" t="s">
        <v>89</v>
      </c>
      <c r="BW1743" s="2" t="s">
        <v>149</v>
      </c>
      <c r="BX1743" s="2" t="s">
        <v>219</v>
      </c>
      <c r="BY1743" s="2">
        <v>18259</v>
      </c>
      <c r="CA1743" s="2" t="s">
        <v>225</v>
      </c>
      <c r="CC1743" s="2" t="s">
        <v>126</v>
      </c>
      <c r="CD1743" s="2">
        <v>4001</v>
      </c>
      <c r="CE1743" s="2" t="s">
        <v>87</v>
      </c>
      <c r="CF1743" s="3">
        <v>43084</v>
      </c>
      <c r="CI1743" s="2">
        <v>1</v>
      </c>
      <c r="CJ1743" s="2">
        <v>2</v>
      </c>
      <c r="CK1743" s="2">
        <v>21</v>
      </c>
      <c r="CL1743" s="2" t="s">
        <v>89</v>
      </c>
    </row>
    <row r="1744" spans="1:90">
      <c r="A1744" s="2" t="s">
        <v>71</v>
      </c>
      <c r="B1744" s="2" t="s">
        <v>72</v>
      </c>
      <c r="C1744" s="2" t="s">
        <v>73</v>
      </c>
      <c r="E1744" s="2" t="str">
        <f>"FES1162595458"</f>
        <v>FES1162595458</v>
      </c>
      <c r="F1744" s="3">
        <v>43081</v>
      </c>
      <c r="G1744" s="2">
        <v>201806</v>
      </c>
      <c r="H1744" s="2" t="s">
        <v>74</v>
      </c>
      <c r="I1744" s="2" t="s">
        <v>75</v>
      </c>
      <c r="J1744" s="2" t="s">
        <v>97</v>
      </c>
      <c r="K1744" s="2" t="s">
        <v>77</v>
      </c>
      <c r="L1744" s="2" t="s">
        <v>173</v>
      </c>
      <c r="M1744" s="2" t="s">
        <v>174</v>
      </c>
      <c r="N1744" s="2" t="s">
        <v>876</v>
      </c>
      <c r="O1744" s="2" t="s">
        <v>101</v>
      </c>
      <c r="P1744" s="2" t="str">
        <f>"2170607327                    "</f>
        <v xml:space="preserve">2170607327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14.47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4.0999999999999996</v>
      </c>
      <c r="BJ1744" s="2">
        <v>2.6</v>
      </c>
      <c r="BK1744" s="2">
        <v>4.5</v>
      </c>
      <c r="BL1744" s="2">
        <v>103.32</v>
      </c>
      <c r="BM1744" s="2">
        <v>14.46</v>
      </c>
      <c r="BN1744" s="2">
        <v>117.78</v>
      </c>
      <c r="BO1744" s="2">
        <v>117.78</v>
      </c>
      <c r="BQ1744" s="2" t="s">
        <v>128</v>
      </c>
      <c r="BR1744" s="2" t="s">
        <v>103</v>
      </c>
      <c r="BS1744" s="3">
        <v>43082</v>
      </c>
      <c r="BT1744" s="4">
        <v>0.42777777777777781</v>
      </c>
      <c r="BU1744" s="2" t="s">
        <v>877</v>
      </c>
      <c r="BV1744" s="2" t="s">
        <v>85</v>
      </c>
      <c r="BY1744" s="2">
        <v>12981.87</v>
      </c>
      <c r="CA1744" s="2" t="s">
        <v>1682</v>
      </c>
      <c r="CC1744" s="2" t="s">
        <v>174</v>
      </c>
      <c r="CD1744" s="2">
        <v>7441</v>
      </c>
      <c r="CE1744" s="2" t="s">
        <v>87</v>
      </c>
      <c r="CF1744" s="3">
        <v>43083</v>
      </c>
      <c r="CI1744" s="2">
        <v>1</v>
      </c>
      <c r="CJ1744" s="2">
        <v>1</v>
      </c>
      <c r="CK1744" s="2">
        <v>21</v>
      </c>
      <c r="CL1744" s="2" t="s">
        <v>89</v>
      </c>
    </row>
    <row r="1745" spans="1:90">
      <c r="A1745" s="2" t="s">
        <v>71</v>
      </c>
      <c r="B1745" s="2" t="s">
        <v>72</v>
      </c>
      <c r="C1745" s="2" t="s">
        <v>73</v>
      </c>
      <c r="E1745" s="2" t="str">
        <f>"FES1162594887"</f>
        <v>FES1162594887</v>
      </c>
      <c r="F1745" s="3">
        <v>43081</v>
      </c>
      <c r="G1745" s="2">
        <v>201806</v>
      </c>
      <c r="H1745" s="2" t="s">
        <v>74</v>
      </c>
      <c r="I1745" s="2" t="s">
        <v>75</v>
      </c>
      <c r="J1745" s="2" t="s">
        <v>97</v>
      </c>
      <c r="K1745" s="2" t="s">
        <v>77</v>
      </c>
      <c r="L1745" s="2" t="s">
        <v>158</v>
      </c>
      <c r="M1745" s="2" t="s">
        <v>159</v>
      </c>
      <c r="N1745" s="2" t="s">
        <v>543</v>
      </c>
      <c r="O1745" s="2" t="s">
        <v>101</v>
      </c>
      <c r="P1745" s="2" t="str">
        <f>"2170602908                    "</f>
        <v xml:space="preserve">2170602908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6.43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45.93</v>
      </c>
      <c r="BM1745" s="2">
        <v>6.43</v>
      </c>
      <c r="BN1745" s="2">
        <v>52.36</v>
      </c>
      <c r="BO1745" s="2">
        <v>52.36</v>
      </c>
      <c r="BQ1745" s="2" t="s">
        <v>82</v>
      </c>
      <c r="BR1745" s="2" t="s">
        <v>103</v>
      </c>
      <c r="BS1745" s="3">
        <v>43082</v>
      </c>
      <c r="BT1745" s="4">
        <v>0.40902777777777777</v>
      </c>
      <c r="BU1745" s="2" t="s">
        <v>2150</v>
      </c>
      <c r="BV1745" s="2" t="s">
        <v>85</v>
      </c>
      <c r="BY1745" s="2">
        <v>1200</v>
      </c>
      <c r="BZ1745" s="2" t="s">
        <v>27</v>
      </c>
      <c r="CC1745" s="2" t="s">
        <v>159</v>
      </c>
      <c r="CD1745" s="2">
        <v>1</v>
      </c>
      <c r="CE1745" s="2" t="s">
        <v>383</v>
      </c>
      <c r="CF1745" s="3">
        <v>43084</v>
      </c>
      <c r="CI1745" s="2">
        <v>1</v>
      </c>
      <c r="CJ1745" s="2">
        <v>1</v>
      </c>
      <c r="CK1745" s="2">
        <v>21</v>
      </c>
      <c r="CL1745" s="2" t="s">
        <v>89</v>
      </c>
    </row>
    <row r="1746" spans="1:90">
      <c r="A1746" s="2" t="s">
        <v>71</v>
      </c>
      <c r="B1746" s="2" t="s">
        <v>72</v>
      </c>
      <c r="C1746" s="2" t="s">
        <v>73</v>
      </c>
      <c r="E1746" s="2" t="str">
        <f>"FES1162594924"</f>
        <v>FES1162594924</v>
      </c>
      <c r="F1746" s="3">
        <v>43081</v>
      </c>
      <c r="G1746" s="2">
        <v>201806</v>
      </c>
      <c r="H1746" s="2" t="s">
        <v>74</v>
      </c>
      <c r="I1746" s="2" t="s">
        <v>75</v>
      </c>
      <c r="J1746" s="2" t="s">
        <v>97</v>
      </c>
      <c r="K1746" s="2" t="s">
        <v>77</v>
      </c>
      <c r="L1746" s="2" t="s">
        <v>136</v>
      </c>
      <c r="M1746" s="2" t="s">
        <v>137</v>
      </c>
      <c r="N1746" s="2" t="s">
        <v>2151</v>
      </c>
      <c r="O1746" s="2" t="s">
        <v>101</v>
      </c>
      <c r="P1746" s="2" t="str">
        <f>"2170606827                    "</f>
        <v xml:space="preserve">2170606827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61.1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8.1</v>
      </c>
      <c r="BJ1746" s="2">
        <v>18.7</v>
      </c>
      <c r="BK1746" s="2">
        <v>19</v>
      </c>
      <c r="BL1746" s="2">
        <v>436.18</v>
      </c>
      <c r="BM1746" s="2">
        <v>61.07</v>
      </c>
      <c r="BN1746" s="2">
        <v>497.25</v>
      </c>
      <c r="BO1746" s="2">
        <v>497.25</v>
      </c>
      <c r="BQ1746" s="2" t="s">
        <v>102</v>
      </c>
      <c r="BR1746" s="2" t="s">
        <v>103</v>
      </c>
      <c r="BS1746" s="3">
        <v>43082</v>
      </c>
      <c r="BT1746" s="4">
        <v>0.31180555555555556</v>
      </c>
      <c r="BU1746" s="2" t="s">
        <v>2152</v>
      </c>
      <c r="BV1746" s="2" t="s">
        <v>85</v>
      </c>
      <c r="BY1746" s="2">
        <v>93436.2</v>
      </c>
      <c r="BZ1746" s="2" t="s">
        <v>27</v>
      </c>
      <c r="CA1746" s="2" t="s">
        <v>767</v>
      </c>
      <c r="CC1746" s="2" t="s">
        <v>137</v>
      </c>
      <c r="CD1746" s="2">
        <v>6055</v>
      </c>
      <c r="CE1746" s="2" t="s">
        <v>288</v>
      </c>
      <c r="CF1746" s="3">
        <v>43084</v>
      </c>
      <c r="CI1746" s="2">
        <v>1</v>
      </c>
      <c r="CJ1746" s="2">
        <v>1</v>
      </c>
      <c r="CK1746" s="2">
        <v>21</v>
      </c>
      <c r="CL1746" s="2" t="s">
        <v>89</v>
      </c>
    </row>
    <row r="1747" spans="1:90">
      <c r="A1747" s="2" t="s">
        <v>71</v>
      </c>
      <c r="B1747" s="2" t="s">
        <v>72</v>
      </c>
      <c r="C1747" s="2" t="s">
        <v>73</v>
      </c>
      <c r="E1747" s="2" t="str">
        <f>"FES1162595281"</f>
        <v>FES1162595281</v>
      </c>
      <c r="F1747" s="3">
        <v>43081</v>
      </c>
      <c r="G1747" s="2">
        <v>201806</v>
      </c>
      <c r="H1747" s="2" t="s">
        <v>74</v>
      </c>
      <c r="I1747" s="2" t="s">
        <v>75</v>
      </c>
      <c r="J1747" s="2" t="s">
        <v>97</v>
      </c>
      <c r="K1747" s="2" t="s">
        <v>77</v>
      </c>
      <c r="L1747" s="2" t="s">
        <v>145</v>
      </c>
      <c r="M1747" s="2" t="s">
        <v>146</v>
      </c>
      <c r="N1747" s="2" t="s">
        <v>147</v>
      </c>
      <c r="O1747" s="2" t="s">
        <v>101</v>
      </c>
      <c r="P1747" s="2" t="str">
        <f>"2170607138                    "</f>
        <v xml:space="preserve">2170607138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6.43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1</v>
      </c>
      <c r="BJ1747" s="2">
        <v>0.2</v>
      </c>
      <c r="BK1747" s="2">
        <v>1</v>
      </c>
      <c r="BL1747" s="2">
        <v>45.93</v>
      </c>
      <c r="BM1747" s="2">
        <v>6.43</v>
      </c>
      <c r="BN1747" s="2">
        <v>52.36</v>
      </c>
      <c r="BO1747" s="2">
        <v>52.36</v>
      </c>
      <c r="BQ1747" s="2" t="s">
        <v>686</v>
      </c>
      <c r="BR1747" s="2" t="s">
        <v>103</v>
      </c>
      <c r="BS1747" s="3">
        <v>43082</v>
      </c>
      <c r="BT1747" s="4">
        <v>0.49305555555555558</v>
      </c>
      <c r="BU1747" s="2" t="s">
        <v>2153</v>
      </c>
      <c r="BV1747" s="2" t="s">
        <v>89</v>
      </c>
      <c r="BW1747" s="2" t="s">
        <v>149</v>
      </c>
      <c r="BX1747" s="2" t="s">
        <v>150</v>
      </c>
      <c r="BY1747" s="2">
        <v>1200</v>
      </c>
      <c r="BZ1747" s="2" t="s">
        <v>27</v>
      </c>
      <c r="CA1747" s="2" t="s">
        <v>151</v>
      </c>
      <c r="CC1747" s="2" t="s">
        <v>146</v>
      </c>
      <c r="CD1747" s="2">
        <v>5201</v>
      </c>
      <c r="CE1747" s="2" t="s">
        <v>383</v>
      </c>
      <c r="CF1747" s="3">
        <v>43087</v>
      </c>
      <c r="CI1747" s="2">
        <v>1</v>
      </c>
      <c r="CJ1747" s="2">
        <v>1</v>
      </c>
      <c r="CK1747" s="2">
        <v>21</v>
      </c>
      <c r="CL1747" s="2" t="s">
        <v>89</v>
      </c>
    </row>
    <row r="1748" spans="1:90">
      <c r="A1748" s="2" t="s">
        <v>71</v>
      </c>
      <c r="B1748" s="2" t="s">
        <v>72</v>
      </c>
      <c r="C1748" s="2" t="s">
        <v>73</v>
      </c>
      <c r="E1748" s="2" t="str">
        <f>"FES1162594334"</f>
        <v>FES1162594334</v>
      </c>
      <c r="F1748" s="3">
        <v>43075</v>
      </c>
      <c r="G1748" s="2">
        <v>201806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106</v>
      </c>
      <c r="M1748" s="2" t="s">
        <v>107</v>
      </c>
      <c r="N1748" s="2" t="s">
        <v>482</v>
      </c>
      <c r="O1748" s="2" t="s">
        <v>81</v>
      </c>
      <c r="P1748" s="2" t="str">
        <f>"2170606162                    "</f>
        <v xml:space="preserve">2170606162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10.56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19.899999999999999</v>
      </c>
      <c r="BJ1748" s="2">
        <v>9.1999999999999993</v>
      </c>
      <c r="BK1748" s="2">
        <v>20</v>
      </c>
      <c r="BL1748" s="2">
        <v>80.41</v>
      </c>
      <c r="BM1748" s="2">
        <v>11.26</v>
      </c>
      <c r="BN1748" s="2">
        <v>91.67</v>
      </c>
      <c r="BO1748" s="2">
        <v>91.67</v>
      </c>
      <c r="BQ1748" s="2" t="s">
        <v>82</v>
      </c>
      <c r="BR1748" s="2" t="s">
        <v>83</v>
      </c>
      <c r="BS1748" s="3">
        <v>43076</v>
      </c>
      <c r="BT1748" s="4">
        <v>0.4375</v>
      </c>
      <c r="BU1748" s="2" t="s">
        <v>483</v>
      </c>
      <c r="BV1748" s="2" t="s">
        <v>85</v>
      </c>
      <c r="BY1748" s="2">
        <v>46002.74</v>
      </c>
      <c r="CA1748" s="2" t="s">
        <v>429</v>
      </c>
      <c r="CC1748" s="2" t="s">
        <v>107</v>
      </c>
      <c r="CD1748" s="2">
        <v>2091</v>
      </c>
      <c r="CE1748" s="2" t="s">
        <v>356</v>
      </c>
      <c r="CF1748" s="3">
        <v>43080</v>
      </c>
      <c r="CI1748" s="2">
        <v>1</v>
      </c>
      <c r="CJ1748" s="2">
        <v>1</v>
      </c>
      <c r="CK1748" s="2" t="s">
        <v>96</v>
      </c>
      <c r="CL1748" s="2" t="s">
        <v>89</v>
      </c>
    </row>
    <row r="1749" spans="1:90">
      <c r="A1749" s="2" t="s">
        <v>71</v>
      </c>
      <c r="B1749" s="2" t="s">
        <v>72</v>
      </c>
      <c r="C1749" s="2" t="s">
        <v>73</v>
      </c>
      <c r="E1749" s="2" t="str">
        <f>"FES1162595413"</f>
        <v>FES1162595413</v>
      </c>
      <c r="F1749" s="3">
        <v>43081</v>
      </c>
      <c r="G1749" s="2">
        <v>201806</v>
      </c>
      <c r="H1749" s="2" t="s">
        <v>74</v>
      </c>
      <c r="I1749" s="2" t="s">
        <v>75</v>
      </c>
      <c r="J1749" s="2" t="s">
        <v>97</v>
      </c>
      <c r="K1749" s="2" t="s">
        <v>77</v>
      </c>
      <c r="L1749" s="2" t="s">
        <v>136</v>
      </c>
      <c r="M1749" s="2" t="s">
        <v>137</v>
      </c>
      <c r="N1749" s="2" t="s">
        <v>178</v>
      </c>
      <c r="O1749" s="2" t="s">
        <v>81</v>
      </c>
      <c r="P1749" s="2" t="str">
        <f>"2170606823                    "</f>
        <v xml:space="preserve">2170606823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18.239999999999998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2</v>
      </c>
      <c r="BI1749" s="2">
        <v>23.7</v>
      </c>
      <c r="BJ1749" s="2">
        <v>7.6</v>
      </c>
      <c r="BK1749" s="2">
        <v>24</v>
      </c>
      <c r="BL1749" s="2">
        <v>135.24</v>
      </c>
      <c r="BM1749" s="2">
        <v>18.93</v>
      </c>
      <c r="BN1749" s="2">
        <v>154.16999999999999</v>
      </c>
      <c r="BO1749" s="2">
        <v>154.16999999999999</v>
      </c>
      <c r="BQ1749" s="2" t="s">
        <v>102</v>
      </c>
      <c r="BR1749" s="2" t="s">
        <v>103</v>
      </c>
      <c r="BS1749" s="3">
        <v>43083</v>
      </c>
      <c r="BT1749" s="4">
        <v>0.4375</v>
      </c>
      <c r="BU1749" s="2" t="s">
        <v>179</v>
      </c>
      <c r="BV1749" s="2" t="s">
        <v>85</v>
      </c>
      <c r="BY1749" s="2">
        <v>37948.959999999999</v>
      </c>
      <c r="CA1749" s="2" t="s">
        <v>180</v>
      </c>
      <c r="CC1749" s="2" t="s">
        <v>137</v>
      </c>
      <c r="CD1749" s="2">
        <v>6001</v>
      </c>
      <c r="CE1749" s="2" t="s">
        <v>282</v>
      </c>
      <c r="CF1749" s="3">
        <v>43084</v>
      </c>
      <c r="CI1749" s="2">
        <v>2</v>
      </c>
      <c r="CJ1749" s="2">
        <v>2</v>
      </c>
      <c r="CK1749" s="2" t="s">
        <v>271</v>
      </c>
      <c r="CL1749" s="2" t="s">
        <v>89</v>
      </c>
    </row>
    <row r="1750" spans="1:90">
      <c r="A1750" s="2" t="s">
        <v>71</v>
      </c>
      <c r="B1750" s="2" t="s">
        <v>72</v>
      </c>
      <c r="C1750" s="2" t="s">
        <v>73</v>
      </c>
      <c r="E1750" s="2" t="str">
        <f>"FES1162594833"</f>
        <v>FES1162594833</v>
      </c>
      <c r="F1750" s="3">
        <v>43081</v>
      </c>
      <c r="G1750" s="2">
        <v>201806</v>
      </c>
      <c r="H1750" s="2" t="s">
        <v>74</v>
      </c>
      <c r="I1750" s="2" t="s">
        <v>75</v>
      </c>
      <c r="J1750" s="2" t="s">
        <v>97</v>
      </c>
      <c r="K1750" s="2" t="s">
        <v>77</v>
      </c>
      <c r="L1750" s="2" t="s">
        <v>125</v>
      </c>
      <c r="M1750" s="2" t="s">
        <v>126</v>
      </c>
      <c r="N1750" s="2" t="s">
        <v>858</v>
      </c>
      <c r="O1750" s="2" t="s">
        <v>81</v>
      </c>
      <c r="P1750" s="2" t="str">
        <f>"2170606723                    "</f>
        <v xml:space="preserve">2170606723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11.34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20</v>
      </c>
      <c r="BJ1750" s="2">
        <v>20.2</v>
      </c>
      <c r="BK1750" s="2">
        <v>21</v>
      </c>
      <c r="BL1750" s="2">
        <v>85.93</v>
      </c>
      <c r="BM1750" s="2">
        <v>12.03</v>
      </c>
      <c r="BN1750" s="2">
        <v>97.96</v>
      </c>
      <c r="BO1750" s="2">
        <v>97.96</v>
      </c>
      <c r="BQ1750" s="2" t="s">
        <v>82</v>
      </c>
      <c r="BR1750" s="2" t="s">
        <v>103</v>
      </c>
      <c r="BS1750" s="3">
        <v>43082</v>
      </c>
      <c r="BT1750" s="4">
        <v>0.70347222222222217</v>
      </c>
      <c r="BU1750" s="2" t="s">
        <v>2154</v>
      </c>
      <c r="BV1750" s="2" t="s">
        <v>85</v>
      </c>
      <c r="BY1750" s="2">
        <v>100800</v>
      </c>
      <c r="CA1750" s="2" t="s">
        <v>2155</v>
      </c>
      <c r="CC1750" s="2" t="s">
        <v>126</v>
      </c>
      <c r="CD1750" s="2">
        <v>4001</v>
      </c>
      <c r="CE1750" s="2" t="s">
        <v>282</v>
      </c>
      <c r="CF1750" s="3">
        <v>43084</v>
      </c>
      <c r="CI1750" s="2">
        <v>1</v>
      </c>
      <c r="CJ1750" s="2">
        <v>1</v>
      </c>
      <c r="CK1750" s="2" t="s">
        <v>352</v>
      </c>
      <c r="CL1750" s="2" t="s">
        <v>89</v>
      </c>
    </row>
    <row r="1751" spans="1:90">
      <c r="A1751" s="2" t="s">
        <v>71</v>
      </c>
      <c r="B1751" s="2" t="s">
        <v>72</v>
      </c>
      <c r="C1751" s="2" t="s">
        <v>73</v>
      </c>
      <c r="E1751" s="2" t="str">
        <f>"FES1162595353"</f>
        <v>FES1162595353</v>
      </c>
      <c r="F1751" s="3">
        <v>43081</v>
      </c>
      <c r="G1751" s="2">
        <v>201806</v>
      </c>
      <c r="H1751" s="2" t="s">
        <v>74</v>
      </c>
      <c r="I1751" s="2" t="s">
        <v>75</v>
      </c>
      <c r="J1751" s="2" t="s">
        <v>97</v>
      </c>
      <c r="K1751" s="2" t="s">
        <v>77</v>
      </c>
      <c r="L1751" s="2" t="s">
        <v>125</v>
      </c>
      <c r="M1751" s="2" t="s">
        <v>126</v>
      </c>
      <c r="N1751" s="2" t="s">
        <v>1285</v>
      </c>
      <c r="O1751" s="2" t="s">
        <v>81</v>
      </c>
      <c r="P1751" s="2" t="str">
        <f>"2170604803                    "</f>
        <v xml:space="preserve">2170604803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15.15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30.1</v>
      </c>
      <c r="BJ1751" s="2">
        <v>9.3000000000000007</v>
      </c>
      <c r="BK1751" s="2">
        <v>31</v>
      </c>
      <c r="BL1751" s="2">
        <v>113.14</v>
      </c>
      <c r="BM1751" s="2">
        <v>15.84</v>
      </c>
      <c r="BN1751" s="2">
        <v>128.97999999999999</v>
      </c>
      <c r="BO1751" s="2">
        <v>128.97999999999999</v>
      </c>
      <c r="BR1751" s="2" t="s">
        <v>103</v>
      </c>
      <c r="BS1751" s="3">
        <v>43082</v>
      </c>
      <c r="BT1751" s="4">
        <v>0.59861111111111109</v>
      </c>
      <c r="BU1751" s="2" t="s">
        <v>2156</v>
      </c>
      <c r="BV1751" s="2" t="s">
        <v>85</v>
      </c>
      <c r="BY1751" s="2">
        <v>46665.22</v>
      </c>
      <c r="CA1751" s="2" t="s">
        <v>2157</v>
      </c>
      <c r="CC1751" s="2" t="s">
        <v>126</v>
      </c>
      <c r="CD1751" s="2">
        <v>4000</v>
      </c>
      <c r="CE1751" s="2" t="s">
        <v>288</v>
      </c>
      <c r="CF1751" s="3">
        <v>43084</v>
      </c>
      <c r="CI1751" s="2">
        <v>1</v>
      </c>
      <c r="CJ1751" s="2">
        <v>1</v>
      </c>
      <c r="CK1751" s="2" t="s">
        <v>352</v>
      </c>
      <c r="CL1751" s="2" t="s">
        <v>89</v>
      </c>
    </row>
    <row r="1752" spans="1:90">
      <c r="A1752" s="2" t="s">
        <v>71</v>
      </c>
      <c r="B1752" s="2" t="s">
        <v>72</v>
      </c>
      <c r="C1752" s="2" t="s">
        <v>73</v>
      </c>
      <c r="E1752" s="2" t="str">
        <f>"FES1162594613"</f>
        <v>FES1162594613</v>
      </c>
      <c r="F1752" s="3">
        <v>43081</v>
      </c>
      <c r="G1752" s="2">
        <v>201806</v>
      </c>
      <c r="H1752" s="2" t="s">
        <v>74</v>
      </c>
      <c r="I1752" s="2" t="s">
        <v>75</v>
      </c>
      <c r="J1752" s="2" t="s">
        <v>97</v>
      </c>
      <c r="K1752" s="2" t="s">
        <v>77</v>
      </c>
      <c r="L1752" s="2" t="s">
        <v>152</v>
      </c>
      <c r="M1752" s="2" t="s">
        <v>153</v>
      </c>
      <c r="N1752" s="2" t="s">
        <v>2158</v>
      </c>
      <c r="O1752" s="2" t="s">
        <v>81</v>
      </c>
      <c r="P1752" s="2" t="str">
        <f>"2170606306                    "</f>
        <v xml:space="preserve">2170606306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9.9600000000000009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17.2</v>
      </c>
      <c r="BJ1752" s="2">
        <v>9</v>
      </c>
      <c r="BK1752" s="2">
        <v>18</v>
      </c>
      <c r="BL1752" s="2">
        <v>76.09</v>
      </c>
      <c r="BM1752" s="2">
        <v>10.65</v>
      </c>
      <c r="BN1752" s="2">
        <v>86.74</v>
      </c>
      <c r="BO1752" s="2">
        <v>86.74</v>
      </c>
      <c r="BP1752" s="2" t="s">
        <v>1658</v>
      </c>
      <c r="BQ1752" s="2" t="s">
        <v>102</v>
      </c>
      <c r="BR1752" s="2" t="s">
        <v>103</v>
      </c>
      <c r="BS1752" s="3">
        <v>43082</v>
      </c>
      <c r="BT1752" s="4">
        <v>0.43402777777777773</v>
      </c>
      <c r="BU1752" s="2" t="s">
        <v>281</v>
      </c>
      <c r="BV1752" s="2" t="s">
        <v>85</v>
      </c>
      <c r="BY1752" s="2">
        <v>45158.92</v>
      </c>
      <c r="CC1752" s="2" t="s">
        <v>153</v>
      </c>
      <c r="CD1752" s="2">
        <v>1401</v>
      </c>
      <c r="CE1752" s="2" t="s">
        <v>2159</v>
      </c>
      <c r="CF1752" s="3">
        <v>43083</v>
      </c>
      <c r="CI1752" s="2">
        <v>1</v>
      </c>
      <c r="CJ1752" s="2">
        <v>1</v>
      </c>
      <c r="CK1752" s="2" t="s">
        <v>96</v>
      </c>
      <c r="CL1752" s="2" t="s">
        <v>89</v>
      </c>
    </row>
    <row r="1753" spans="1:90">
      <c r="A1753" s="2" t="s">
        <v>71</v>
      </c>
      <c r="B1753" s="2" t="s">
        <v>72</v>
      </c>
      <c r="C1753" s="2" t="s">
        <v>73</v>
      </c>
      <c r="E1753" s="2" t="str">
        <f>"FES1162595412"</f>
        <v>FES1162595412</v>
      </c>
      <c r="F1753" s="3">
        <v>43081</v>
      </c>
      <c r="G1753" s="2">
        <v>201806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440</v>
      </c>
      <c r="M1753" s="2" t="s">
        <v>441</v>
      </c>
      <c r="N1753" s="2" t="s">
        <v>442</v>
      </c>
      <c r="O1753" s="2" t="s">
        <v>339</v>
      </c>
      <c r="P1753" s="2" t="str">
        <f>"2170606692                    "</f>
        <v xml:space="preserve">2170606692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9.0500000000000007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3.9</v>
      </c>
      <c r="BJ1753" s="2">
        <v>1.5</v>
      </c>
      <c r="BK1753" s="2">
        <v>4</v>
      </c>
      <c r="BL1753" s="2">
        <v>64.599999999999994</v>
      </c>
      <c r="BM1753" s="2">
        <v>9.0399999999999991</v>
      </c>
      <c r="BN1753" s="2">
        <v>73.64</v>
      </c>
      <c r="BO1753" s="2">
        <v>73.64</v>
      </c>
      <c r="BQ1753" s="2" t="s">
        <v>82</v>
      </c>
      <c r="BR1753" s="2" t="s">
        <v>83</v>
      </c>
      <c r="BS1753" s="3">
        <v>43082</v>
      </c>
      <c r="BT1753" s="4">
        <v>0.52083333333333337</v>
      </c>
      <c r="BU1753" s="2" t="s">
        <v>2160</v>
      </c>
      <c r="BV1753" s="2" t="s">
        <v>85</v>
      </c>
      <c r="BY1753" s="2">
        <v>7489.36</v>
      </c>
      <c r="BZ1753" s="2" t="s">
        <v>27</v>
      </c>
      <c r="CA1753" s="2" t="s">
        <v>293</v>
      </c>
      <c r="CC1753" s="2" t="s">
        <v>441</v>
      </c>
      <c r="CD1753" s="2">
        <v>1759</v>
      </c>
      <c r="CE1753" s="2" t="s">
        <v>95</v>
      </c>
      <c r="CF1753" s="3">
        <v>43087</v>
      </c>
      <c r="CI1753" s="2">
        <v>1</v>
      </c>
      <c r="CJ1753" s="2">
        <v>1</v>
      </c>
      <c r="CK1753" s="2">
        <v>34</v>
      </c>
      <c r="CL1753" s="2" t="s">
        <v>89</v>
      </c>
    </row>
    <row r="1754" spans="1:90">
      <c r="A1754" s="2" t="s">
        <v>71</v>
      </c>
      <c r="B1754" s="2" t="s">
        <v>72</v>
      </c>
      <c r="C1754" s="2" t="s">
        <v>73</v>
      </c>
      <c r="E1754" s="2" t="str">
        <f>"FES1162595024"</f>
        <v>FES1162595024</v>
      </c>
      <c r="F1754" s="3">
        <v>43081</v>
      </c>
      <c r="G1754" s="2">
        <v>201806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238</v>
      </c>
      <c r="M1754" s="2" t="s">
        <v>239</v>
      </c>
      <c r="N1754" s="2" t="s">
        <v>2161</v>
      </c>
      <c r="O1754" s="2" t="s">
        <v>339</v>
      </c>
      <c r="P1754" s="2" t="str">
        <f>"2170606943                    "</f>
        <v xml:space="preserve">2170606943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19.91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5.2</v>
      </c>
      <c r="BJ1754" s="2">
        <v>7.8</v>
      </c>
      <c r="BK1754" s="2">
        <v>8</v>
      </c>
      <c r="BL1754" s="2">
        <v>142.13999999999999</v>
      </c>
      <c r="BM1754" s="2">
        <v>19.899999999999999</v>
      </c>
      <c r="BN1754" s="2">
        <v>162.04</v>
      </c>
      <c r="BO1754" s="2">
        <v>162.04</v>
      </c>
      <c r="BQ1754" s="2" t="s">
        <v>82</v>
      </c>
      <c r="BR1754" s="2" t="s">
        <v>83</v>
      </c>
      <c r="BS1754" s="3">
        <v>43082</v>
      </c>
      <c r="BT1754" s="4">
        <v>0.3923611111111111</v>
      </c>
      <c r="BU1754" s="2" t="s">
        <v>2162</v>
      </c>
      <c r="BV1754" s="2" t="s">
        <v>85</v>
      </c>
      <c r="BY1754" s="2">
        <v>39143.160000000003</v>
      </c>
      <c r="BZ1754" s="2" t="s">
        <v>27</v>
      </c>
      <c r="CA1754" s="2" t="s">
        <v>2163</v>
      </c>
      <c r="CC1754" s="2" t="s">
        <v>239</v>
      </c>
      <c r="CD1754" s="2">
        <v>300</v>
      </c>
      <c r="CE1754" s="2" t="s">
        <v>288</v>
      </c>
      <c r="CF1754" s="3">
        <v>43084</v>
      </c>
      <c r="CI1754" s="2">
        <v>1</v>
      </c>
      <c r="CJ1754" s="2">
        <v>1</v>
      </c>
      <c r="CK1754" s="2">
        <v>34</v>
      </c>
      <c r="CL1754" s="2" t="s">
        <v>89</v>
      </c>
    </row>
    <row r="1755" spans="1:90">
      <c r="A1755" s="2" t="s">
        <v>71</v>
      </c>
      <c r="B1755" s="2" t="s">
        <v>72</v>
      </c>
      <c r="C1755" s="2" t="s">
        <v>73</v>
      </c>
      <c r="E1755" s="2" t="str">
        <f>"FES1162595375"</f>
        <v>FES1162595375</v>
      </c>
      <c r="F1755" s="3">
        <v>43081</v>
      </c>
      <c r="G1755" s="2">
        <v>201806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440</v>
      </c>
      <c r="M1755" s="2" t="s">
        <v>441</v>
      </c>
      <c r="N1755" s="2" t="s">
        <v>442</v>
      </c>
      <c r="O1755" s="2" t="s">
        <v>339</v>
      </c>
      <c r="P1755" s="2" t="str">
        <f>"2170607224                    "</f>
        <v xml:space="preserve">2170607224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17.2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6.9</v>
      </c>
      <c r="BJ1755" s="2">
        <v>3.2</v>
      </c>
      <c r="BK1755" s="2">
        <v>7</v>
      </c>
      <c r="BL1755" s="2">
        <v>122.76</v>
      </c>
      <c r="BM1755" s="2">
        <v>17.190000000000001</v>
      </c>
      <c r="BN1755" s="2">
        <v>139.94999999999999</v>
      </c>
      <c r="BO1755" s="2">
        <v>139.94999999999999</v>
      </c>
      <c r="BQ1755" s="2" t="s">
        <v>82</v>
      </c>
      <c r="BR1755" s="2" t="s">
        <v>83</v>
      </c>
      <c r="BS1755" s="3">
        <v>43082</v>
      </c>
      <c r="BT1755" s="4">
        <v>0.55555555555555558</v>
      </c>
      <c r="BU1755" s="2" t="s">
        <v>2160</v>
      </c>
      <c r="BV1755" s="2" t="s">
        <v>85</v>
      </c>
      <c r="BY1755" s="2">
        <v>16160.3</v>
      </c>
      <c r="BZ1755" s="2" t="s">
        <v>27</v>
      </c>
      <c r="CA1755" s="2" t="s">
        <v>293</v>
      </c>
      <c r="CC1755" s="2" t="s">
        <v>441</v>
      </c>
      <c r="CD1755" s="2">
        <v>1759</v>
      </c>
      <c r="CE1755" s="2" t="s">
        <v>95</v>
      </c>
      <c r="CF1755" s="3">
        <v>43087</v>
      </c>
      <c r="CI1755" s="2">
        <v>1</v>
      </c>
      <c r="CJ1755" s="2">
        <v>1</v>
      </c>
      <c r="CK1755" s="2">
        <v>34</v>
      </c>
      <c r="CL1755" s="2" t="s">
        <v>89</v>
      </c>
    </row>
    <row r="1756" spans="1:90">
      <c r="A1756" s="2" t="s">
        <v>71</v>
      </c>
      <c r="B1756" s="2" t="s">
        <v>72</v>
      </c>
      <c r="C1756" s="2" t="s">
        <v>73</v>
      </c>
      <c r="E1756" s="2" t="str">
        <f>"FES1162594594"</f>
        <v>FES1162594594</v>
      </c>
      <c r="F1756" s="3">
        <v>43080</v>
      </c>
      <c r="G1756" s="2">
        <v>201806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272</v>
      </c>
      <c r="M1756" s="2" t="s">
        <v>272</v>
      </c>
      <c r="N1756" s="2" t="s">
        <v>273</v>
      </c>
      <c r="O1756" s="2" t="s">
        <v>339</v>
      </c>
      <c r="P1756" s="2" t="str">
        <f>"2170604903                    "</f>
        <v xml:space="preserve">2170604903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9.0500000000000007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2.4</v>
      </c>
      <c r="BJ1756" s="2">
        <v>1.6</v>
      </c>
      <c r="BK1756" s="2">
        <v>3</v>
      </c>
      <c r="BL1756" s="2">
        <v>64.599999999999994</v>
      </c>
      <c r="BM1756" s="2">
        <v>9.0399999999999991</v>
      </c>
      <c r="BN1756" s="2">
        <v>73.64</v>
      </c>
      <c r="BO1756" s="2">
        <v>73.64</v>
      </c>
      <c r="BQ1756" s="2" t="s">
        <v>82</v>
      </c>
      <c r="BR1756" s="2" t="s">
        <v>83</v>
      </c>
      <c r="BS1756" s="3">
        <v>43081</v>
      </c>
      <c r="BT1756" s="4">
        <v>0.52569444444444446</v>
      </c>
      <c r="BU1756" s="2" t="s">
        <v>2164</v>
      </c>
      <c r="BV1756" s="2" t="s">
        <v>85</v>
      </c>
      <c r="BY1756" s="2">
        <v>8226.24</v>
      </c>
      <c r="BZ1756" s="2" t="s">
        <v>27</v>
      </c>
      <c r="CA1756" s="2" t="s">
        <v>389</v>
      </c>
      <c r="CC1756" s="2" t="s">
        <v>272</v>
      </c>
      <c r="CD1756" s="2">
        <v>1490</v>
      </c>
      <c r="CE1756" s="2" t="s">
        <v>95</v>
      </c>
      <c r="CF1756" s="3">
        <v>43082</v>
      </c>
      <c r="CI1756" s="2">
        <v>1</v>
      </c>
      <c r="CJ1756" s="2">
        <v>1</v>
      </c>
      <c r="CK1756" s="2">
        <v>34</v>
      </c>
      <c r="CL1756" s="2" t="s">
        <v>89</v>
      </c>
    </row>
    <row r="1757" spans="1:90">
      <c r="A1757" s="2" t="s">
        <v>71</v>
      </c>
      <c r="B1757" s="2" t="s">
        <v>72</v>
      </c>
      <c r="C1757" s="2" t="s">
        <v>73</v>
      </c>
      <c r="E1757" s="2" t="str">
        <f>"FES1162593094"</f>
        <v>FES1162593094</v>
      </c>
      <c r="F1757" s="3">
        <v>43070</v>
      </c>
      <c r="G1757" s="2">
        <v>201806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74</v>
      </c>
      <c r="M1757" s="2" t="s">
        <v>75</v>
      </c>
      <c r="N1757" s="2" t="s">
        <v>201</v>
      </c>
      <c r="O1757" s="2" t="s">
        <v>339</v>
      </c>
      <c r="P1757" s="2" t="str">
        <f>"217064478                     "</f>
        <v xml:space="preserve">217064478 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8.3699999999999992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15.6</v>
      </c>
      <c r="BJ1757" s="2">
        <v>9.1</v>
      </c>
      <c r="BK1757" s="2">
        <v>16</v>
      </c>
      <c r="BL1757" s="2">
        <v>66.91</v>
      </c>
      <c r="BM1757" s="2">
        <v>9.3699999999999992</v>
      </c>
      <c r="BN1757" s="2">
        <v>76.28</v>
      </c>
      <c r="BO1757" s="2">
        <v>76.28</v>
      </c>
      <c r="BQ1757" s="2" t="s">
        <v>82</v>
      </c>
      <c r="BR1757" s="2" t="s">
        <v>83</v>
      </c>
      <c r="BS1757" s="3">
        <v>43073</v>
      </c>
      <c r="BT1757" s="4">
        <v>0.4375</v>
      </c>
      <c r="BU1757" s="2" t="s">
        <v>428</v>
      </c>
      <c r="BV1757" s="2" t="s">
        <v>85</v>
      </c>
      <c r="BY1757" s="2">
        <v>45612.45</v>
      </c>
      <c r="BZ1757" s="2" t="s">
        <v>27</v>
      </c>
      <c r="CC1757" s="2" t="s">
        <v>75</v>
      </c>
      <c r="CD1757" s="2">
        <v>1665</v>
      </c>
      <c r="CE1757" s="2" t="s">
        <v>95</v>
      </c>
      <c r="CF1757" s="3">
        <v>43075</v>
      </c>
      <c r="CI1757" s="2">
        <v>1</v>
      </c>
      <c r="CJ1757" s="2">
        <v>1</v>
      </c>
      <c r="CK1757" s="2">
        <v>32</v>
      </c>
      <c r="CL1757" s="2" t="s">
        <v>89</v>
      </c>
    </row>
    <row r="1758" spans="1:90">
      <c r="A1758" s="2" t="s">
        <v>71</v>
      </c>
      <c r="B1758" s="2" t="s">
        <v>72</v>
      </c>
      <c r="C1758" s="2" t="s">
        <v>73</v>
      </c>
      <c r="E1758" s="2" t="str">
        <f>"FES1162594940"</f>
        <v>FES1162594940</v>
      </c>
      <c r="F1758" s="3">
        <v>43080</v>
      </c>
      <c r="G1758" s="2">
        <v>201806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325</v>
      </c>
      <c r="M1758" s="2" t="s">
        <v>326</v>
      </c>
      <c r="N1758" s="2" t="s">
        <v>1531</v>
      </c>
      <c r="O1758" s="2" t="s">
        <v>339</v>
      </c>
      <c r="P1758" s="2" t="str">
        <f>"2170606851                    "</f>
        <v xml:space="preserve">2170606851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9.0500000000000007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3.8</v>
      </c>
      <c r="BJ1758" s="2">
        <v>1.7</v>
      </c>
      <c r="BK1758" s="2">
        <v>4</v>
      </c>
      <c r="BL1758" s="2">
        <v>64.599999999999994</v>
      </c>
      <c r="BM1758" s="2">
        <v>9.0399999999999991</v>
      </c>
      <c r="BN1758" s="2">
        <v>73.64</v>
      </c>
      <c r="BO1758" s="2">
        <v>73.64</v>
      </c>
      <c r="BQ1758" s="2" t="s">
        <v>128</v>
      </c>
      <c r="BR1758" s="2" t="s">
        <v>83</v>
      </c>
      <c r="BS1758" s="3">
        <v>43081</v>
      </c>
      <c r="BT1758" s="4">
        <v>0.5625</v>
      </c>
      <c r="BU1758" s="2" t="s">
        <v>1532</v>
      </c>
      <c r="BV1758" s="2" t="s">
        <v>85</v>
      </c>
      <c r="BY1758" s="2">
        <v>8263.9599999999991</v>
      </c>
      <c r="BZ1758" s="2" t="s">
        <v>27</v>
      </c>
      <c r="CC1758" s="2" t="s">
        <v>326</v>
      </c>
      <c r="CD1758" s="2">
        <v>1961</v>
      </c>
      <c r="CE1758" s="2" t="s">
        <v>95</v>
      </c>
      <c r="CF1758" s="3">
        <v>43082</v>
      </c>
      <c r="CI1758" s="2">
        <v>1</v>
      </c>
      <c r="CJ1758" s="2">
        <v>1</v>
      </c>
      <c r="CK1758" s="2">
        <v>34</v>
      </c>
      <c r="CL1758" s="2" t="s">
        <v>89</v>
      </c>
    </row>
    <row r="1759" spans="1:90">
      <c r="A1759" s="2" t="s">
        <v>71</v>
      </c>
      <c r="B1759" s="2" t="s">
        <v>72</v>
      </c>
      <c r="C1759" s="2" t="s">
        <v>73</v>
      </c>
      <c r="E1759" s="2" t="str">
        <f>"FES1162594399"</f>
        <v>FES1162594399</v>
      </c>
      <c r="F1759" s="3">
        <v>43075</v>
      </c>
      <c r="G1759" s="2">
        <v>201806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440</v>
      </c>
      <c r="M1759" s="2" t="s">
        <v>441</v>
      </c>
      <c r="N1759" s="2" t="s">
        <v>1844</v>
      </c>
      <c r="O1759" s="2" t="s">
        <v>339</v>
      </c>
      <c r="P1759" s="2" t="str">
        <f>"2170605945                    "</f>
        <v xml:space="preserve">2170605945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11.76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4.9000000000000004</v>
      </c>
      <c r="BJ1759" s="2">
        <v>1.8</v>
      </c>
      <c r="BK1759" s="2">
        <v>5</v>
      </c>
      <c r="BL1759" s="2">
        <v>83.98</v>
      </c>
      <c r="BM1759" s="2">
        <v>11.76</v>
      </c>
      <c r="BN1759" s="2">
        <v>95.74</v>
      </c>
      <c r="BO1759" s="2">
        <v>95.74</v>
      </c>
      <c r="BQ1759" s="2" t="s">
        <v>82</v>
      </c>
      <c r="BR1759" s="2" t="s">
        <v>83</v>
      </c>
      <c r="BS1759" s="3">
        <v>43076</v>
      </c>
      <c r="BT1759" s="4">
        <v>0.45</v>
      </c>
      <c r="BU1759" s="2" t="s">
        <v>1845</v>
      </c>
      <c r="BV1759" s="2" t="s">
        <v>85</v>
      </c>
      <c r="BY1759" s="2">
        <v>8859.69</v>
      </c>
      <c r="BZ1759" s="2" t="s">
        <v>27</v>
      </c>
      <c r="CC1759" s="2" t="s">
        <v>441</v>
      </c>
      <c r="CD1759" s="2">
        <v>1759</v>
      </c>
      <c r="CE1759" s="2" t="s">
        <v>87</v>
      </c>
      <c r="CF1759" s="3">
        <v>43077</v>
      </c>
      <c r="CI1759" s="2">
        <v>1</v>
      </c>
      <c r="CJ1759" s="2">
        <v>1</v>
      </c>
      <c r="CK1759" s="2">
        <v>34</v>
      </c>
      <c r="CL1759" s="2" t="s">
        <v>89</v>
      </c>
    </row>
    <row r="1760" spans="1:90">
      <c r="A1760" s="2" t="s">
        <v>71</v>
      </c>
      <c r="B1760" s="2" t="s">
        <v>72</v>
      </c>
      <c r="C1760" s="2" t="s">
        <v>73</v>
      </c>
      <c r="E1760" s="2" t="str">
        <f>"FES1162593174"</f>
        <v>FES1162593174</v>
      </c>
      <c r="F1760" s="3">
        <v>43070</v>
      </c>
      <c r="G1760" s="2">
        <v>201806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277</v>
      </c>
      <c r="M1760" s="2" t="s">
        <v>278</v>
      </c>
      <c r="N1760" s="2" t="s">
        <v>2165</v>
      </c>
      <c r="O1760" s="2" t="s">
        <v>339</v>
      </c>
      <c r="P1760" s="2" t="str">
        <f>"2170593876                    "</f>
        <v xml:space="preserve">2170593876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9.36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17.100000000000001</v>
      </c>
      <c r="BJ1760" s="2">
        <v>9.3000000000000007</v>
      </c>
      <c r="BK1760" s="2">
        <v>18</v>
      </c>
      <c r="BL1760" s="2">
        <v>74.819999999999993</v>
      </c>
      <c r="BM1760" s="2">
        <v>10.47</v>
      </c>
      <c r="BN1760" s="2">
        <v>85.29</v>
      </c>
      <c r="BO1760" s="2">
        <v>85.29</v>
      </c>
      <c r="BQ1760" s="2" t="s">
        <v>82</v>
      </c>
      <c r="BR1760" s="2" t="s">
        <v>83</v>
      </c>
      <c r="BS1760" s="3">
        <v>43073</v>
      </c>
      <c r="BT1760" s="4">
        <v>0.43888888888888888</v>
      </c>
      <c r="BU1760" s="2" t="s">
        <v>2166</v>
      </c>
      <c r="BV1760" s="2" t="s">
        <v>85</v>
      </c>
      <c r="BY1760" s="2">
        <v>46586.05</v>
      </c>
      <c r="BZ1760" s="2" t="s">
        <v>27</v>
      </c>
      <c r="CA1760" s="2" t="s">
        <v>2167</v>
      </c>
      <c r="CC1760" s="2" t="s">
        <v>278</v>
      </c>
      <c r="CD1760" s="2">
        <v>2194</v>
      </c>
      <c r="CE1760" s="2" t="s">
        <v>95</v>
      </c>
      <c r="CF1760" s="3">
        <v>43075</v>
      </c>
      <c r="CI1760" s="2">
        <v>1</v>
      </c>
      <c r="CJ1760" s="2">
        <v>1</v>
      </c>
      <c r="CK1760" s="2">
        <v>32</v>
      </c>
      <c r="CL1760" s="2" t="s">
        <v>89</v>
      </c>
    </row>
    <row r="1761" spans="1:90">
      <c r="A1761" s="2" t="s">
        <v>71</v>
      </c>
      <c r="B1761" s="2" t="s">
        <v>72</v>
      </c>
      <c r="C1761" s="2" t="s">
        <v>73</v>
      </c>
      <c r="E1761" s="2" t="str">
        <f>"FES1162594429"</f>
        <v>FES1162594429</v>
      </c>
      <c r="F1761" s="3">
        <v>43075</v>
      </c>
      <c r="G1761" s="2">
        <v>201806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566</v>
      </c>
      <c r="M1761" s="2" t="s">
        <v>567</v>
      </c>
      <c r="N1761" s="2" t="s">
        <v>164</v>
      </c>
      <c r="O1761" s="2" t="s">
        <v>339</v>
      </c>
      <c r="P1761" s="2" t="str">
        <f>"2170605978                    "</f>
        <v xml:space="preserve">2170605978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14.48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5.4</v>
      </c>
      <c r="BJ1761" s="2">
        <v>3.6</v>
      </c>
      <c r="BK1761" s="2">
        <v>6</v>
      </c>
      <c r="BL1761" s="2">
        <v>103.37</v>
      </c>
      <c r="BM1761" s="2">
        <v>14.47</v>
      </c>
      <c r="BN1761" s="2">
        <v>117.84</v>
      </c>
      <c r="BO1761" s="2">
        <v>117.84</v>
      </c>
      <c r="BQ1761" s="2" t="s">
        <v>82</v>
      </c>
      <c r="BR1761" s="2" t="s">
        <v>83</v>
      </c>
      <c r="BS1761" s="3">
        <v>43076</v>
      </c>
      <c r="BT1761" s="4">
        <v>0.41666666666666669</v>
      </c>
      <c r="BU1761" s="2" t="s">
        <v>2168</v>
      </c>
      <c r="BV1761" s="2" t="s">
        <v>85</v>
      </c>
      <c r="BY1761" s="2">
        <v>18037.64</v>
      </c>
      <c r="BZ1761" s="2" t="s">
        <v>27</v>
      </c>
      <c r="CA1761" s="2" t="s">
        <v>2169</v>
      </c>
      <c r="CC1761" s="2" t="s">
        <v>567</v>
      </c>
      <c r="CD1761" s="2">
        <v>1754</v>
      </c>
      <c r="CE1761" s="2" t="s">
        <v>95</v>
      </c>
      <c r="CF1761" s="3">
        <v>43080</v>
      </c>
      <c r="CI1761" s="2">
        <v>1</v>
      </c>
      <c r="CJ1761" s="2">
        <v>1</v>
      </c>
      <c r="CK1761" s="2">
        <v>34</v>
      </c>
      <c r="CL1761" s="2" t="s">
        <v>89</v>
      </c>
    </row>
    <row r="1762" spans="1:90">
      <c r="A1762" s="2" t="s">
        <v>71</v>
      </c>
      <c r="B1762" s="2" t="s">
        <v>72</v>
      </c>
      <c r="C1762" s="2" t="s">
        <v>73</v>
      </c>
      <c r="E1762" s="2" t="str">
        <f>"FES1162594731"</f>
        <v>FES1162594731</v>
      </c>
      <c r="F1762" s="3">
        <v>43080</v>
      </c>
      <c r="G1762" s="2">
        <v>201806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272</v>
      </c>
      <c r="M1762" s="2" t="s">
        <v>272</v>
      </c>
      <c r="N1762" s="2" t="s">
        <v>2085</v>
      </c>
      <c r="O1762" s="2" t="s">
        <v>339</v>
      </c>
      <c r="P1762" s="2" t="str">
        <f>"2170606617                    "</f>
        <v xml:space="preserve">2170606617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17.2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7</v>
      </c>
      <c r="BJ1762" s="2">
        <v>3.1</v>
      </c>
      <c r="BK1762" s="2">
        <v>7</v>
      </c>
      <c r="BL1762" s="2">
        <v>122.76</v>
      </c>
      <c r="BM1762" s="2">
        <v>17.190000000000001</v>
      </c>
      <c r="BN1762" s="2">
        <v>139.94999999999999</v>
      </c>
      <c r="BO1762" s="2">
        <v>139.94999999999999</v>
      </c>
      <c r="BQ1762" s="2" t="s">
        <v>2086</v>
      </c>
      <c r="BR1762" s="2" t="s">
        <v>83</v>
      </c>
      <c r="BS1762" s="3">
        <v>43081</v>
      </c>
      <c r="BT1762" s="4">
        <v>0.52569444444444446</v>
      </c>
      <c r="BU1762" s="2" t="s">
        <v>880</v>
      </c>
      <c r="BV1762" s="2" t="s">
        <v>85</v>
      </c>
      <c r="BY1762" s="2">
        <v>15498</v>
      </c>
      <c r="BZ1762" s="2" t="s">
        <v>27</v>
      </c>
      <c r="CA1762" s="2" t="s">
        <v>389</v>
      </c>
      <c r="CC1762" s="2" t="s">
        <v>272</v>
      </c>
      <c r="CD1762" s="2">
        <v>1490</v>
      </c>
      <c r="CE1762" s="2" t="s">
        <v>87</v>
      </c>
      <c r="CF1762" s="3">
        <v>43082</v>
      </c>
      <c r="CI1762" s="2">
        <v>1</v>
      </c>
      <c r="CJ1762" s="2">
        <v>1</v>
      </c>
      <c r="CK1762" s="2">
        <v>34</v>
      </c>
      <c r="CL1762" s="2" t="s">
        <v>89</v>
      </c>
    </row>
    <row r="1763" spans="1:90">
      <c r="A1763" s="2" t="s">
        <v>71</v>
      </c>
      <c r="B1763" s="2" t="s">
        <v>72</v>
      </c>
      <c r="C1763" s="2" t="s">
        <v>73</v>
      </c>
      <c r="E1763" s="2" t="str">
        <f>"FES1162594518"</f>
        <v>FES1162594518</v>
      </c>
      <c r="F1763" s="3">
        <v>43075</v>
      </c>
      <c r="G1763" s="2">
        <v>201806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440</v>
      </c>
      <c r="M1763" s="2" t="s">
        <v>441</v>
      </c>
      <c r="N1763" s="2" t="s">
        <v>1670</v>
      </c>
      <c r="O1763" s="2" t="s">
        <v>339</v>
      </c>
      <c r="P1763" s="2" t="str">
        <f>"2170601993                    "</f>
        <v xml:space="preserve">2170601993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9.0500000000000007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3</v>
      </c>
      <c r="BJ1763" s="2">
        <v>1.8</v>
      </c>
      <c r="BK1763" s="2">
        <v>3</v>
      </c>
      <c r="BL1763" s="2">
        <v>64.599999999999994</v>
      </c>
      <c r="BM1763" s="2">
        <v>9.0399999999999991</v>
      </c>
      <c r="BN1763" s="2">
        <v>73.64</v>
      </c>
      <c r="BO1763" s="2">
        <v>73.64</v>
      </c>
      <c r="BQ1763" s="2" t="s">
        <v>82</v>
      </c>
      <c r="BR1763" s="2" t="s">
        <v>83</v>
      </c>
      <c r="BS1763" s="3">
        <v>43080</v>
      </c>
      <c r="BT1763" s="4">
        <v>0.4236111111111111</v>
      </c>
      <c r="BU1763" s="2" t="s">
        <v>114</v>
      </c>
      <c r="BV1763" s="2" t="s">
        <v>89</v>
      </c>
      <c r="BW1763" s="2" t="s">
        <v>149</v>
      </c>
      <c r="BX1763" s="2" t="s">
        <v>292</v>
      </c>
      <c r="BY1763" s="2">
        <v>8989.6</v>
      </c>
      <c r="BZ1763" s="2" t="s">
        <v>27</v>
      </c>
      <c r="CC1763" s="2" t="s">
        <v>441</v>
      </c>
      <c r="CD1763" s="2">
        <v>1759</v>
      </c>
      <c r="CE1763" s="2" t="s">
        <v>95</v>
      </c>
      <c r="CF1763" s="3">
        <v>43081</v>
      </c>
      <c r="CI1763" s="2">
        <v>1</v>
      </c>
      <c r="CJ1763" s="2">
        <v>3</v>
      </c>
      <c r="CK1763" s="2">
        <v>34</v>
      </c>
      <c r="CL1763" s="2" t="s">
        <v>89</v>
      </c>
    </row>
    <row r="1764" spans="1:90">
      <c r="A1764" s="2" t="s">
        <v>71</v>
      </c>
      <c r="B1764" s="2" t="s">
        <v>72</v>
      </c>
      <c r="C1764" s="2" t="s">
        <v>73</v>
      </c>
      <c r="E1764" s="2" t="str">
        <f>"FES1162593356"</f>
        <v>FES1162593356</v>
      </c>
      <c r="F1764" s="3">
        <v>43073</v>
      </c>
      <c r="G1764" s="2">
        <v>201806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325</v>
      </c>
      <c r="M1764" s="2" t="s">
        <v>326</v>
      </c>
      <c r="N1764" s="2" t="s">
        <v>2170</v>
      </c>
      <c r="O1764" s="2" t="s">
        <v>339</v>
      </c>
      <c r="P1764" s="2" t="str">
        <f>"2170602342                    "</f>
        <v xml:space="preserve">2170602342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10.33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4</v>
      </c>
      <c r="BJ1764" s="2">
        <v>4.0999999999999996</v>
      </c>
      <c r="BK1764" s="2">
        <v>5</v>
      </c>
      <c r="BL1764" s="2">
        <v>82.55</v>
      </c>
      <c r="BM1764" s="2">
        <v>11.56</v>
      </c>
      <c r="BN1764" s="2">
        <v>94.11</v>
      </c>
      <c r="BO1764" s="2">
        <v>94.11</v>
      </c>
      <c r="BQ1764" s="2" t="s">
        <v>2171</v>
      </c>
      <c r="BR1764" s="2" t="s">
        <v>83</v>
      </c>
      <c r="BS1764" s="3">
        <v>43075</v>
      </c>
      <c r="BT1764" s="4">
        <v>0.55555555555555558</v>
      </c>
      <c r="BU1764" s="2" t="s">
        <v>2172</v>
      </c>
      <c r="BV1764" s="2" t="s">
        <v>89</v>
      </c>
      <c r="BY1764" s="2">
        <v>20358</v>
      </c>
      <c r="BZ1764" s="2" t="s">
        <v>27</v>
      </c>
      <c r="CA1764" s="2" t="s">
        <v>329</v>
      </c>
      <c r="CC1764" s="2" t="s">
        <v>326</v>
      </c>
      <c r="CD1764" s="2">
        <v>1960</v>
      </c>
      <c r="CE1764" s="2" t="s">
        <v>95</v>
      </c>
      <c r="CF1764" s="3">
        <v>43077</v>
      </c>
      <c r="CI1764" s="2">
        <v>1</v>
      </c>
      <c r="CJ1764" s="2">
        <v>2</v>
      </c>
      <c r="CK1764" s="2">
        <v>34</v>
      </c>
      <c r="CL1764" s="2" t="s">
        <v>89</v>
      </c>
    </row>
    <row r="1765" spans="1:90">
      <c r="A1765" s="2" t="s">
        <v>71</v>
      </c>
      <c r="B1765" s="2" t="s">
        <v>72</v>
      </c>
      <c r="C1765" s="2" t="s">
        <v>73</v>
      </c>
      <c r="E1765" s="2" t="str">
        <f>"FES1162594678"</f>
        <v>FES1162594678</v>
      </c>
      <c r="F1765" s="3">
        <v>43080</v>
      </c>
      <c r="G1765" s="2">
        <v>201806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325</v>
      </c>
      <c r="M1765" s="2" t="s">
        <v>326</v>
      </c>
      <c r="N1765" s="2" t="s">
        <v>1831</v>
      </c>
      <c r="O1765" s="2" t="s">
        <v>339</v>
      </c>
      <c r="P1765" s="2" t="str">
        <f>"2170606540                    "</f>
        <v xml:space="preserve">2170606540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19.91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2</v>
      </c>
      <c r="BI1765" s="2">
        <v>7.8</v>
      </c>
      <c r="BJ1765" s="2">
        <v>3.6</v>
      </c>
      <c r="BK1765" s="2">
        <v>8</v>
      </c>
      <c r="BL1765" s="2">
        <v>142.13999999999999</v>
      </c>
      <c r="BM1765" s="2">
        <v>19.899999999999999</v>
      </c>
      <c r="BN1765" s="2">
        <v>162.04</v>
      </c>
      <c r="BO1765" s="2">
        <v>162.04</v>
      </c>
      <c r="BQ1765" s="2" t="s">
        <v>82</v>
      </c>
      <c r="BR1765" s="2" t="s">
        <v>83</v>
      </c>
      <c r="BS1765" s="3">
        <v>43081</v>
      </c>
      <c r="BT1765" s="4">
        <v>0.62986111111111109</v>
      </c>
      <c r="BU1765" s="2" t="s">
        <v>2173</v>
      </c>
      <c r="BV1765" s="2" t="s">
        <v>89</v>
      </c>
      <c r="BY1765" s="2">
        <v>18131.61</v>
      </c>
      <c r="BZ1765" s="2" t="s">
        <v>27</v>
      </c>
      <c r="CA1765" s="2" t="s">
        <v>329</v>
      </c>
      <c r="CC1765" s="2" t="s">
        <v>326</v>
      </c>
      <c r="CD1765" s="2">
        <v>1961</v>
      </c>
      <c r="CE1765" s="2" t="s">
        <v>95</v>
      </c>
      <c r="CF1765" s="3">
        <v>43082</v>
      </c>
      <c r="CI1765" s="2">
        <v>1</v>
      </c>
      <c r="CJ1765" s="2">
        <v>1</v>
      </c>
      <c r="CK1765" s="2">
        <v>34</v>
      </c>
      <c r="CL1765" s="2" t="s">
        <v>89</v>
      </c>
    </row>
    <row r="1766" spans="1:90">
      <c r="A1766" s="2" t="s">
        <v>71</v>
      </c>
      <c r="B1766" s="2" t="s">
        <v>72</v>
      </c>
      <c r="C1766" s="2" t="s">
        <v>73</v>
      </c>
      <c r="E1766" s="2" t="str">
        <f>"FES1162594485"</f>
        <v>FES1162594485</v>
      </c>
      <c r="F1766" s="3">
        <v>43076</v>
      </c>
      <c r="G1766" s="2">
        <v>201806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651</v>
      </c>
      <c r="M1766" s="2" t="s">
        <v>652</v>
      </c>
      <c r="N1766" s="2" t="s">
        <v>2174</v>
      </c>
      <c r="O1766" s="2" t="s">
        <v>339</v>
      </c>
      <c r="P1766" s="2" t="str">
        <f>"2170606341                    "</f>
        <v xml:space="preserve">2170606341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9.0500000000000007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3</v>
      </c>
      <c r="BJ1766" s="2">
        <v>1.3</v>
      </c>
      <c r="BK1766" s="2">
        <v>3</v>
      </c>
      <c r="BL1766" s="2">
        <v>64.599999999999994</v>
      </c>
      <c r="BM1766" s="2">
        <v>9.0399999999999991</v>
      </c>
      <c r="BN1766" s="2">
        <v>73.64</v>
      </c>
      <c r="BO1766" s="2">
        <v>73.64</v>
      </c>
      <c r="BQ1766" s="2" t="s">
        <v>82</v>
      </c>
      <c r="BR1766" s="2" t="s">
        <v>83</v>
      </c>
      <c r="BS1766" s="3">
        <v>43080</v>
      </c>
      <c r="BT1766" s="4">
        <v>0.43402777777777773</v>
      </c>
      <c r="BU1766" s="2" t="s">
        <v>2008</v>
      </c>
      <c r="BV1766" s="2" t="s">
        <v>89</v>
      </c>
      <c r="BY1766" s="2">
        <v>6300</v>
      </c>
      <c r="BZ1766" s="2" t="s">
        <v>27</v>
      </c>
      <c r="CA1766" s="2" t="s">
        <v>656</v>
      </c>
      <c r="CC1766" s="2" t="s">
        <v>652</v>
      </c>
      <c r="CD1766" s="2">
        <v>250</v>
      </c>
      <c r="CE1766" s="2" t="s">
        <v>356</v>
      </c>
      <c r="CF1766" s="3">
        <v>43082</v>
      </c>
      <c r="CI1766" s="2">
        <v>1</v>
      </c>
      <c r="CJ1766" s="2">
        <v>2</v>
      </c>
      <c r="CK1766" s="2">
        <v>34</v>
      </c>
      <c r="CL1766" s="2" t="s">
        <v>89</v>
      </c>
    </row>
    <row r="1767" spans="1:90">
      <c r="A1767" s="2" t="s">
        <v>71</v>
      </c>
      <c r="B1767" s="2" t="s">
        <v>72</v>
      </c>
      <c r="C1767" s="2" t="s">
        <v>73</v>
      </c>
      <c r="E1767" s="2" t="str">
        <f>"FES1162594990"</f>
        <v>FES1162594990</v>
      </c>
      <c r="F1767" s="3">
        <v>43080</v>
      </c>
      <c r="G1767" s="2">
        <v>201806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651</v>
      </c>
      <c r="M1767" s="2" t="s">
        <v>652</v>
      </c>
      <c r="N1767" s="2" t="s">
        <v>949</v>
      </c>
      <c r="O1767" s="2" t="s">
        <v>339</v>
      </c>
      <c r="P1767" s="2" t="str">
        <f>"2170594256                    "</f>
        <v xml:space="preserve">2170594256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9.0500000000000007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3.9</v>
      </c>
      <c r="BJ1767" s="2">
        <v>2</v>
      </c>
      <c r="BK1767" s="2">
        <v>4</v>
      </c>
      <c r="BL1767" s="2">
        <v>64.599999999999994</v>
      </c>
      <c r="BM1767" s="2">
        <v>9.0399999999999991</v>
      </c>
      <c r="BN1767" s="2">
        <v>73.64</v>
      </c>
      <c r="BO1767" s="2">
        <v>73.64</v>
      </c>
      <c r="BQ1767" s="2" t="s">
        <v>82</v>
      </c>
      <c r="BR1767" s="2" t="s">
        <v>83</v>
      </c>
      <c r="BS1767" s="3">
        <v>43081</v>
      </c>
      <c r="BT1767" s="4">
        <v>0.46180555555555558</v>
      </c>
      <c r="BU1767" s="2" t="s">
        <v>2022</v>
      </c>
      <c r="BV1767" s="2" t="s">
        <v>85</v>
      </c>
      <c r="BY1767" s="2">
        <v>9819.99</v>
      </c>
      <c r="BZ1767" s="2" t="s">
        <v>27</v>
      </c>
      <c r="CA1767" s="2" t="s">
        <v>656</v>
      </c>
      <c r="CC1767" s="2" t="s">
        <v>652</v>
      </c>
      <c r="CD1767" s="2">
        <v>250</v>
      </c>
      <c r="CE1767" s="2" t="s">
        <v>95</v>
      </c>
      <c r="CF1767" s="3">
        <v>43083</v>
      </c>
      <c r="CI1767" s="2">
        <v>1</v>
      </c>
      <c r="CJ1767" s="2">
        <v>1</v>
      </c>
      <c r="CK1767" s="2">
        <v>34</v>
      </c>
      <c r="CL1767" s="2" t="s">
        <v>89</v>
      </c>
    </row>
    <row r="1768" spans="1:90">
      <c r="A1768" s="2" t="s">
        <v>71</v>
      </c>
      <c r="B1768" s="2" t="s">
        <v>72</v>
      </c>
      <c r="C1768" s="2" t="s">
        <v>73</v>
      </c>
      <c r="E1768" s="2" t="str">
        <f>"FES1162593531"</f>
        <v>FES1162593531</v>
      </c>
      <c r="F1768" s="3">
        <v>43073</v>
      </c>
      <c r="G1768" s="2">
        <v>201806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566</v>
      </c>
      <c r="M1768" s="2" t="s">
        <v>567</v>
      </c>
      <c r="N1768" s="2" t="s">
        <v>164</v>
      </c>
      <c r="O1768" s="2" t="s">
        <v>339</v>
      </c>
      <c r="P1768" s="2" t="str">
        <f>"2170605632                    "</f>
        <v xml:space="preserve">2170605632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10.33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5</v>
      </c>
      <c r="BJ1768" s="2">
        <v>1.8</v>
      </c>
      <c r="BK1768" s="2">
        <v>5</v>
      </c>
      <c r="BL1768" s="2">
        <v>82.55</v>
      </c>
      <c r="BM1768" s="2">
        <v>11.56</v>
      </c>
      <c r="BN1768" s="2">
        <v>94.11</v>
      </c>
      <c r="BO1768" s="2">
        <v>94.11</v>
      </c>
      <c r="BQ1768" s="2" t="s">
        <v>82</v>
      </c>
      <c r="BR1768" s="2" t="s">
        <v>83</v>
      </c>
      <c r="BS1768" s="3">
        <v>43074</v>
      </c>
      <c r="BT1768" s="4">
        <v>0.34027777777777773</v>
      </c>
      <c r="BU1768" s="2" t="s">
        <v>205</v>
      </c>
      <c r="BV1768" s="2" t="s">
        <v>85</v>
      </c>
      <c r="BY1768" s="2">
        <v>8834.41</v>
      </c>
      <c r="BZ1768" s="2" t="s">
        <v>27</v>
      </c>
      <c r="CA1768" s="2" t="s">
        <v>570</v>
      </c>
      <c r="CC1768" s="2" t="s">
        <v>567</v>
      </c>
      <c r="CD1768" s="2">
        <v>1754</v>
      </c>
      <c r="CE1768" s="2" t="s">
        <v>95</v>
      </c>
      <c r="CF1768" s="3">
        <v>43077</v>
      </c>
      <c r="CI1768" s="2">
        <v>1</v>
      </c>
      <c r="CJ1768" s="2">
        <v>1</v>
      </c>
      <c r="CK1768" s="2">
        <v>34</v>
      </c>
      <c r="CL1768" s="2" t="s">
        <v>89</v>
      </c>
    </row>
    <row r="1769" spans="1:90">
      <c r="A1769" s="2" t="s">
        <v>71</v>
      </c>
      <c r="B1769" s="2" t="s">
        <v>72</v>
      </c>
      <c r="C1769" s="2" t="s">
        <v>73</v>
      </c>
      <c r="E1769" s="2" t="str">
        <f>"FES1162593104"</f>
        <v>FES1162593104</v>
      </c>
      <c r="F1769" s="3">
        <v>43070</v>
      </c>
      <c r="G1769" s="2">
        <v>201806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325</v>
      </c>
      <c r="M1769" s="2" t="s">
        <v>326</v>
      </c>
      <c r="N1769" s="2" t="s">
        <v>1129</v>
      </c>
      <c r="O1769" s="2" t="s">
        <v>339</v>
      </c>
      <c r="P1769" s="2" t="str">
        <f>"2170605444                    "</f>
        <v xml:space="preserve">2170605444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19.86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7.5</v>
      </c>
      <c r="BJ1769" s="2">
        <v>8.8000000000000007</v>
      </c>
      <c r="BK1769" s="2">
        <v>9</v>
      </c>
      <c r="BL1769" s="2">
        <v>158.76</v>
      </c>
      <c r="BM1769" s="2">
        <v>22.23</v>
      </c>
      <c r="BN1769" s="2">
        <v>180.99</v>
      </c>
      <c r="BO1769" s="2">
        <v>180.99</v>
      </c>
      <c r="BQ1769" s="2" t="s">
        <v>82</v>
      </c>
      <c r="BR1769" s="2" t="s">
        <v>83</v>
      </c>
      <c r="BS1769" s="3">
        <v>43073</v>
      </c>
      <c r="BT1769" s="4">
        <v>0.54166666666666663</v>
      </c>
      <c r="BU1769" s="2" t="s">
        <v>2175</v>
      </c>
      <c r="BV1769" s="2" t="s">
        <v>85</v>
      </c>
      <c r="BY1769" s="2">
        <v>44222.11</v>
      </c>
      <c r="BZ1769" s="2" t="s">
        <v>27</v>
      </c>
      <c r="CC1769" s="2" t="s">
        <v>326</v>
      </c>
      <c r="CD1769" s="2">
        <v>1939</v>
      </c>
      <c r="CE1769" s="2" t="s">
        <v>87</v>
      </c>
      <c r="CF1769" s="3">
        <v>43075</v>
      </c>
      <c r="CI1769" s="2">
        <v>1</v>
      </c>
      <c r="CJ1769" s="2">
        <v>1</v>
      </c>
      <c r="CK1769" s="2">
        <v>34</v>
      </c>
      <c r="CL1769" s="2" t="s">
        <v>89</v>
      </c>
    </row>
    <row r="1770" spans="1:90">
      <c r="A1770" s="2" t="s">
        <v>71</v>
      </c>
      <c r="B1770" s="2" t="s">
        <v>72</v>
      </c>
      <c r="C1770" s="2" t="s">
        <v>73</v>
      </c>
      <c r="E1770" s="2" t="str">
        <f>"FES1162594858"</f>
        <v>FES1162594858</v>
      </c>
      <c r="F1770" s="3">
        <v>43080</v>
      </c>
      <c r="G1770" s="2">
        <v>201806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121</v>
      </c>
      <c r="M1770" s="2" t="s">
        <v>122</v>
      </c>
      <c r="N1770" s="2" t="s">
        <v>123</v>
      </c>
      <c r="O1770" s="2" t="s">
        <v>339</v>
      </c>
      <c r="P1770" s="2" t="str">
        <f>"2170606750                    "</f>
        <v xml:space="preserve">2170606750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9.0500000000000007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1.8</v>
      </c>
      <c r="BJ1770" s="2">
        <v>2.4</v>
      </c>
      <c r="BK1770" s="2">
        <v>3</v>
      </c>
      <c r="BL1770" s="2">
        <v>64.599999999999994</v>
      </c>
      <c r="BM1770" s="2">
        <v>9.0399999999999991</v>
      </c>
      <c r="BN1770" s="2">
        <v>73.64</v>
      </c>
      <c r="BO1770" s="2">
        <v>73.64</v>
      </c>
      <c r="BQ1770" s="2" t="s">
        <v>82</v>
      </c>
      <c r="BR1770" s="2" t="s">
        <v>83</v>
      </c>
      <c r="BS1770" s="3">
        <v>43081</v>
      </c>
      <c r="BT1770" s="4">
        <v>0.4236111111111111</v>
      </c>
      <c r="BU1770" s="2" t="s">
        <v>2176</v>
      </c>
      <c r="BV1770" s="2" t="s">
        <v>85</v>
      </c>
      <c r="BY1770" s="2">
        <v>11960</v>
      </c>
      <c r="BZ1770" s="2" t="s">
        <v>27</v>
      </c>
      <c r="CC1770" s="2" t="s">
        <v>122</v>
      </c>
      <c r="CD1770" s="2">
        <v>2210</v>
      </c>
      <c r="CE1770" s="2" t="s">
        <v>356</v>
      </c>
      <c r="CF1770" s="3">
        <v>43082</v>
      </c>
      <c r="CI1770" s="2">
        <v>1</v>
      </c>
      <c r="CJ1770" s="2">
        <v>1</v>
      </c>
      <c r="CK1770" s="2">
        <v>34</v>
      </c>
      <c r="CL1770" s="2" t="s">
        <v>89</v>
      </c>
    </row>
    <row r="1771" spans="1:90">
      <c r="A1771" s="2" t="s">
        <v>71</v>
      </c>
      <c r="B1771" s="2" t="s">
        <v>72</v>
      </c>
      <c r="C1771" s="2" t="s">
        <v>73</v>
      </c>
      <c r="E1771" s="2" t="str">
        <f>"FES1162595429"</f>
        <v>FES1162595429</v>
      </c>
      <c r="F1771" s="3">
        <v>43082</v>
      </c>
      <c r="G1771" s="2">
        <v>201806</v>
      </c>
      <c r="H1771" s="2" t="s">
        <v>74</v>
      </c>
      <c r="I1771" s="2" t="s">
        <v>75</v>
      </c>
      <c r="J1771" s="2" t="s">
        <v>97</v>
      </c>
      <c r="K1771" s="2" t="s">
        <v>77</v>
      </c>
      <c r="L1771" s="2" t="s">
        <v>98</v>
      </c>
      <c r="M1771" s="2" t="s">
        <v>99</v>
      </c>
      <c r="N1771" s="2" t="s">
        <v>1680</v>
      </c>
      <c r="O1771" s="2" t="s">
        <v>101</v>
      </c>
      <c r="P1771" s="2" t="str">
        <f>"2170607276                    "</f>
        <v xml:space="preserve">2170607276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6.43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0.8</v>
      </c>
      <c r="BJ1771" s="2">
        <v>1.1000000000000001</v>
      </c>
      <c r="BK1771" s="2">
        <v>1.5</v>
      </c>
      <c r="BL1771" s="2">
        <v>45.93</v>
      </c>
      <c r="BM1771" s="2">
        <v>6.43</v>
      </c>
      <c r="BN1771" s="2">
        <v>52.36</v>
      </c>
      <c r="BO1771" s="2">
        <v>52.36</v>
      </c>
      <c r="BQ1771" s="2" t="s">
        <v>82</v>
      </c>
      <c r="BR1771" s="2" t="s">
        <v>103</v>
      </c>
      <c r="BS1771" s="3">
        <v>43083</v>
      </c>
      <c r="BT1771" s="4">
        <v>0.39583333333333331</v>
      </c>
      <c r="BU1771" s="2" t="s">
        <v>2177</v>
      </c>
      <c r="BV1771" s="2" t="s">
        <v>85</v>
      </c>
      <c r="BY1771" s="2">
        <v>5701.19</v>
      </c>
      <c r="CA1771" s="2" t="s">
        <v>105</v>
      </c>
      <c r="CC1771" s="2" t="s">
        <v>99</v>
      </c>
      <c r="CD1771" s="2">
        <v>3201</v>
      </c>
      <c r="CE1771" s="2" t="s">
        <v>95</v>
      </c>
      <c r="CF1771" s="3">
        <v>43084</v>
      </c>
      <c r="CI1771" s="2">
        <v>1</v>
      </c>
      <c r="CJ1771" s="2">
        <v>1</v>
      </c>
      <c r="CK1771" s="2">
        <v>21</v>
      </c>
      <c r="CL1771" s="2" t="s">
        <v>89</v>
      </c>
    </row>
    <row r="1772" spans="1:90">
      <c r="A1772" s="2" t="s">
        <v>71</v>
      </c>
      <c r="B1772" s="2" t="s">
        <v>72</v>
      </c>
      <c r="C1772" s="2" t="s">
        <v>73</v>
      </c>
      <c r="E1772" s="2" t="str">
        <f>"FES1162594598"</f>
        <v>FES1162594598</v>
      </c>
      <c r="F1772" s="3">
        <v>43082</v>
      </c>
      <c r="G1772" s="2">
        <v>201806</v>
      </c>
      <c r="H1772" s="2" t="s">
        <v>74</v>
      </c>
      <c r="I1772" s="2" t="s">
        <v>75</v>
      </c>
      <c r="J1772" s="2" t="s">
        <v>97</v>
      </c>
      <c r="K1772" s="2" t="s">
        <v>77</v>
      </c>
      <c r="L1772" s="2" t="s">
        <v>125</v>
      </c>
      <c r="M1772" s="2" t="s">
        <v>126</v>
      </c>
      <c r="N1772" s="2" t="s">
        <v>2178</v>
      </c>
      <c r="O1772" s="2" t="s">
        <v>101</v>
      </c>
      <c r="P1772" s="2" t="str">
        <f>"2170605612                    "</f>
        <v xml:space="preserve">2170605612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6.43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2</v>
      </c>
      <c r="BJ1772" s="2">
        <v>0.2</v>
      </c>
      <c r="BK1772" s="2">
        <v>2</v>
      </c>
      <c r="BL1772" s="2">
        <v>45.93</v>
      </c>
      <c r="BM1772" s="2">
        <v>6.43</v>
      </c>
      <c r="BN1772" s="2">
        <v>52.36</v>
      </c>
      <c r="BO1772" s="2">
        <v>52.36</v>
      </c>
      <c r="BQ1772" s="2" t="s">
        <v>82</v>
      </c>
      <c r="BR1772" s="2" t="s">
        <v>103</v>
      </c>
      <c r="BS1772" s="2" t="s">
        <v>185</v>
      </c>
      <c r="BY1772" s="2">
        <v>1200</v>
      </c>
      <c r="CC1772" s="2" t="s">
        <v>126</v>
      </c>
      <c r="CD1772" s="2">
        <v>4052</v>
      </c>
      <c r="CE1772" s="2" t="s">
        <v>120</v>
      </c>
      <c r="CI1772" s="2">
        <v>1</v>
      </c>
      <c r="CJ1772" s="2" t="s">
        <v>185</v>
      </c>
      <c r="CK1772" s="2">
        <v>21</v>
      </c>
      <c r="CL1772" s="2" t="s">
        <v>89</v>
      </c>
    </row>
    <row r="1773" spans="1:90">
      <c r="A1773" s="2" t="s">
        <v>71</v>
      </c>
      <c r="B1773" s="2" t="s">
        <v>72</v>
      </c>
      <c r="C1773" s="2" t="s">
        <v>73</v>
      </c>
      <c r="E1773" s="2" t="str">
        <f>"FES1162595418"</f>
        <v>FES1162595418</v>
      </c>
      <c r="F1773" s="3">
        <v>43082</v>
      </c>
      <c r="G1773" s="2">
        <v>201806</v>
      </c>
      <c r="H1773" s="2" t="s">
        <v>74</v>
      </c>
      <c r="I1773" s="2" t="s">
        <v>75</v>
      </c>
      <c r="J1773" s="2" t="s">
        <v>97</v>
      </c>
      <c r="K1773" s="2" t="s">
        <v>77</v>
      </c>
      <c r="L1773" s="2" t="s">
        <v>1278</v>
      </c>
      <c r="M1773" s="2" t="s">
        <v>1279</v>
      </c>
      <c r="N1773" s="2" t="s">
        <v>1280</v>
      </c>
      <c r="O1773" s="2" t="s">
        <v>101</v>
      </c>
      <c r="P1773" s="2" t="str">
        <f>"2170607257                    "</f>
        <v xml:space="preserve">2170607257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9.0500000000000007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64.599999999999994</v>
      </c>
      <c r="BM1773" s="2">
        <v>9.0399999999999991</v>
      </c>
      <c r="BN1773" s="2">
        <v>73.64</v>
      </c>
      <c r="BO1773" s="2">
        <v>73.64</v>
      </c>
      <c r="BQ1773" s="2" t="s">
        <v>82</v>
      </c>
      <c r="BR1773" s="2" t="s">
        <v>103</v>
      </c>
      <c r="BS1773" s="3">
        <v>43084</v>
      </c>
      <c r="BT1773" s="4">
        <v>0.3125</v>
      </c>
      <c r="BU1773" s="2" t="s">
        <v>2179</v>
      </c>
      <c r="BV1773" s="2" t="s">
        <v>89</v>
      </c>
      <c r="BW1773" s="2" t="s">
        <v>149</v>
      </c>
      <c r="BX1773" s="2" t="s">
        <v>513</v>
      </c>
      <c r="BY1773" s="2">
        <v>1200</v>
      </c>
      <c r="CA1773" s="2" t="s">
        <v>2180</v>
      </c>
      <c r="CC1773" s="2" t="s">
        <v>1279</v>
      </c>
      <c r="CD1773" s="2">
        <v>2410</v>
      </c>
      <c r="CE1773" s="2" t="s">
        <v>120</v>
      </c>
      <c r="CF1773" s="3">
        <v>43088</v>
      </c>
      <c r="CI1773" s="2">
        <v>1</v>
      </c>
      <c r="CJ1773" s="2">
        <v>2</v>
      </c>
      <c r="CK1773" s="2">
        <v>24</v>
      </c>
      <c r="CL1773" s="2" t="s">
        <v>89</v>
      </c>
    </row>
    <row r="1774" spans="1:90">
      <c r="A1774" s="2" t="s">
        <v>71</v>
      </c>
      <c r="B1774" s="2" t="s">
        <v>72</v>
      </c>
      <c r="C1774" s="2" t="s">
        <v>73</v>
      </c>
      <c r="E1774" s="2" t="str">
        <f>"FES1162594605"</f>
        <v>FES1162594605</v>
      </c>
      <c r="F1774" s="3">
        <v>43082</v>
      </c>
      <c r="G1774" s="2">
        <v>201806</v>
      </c>
      <c r="H1774" s="2" t="s">
        <v>74</v>
      </c>
      <c r="I1774" s="2" t="s">
        <v>75</v>
      </c>
      <c r="J1774" s="2" t="s">
        <v>97</v>
      </c>
      <c r="K1774" s="2" t="s">
        <v>77</v>
      </c>
      <c r="L1774" s="2" t="s">
        <v>490</v>
      </c>
      <c r="M1774" s="2" t="s">
        <v>491</v>
      </c>
      <c r="N1774" s="2" t="s">
        <v>492</v>
      </c>
      <c r="O1774" s="2" t="s">
        <v>101</v>
      </c>
      <c r="P1774" s="2" t="str">
        <f>"2170605807                    "</f>
        <v xml:space="preserve">2170605807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6.43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45.93</v>
      </c>
      <c r="BM1774" s="2">
        <v>6.43</v>
      </c>
      <c r="BN1774" s="2">
        <v>52.36</v>
      </c>
      <c r="BO1774" s="2">
        <v>52.36</v>
      </c>
      <c r="BQ1774" s="2" t="s">
        <v>82</v>
      </c>
      <c r="BR1774" s="2" t="s">
        <v>103</v>
      </c>
      <c r="BS1774" s="3">
        <v>43083</v>
      </c>
      <c r="BT1774" s="4">
        <v>0.4375</v>
      </c>
      <c r="BU1774" s="2" t="s">
        <v>1309</v>
      </c>
      <c r="BV1774" s="2" t="s">
        <v>85</v>
      </c>
      <c r="BY1774" s="2">
        <v>1200</v>
      </c>
      <c r="CA1774" s="2" t="s">
        <v>494</v>
      </c>
      <c r="CC1774" s="2" t="s">
        <v>491</v>
      </c>
      <c r="CD1774" s="2">
        <v>3699</v>
      </c>
      <c r="CE1774" s="2" t="s">
        <v>120</v>
      </c>
      <c r="CF1774" s="3">
        <v>43084</v>
      </c>
      <c r="CI1774" s="2">
        <v>1</v>
      </c>
      <c r="CJ1774" s="2">
        <v>1</v>
      </c>
      <c r="CK1774" s="2">
        <v>21</v>
      </c>
      <c r="CL1774" s="2" t="s">
        <v>89</v>
      </c>
    </row>
    <row r="1775" spans="1:90">
      <c r="A1775" s="2" t="s">
        <v>71</v>
      </c>
      <c r="B1775" s="2" t="s">
        <v>72</v>
      </c>
      <c r="C1775" s="2" t="s">
        <v>73</v>
      </c>
      <c r="E1775" s="2" t="str">
        <f>"FES1162595279"</f>
        <v>FES1162595279</v>
      </c>
      <c r="F1775" s="3">
        <v>43082</v>
      </c>
      <c r="G1775" s="2">
        <v>201806</v>
      </c>
      <c r="H1775" s="2" t="s">
        <v>74</v>
      </c>
      <c r="I1775" s="2" t="s">
        <v>75</v>
      </c>
      <c r="J1775" s="2" t="s">
        <v>97</v>
      </c>
      <c r="K1775" s="2" t="s">
        <v>77</v>
      </c>
      <c r="L1775" s="2" t="s">
        <v>125</v>
      </c>
      <c r="M1775" s="2" t="s">
        <v>126</v>
      </c>
      <c r="N1775" s="2" t="s">
        <v>2181</v>
      </c>
      <c r="O1775" s="2" t="s">
        <v>101</v>
      </c>
      <c r="P1775" s="2" t="str">
        <f>"2170606666                    "</f>
        <v xml:space="preserve">2170606666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6.43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1</v>
      </c>
      <c r="BJ1775" s="2">
        <v>0.2</v>
      </c>
      <c r="BK1775" s="2">
        <v>1</v>
      </c>
      <c r="BL1775" s="2">
        <v>45.93</v>
      </c>
      <c r="BM1775" s="2">
        <v>6.43</v>
      </c>
      <c r="BN1775" s="2">
        <v>52.36</v>
      </c>
      <c r="BO1775" s="2">
        <v>52.36</v>
      </c>
      <c r="BQ1775" s="2" t="s">
        <v>102</v>
      </c>
      <c r="BR1775" s="2" t="s">
        <v>103</v>
      </c>
      <c r="BS1775" s="3">
        <v>43083</v>
      </c>
      <c r="BT1775" s="4">
        <v>0.4375</v>
      </c>
      <c r="BU1775" s="2" t="s">
        <v>2182</v>
      </c>
      <c r="BV1775" s="2" t="s">
        <v>85</v>
      </c>
      <c r="BY1775" s="2">
        <v>1200</v>
      </c>
      <c r="CA1775" s="2" t="s">
        <v>130</v>
      </c>
      <c r="CC1775" s="2" t="s">
        <v>126</v>
      </c>
      <c r="CD1775" s="2">
        <v>4052</v>
      </c>
      <c r="CE1775" s="2" t="s">
        <v>120</v>
      </c>
      <c r="CF1775" s="3">
        <v>43084</v>
      </c>
      <c r="CI1775" s="2">
        <v>1</v>
      </c>
      <c r="CJ1775" s="2">
        <v>1</v>
      </c>
      <c r="CK1775" s="2">
        <v>21</v>
      </c>
      <c r="CL1775" s="2" t="s">
        <v>89</v>
      </c>
    </row>
    <row r="1776" spans="1:90">
      <c r="A1776" s="2" t="s">
        <v>71</v>
      </c>
      <c r="B1776" s="2" t="s">
        <v>72</v>
      </c>
      <c r="C1776" s="2" t="s">
        <v>73</v>
      </c>
      <c r="E1776" s="2" t="str">
        <f>"FES1162595133"</f>
        <v>FES1162595133</v>
      </c>
      <c r="F1776" s="3">
        <v>43082</v>
      </c>
      <c r="G1776" s="2">
        <v>201806</v>
      </c>
      <c r="H1776" s="2" t="s">
        <v>74</v>
      </c>
      <c r="I1776" s="2" t="s">
        <v>75</v>
      </c>
      <c r="J1776" s="2" t="s">
        <v>97</v>
      </c>
      <c r="K1776" s="2" t="s">
        <v>77</v>
      </c>
      <c r="L1776" s="2" t="s">
        <v>850</v>
      </c>
      <c r="M1776" s="2" t="s">
        <v>851</v>
      </c>
      <c r="N1776" s="2" t="s">
        <v>1055</v>
      </c>
      <c r="O1776" s="2" t="s">
        <v>101</v>
      </c>
      <c r="P1776" s="2" t="str">
        <f>"2170607038                    "</f>
        <v xml:space="preserve">2170607038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22.51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7</v>
      </c>
      <c r="BJ1776" s="2">
        <v>5.2</v>
      </c>
      <c r="BK1776" s="2">
        <v>7</v>
      </c>
      <c r="BL1776" s="2">
        <v>160.71</v>
      </c>
      <c r="BM1776" s="2">
        <v>22.5</v>
      </c>
      <c r="BN1776" s="2">
        <v>183.21</v>
      </c>
      <c r="BO1776" s="2">
        <v>183.21</v>
      </c>
      <c r="BQ1776" s="2" t="s">
        <v>102</v>
      </c>
      <c r="BR1776" s="2" t="s">
        <v>103</v>
      </c>
      <c r="BS1776" s="3">
        <v>43083</v>
      </c>
      <c r="BT1776" s="4">
        <v>0.45833333333333331</v>
      </c>
      <c r="BU1776" s="2" t="s">
        <v>1056</v>
      </c>
      <c r="BV1776" s="2" t="s">
        <v>85</v>
      </c>
      <c r="BY1776" s="2">
        <v>26011</v>
      </c>
      <c r="CA1776" s="2" t="s">
        <v>854</v>
      </c>
      <c r="CC1776" s="2" t="s">
        <v>851</v>
      </c>
      <c r="CD1776" s="2">
        <v>3290</v>
      </c>
      <c r="CE1776" s="2" t="s">
        <v>95</v>
      </c>
      <c r="CF1776" s="3">
        <v>43088</v>
      </c>
      <c r="CI1776" s="2">
        <v>1</v>
      </c>
      <c r="CJ1776" s="2">
        <v>1</v>
      </c>
      <c r="CK1776" s="2">
        <v>21</v>
      </c>
      <c r="CL1776" s="2" t="s">
        <v>89</v>
      </c>
    </row>
    <row r="1777" spans="1:90">
      <c r="A1777" s="2" t="s">
        <v>71</v>
      </c>
      <c r="B1777" s="2" t="s">
        <v>72</v>
      </c>
      <c r="C1777" s="2" t="s">
        <v>73</v>
      </c>
      <c r="E1777" s="2" t="str">
        <f>"FES1162594960"</f>
        <v>FES1162594960</v>
      </c>
      <c r="F1777" s="3">
        <v>43082</v>
      </c>
      <c r="G1777" s="2">
        <v>201806</v>
      </c>
      <c r="H1777" s="2" t="s">
        <v>74</v>
      </c>
      <c r="I1777" s="2" t="s">
        <v>75</v>
      </c>
      <c r="J1777" s="2" t="s">
        <v>97</v>
      </c>
      <c r="K1777" s="2" t="s">
        <v>77</v>
      </c>
      <c r="L1777" s="2" t="s">
        <v>221</v>
      </c>
      <c r="M1777" s="2" t="s">
        <v>222</v>
      </c>
      <c r="N1777" s="2" t="s">
        <v>164</v>
      </c>
      <c r="O1777" s="2" t="s">
        <v>101</v>
      </c>
      <c r="P1777" s="2" t="str">
        <f>"2170605659                    "</f>
        <v xml:space="preserve">2170605659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6.43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45.93</v>
      </c>
      <c r="BM1777" s="2">
        <v>6.43</v>
      </c>
      <c r="BN1777" s="2">
        <v>52.36</v>
      </c>
      <c r="BO1777" s="2">
        <v>52.36</v>
      </c>
      <c r="BQ1777" s="2" t="s">
        <v>102</v>
      </c>
      <c r="BR1777" s="2" t="s">
        <v>103</v>
      </c>
      <c r="BS1777" s="3">
        <v>43083</v>
      </c>
      <c r="BT1777" s="4">
        <v>0.4375</v>
      </c>
      <c r="BU1777" s="2" t="s">
        <v>2082</v>
      </c>
      <c r="BV1777" s="2" t="s">
        <v>85</v>
      </c>
      <c r="BY1777" s="2">
        <v>1200</v>
      </c>
      <c r="CA1777" s="2" t="s">
        <v>225</v>
      </c>
      <c r="CC1777" s="2" t="s">
        <v>222</v>
      </c>
      <c r="CD1777" s="2">
        <v>4133</v>
      </c>
      <c r="CE1777" s="2" t="s">
        <v>120</v>
      </c>
      <c r="CF1777" s="3">
        <v>43084</v>
      </c>
      <c r="CI1777" s="2">
        <v>1</v>
      </c>
      <c r="CJ1777" s="2">
        <v>1</v>
      </c>
      <c r="CK1777" s="2">
        <v>21</v>
      </c>
      <c r="CL1777" s="2" t="s">
        <v>89</v>
      </c>
    </row>
    <row r="1778" spans="1:90">
      <c r="A1778" s="2" t="s">
        <v>71</v>
      </c>
      <c r="B1778" s="2" t="s">
        <v>72</v>
      </c>
      <c r="C1778" s="2" t="s">
        <v>73</v>
      </c>
      <c r="E1778" s="2" t="str">
        <f>"FES1162595119"</f>
        <v>FES1162595119</v>
      </c>
      <c r="F1778" s="3">
        <v>43082</v>
      </c>
      <c r="G1778" s="2">
        <v>201806</v>
      </c>
      <c r="H1778" s="2" t="s">
        <v>74</v>
      </c>
      <c r="I1778" s="2" t="s">
        <v>75</v>
      </c>
      <c r="J1778" s="2" t="s">
        <v>97</v>
      </c>
      <c r="K1778" s="2" t="s">
        <v>77</v>
      </c>
      <c r="L1778" s="2" t="s">
        <v>125</v>
      </c>
      <c r="M1778" s="2" t="s">
        <v>126</v>
      </c>
      <c r="N1778" s="2" t="s">
        <v>2077</v>
      </c>
      <c r="O1778" s="2" t="s">
        <v>101</v>
      </c>
      <c r="P1778" s="2" t="str">
        <f>"2170607020                    "</f>
        <v xml:space="preserve">2170607020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6.43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45.93</v>
      </c>
      <c r="BM1778" s="2">
        <v>6.43</v>
      </c>
      <c r="BN1778" s="2">
        <v>52.36</v>
      </c>
      <c r="BO1778" s="2">
        <v>52.36</v>
      </c>
      <c r="BQ1778" s="2" t="s">
        <v>82</v>
      </c>
      <c r="BR1778" s="2" t="s">
        <v>103</v>
      </c>
      <c r="BS1778" s="3">
        <v>43083</v>
      </c>
      <c r="BT1778" s="4">
        <v>0.37291666666666662</v>
      </c>
      <c r="BU1778" s="2" t="s">
        <v>2183</v>
      </c>
      <c r="BV1778" s="2" t="s">
        <v>85</v>
      </c>
      <c r="BY1778" s="2">
        <v>1200</v>
      </c>
      <c r="CA1778" s="2" t="s">
        <v>135</v>
      </c>
      <c r="CC1778" s="2" t="s">
        <v>126</v>
      </c>
      <c r="CD1778" s="2">
        <v>4068</v>
      </c>
      <c r="CE1778" s="2" t="s">
        <v>120</v>
      </c>
      <c r="CF1778" s="3">
        <v>43084</v>
      </c>
      <c r="CI1778" s="2">
        <v>1</v>
      </c>
      <c r="CJ1778" s="2">
        <v>1</v>
      </c>
      <c r="CK1778" s="2">
        <v>21</v>
      </c>
      <c r="CL1778" s="2" t="s">
        <v>89</v>
      </c>
    </row>
    <row r="1779" spans="1:90">
      <c r="A1779" s="2" t="s">
        <v>71</v>
      </c>
      <c r="B1779" s="2" t="s">
        <v>72</v>
      </c>
      <c r="C1779" s="2" t="s">
        <v>73</v>
      </c>
      <c r="E1779" s="2" t="str">
        <f>"FES1162594686"</f>
        <v>FES1162594686</v>
      </c>
      <c r="F1779" s="3">
        <v>43082</v>
      </c>
      <c r="G1779" s="2">
        <v>201806</v>
      </c>
      <c r="H1779" s="2" t="s">
        <v>74</v>
      </c>
      <c r="I1779" s="2" t="s">
        <v>75</v>
      </c>
      <c r="J1779" s="2" t="s">
        <v>97</v>
      </c>
      <c r="K1779" s="2" t="s">
        <v>77</v>
      </c>
      <c r="L1779" s="2" t="s">
        <v>221</v>
      </c>
      <c r="M1779" s="2" t="s">
        <v>222</v>
      </c>
      <c r="N1779" s="2" t="s">
        <v>2184</v>
      </c>
      <c r="O1779" s="2" t="s">
        <v>101</v>
      </c>
      <c r="P1779" s="2" t="str">
        <f>"2170606553                    "</f>
        <v xml:space="preserve">2170606553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33.770000000000003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10.199999999999999</v>
      </c>
      <c r="BJ1779" s="2">
        <v>2.8</v>
      </c>
      <c r="BK1779" s="2">
        <v>10.5</v>
      </c>
      <c r="BL1779" s="2">
        <v>241.06</v>
      </c>
      <c r="BM1779" s="2">
        <v>33.75</v>
      </c>
      <c r="BN1779" s="2">
        <v>274.81</v>
      </c>
      <c r="BO1779" s="2">
        <v>274.81</v>
      </c>
      <c r="BQ1779" s="2" t="s">
        <v>82</v>
      </c>
      <c r="BR1779" s="2" t="s">
        <v>103</v>
      </c>
      <c r="BS1779" s="3">
        <v>43083</v>
      </c>
      <c r="BT1779" s="4">
        <v>0.38055555555555554</v>
      </c>
      <c r="BU1779" s="2" t="s">
        <v>2185</v>
      </c>
      <c r="BV1779" s="2" t="s">
        <v>85</v>
      </c>
      <c r="BY1779" s="2">
        <v>14056.6</v>
      </c>
      <c r="CA1779" s="2" t="s">
        <v>225</v>
      </c>
      <c r="CC1779" s="2" t="s">
        <v>222</v>
      </c>
      <c r="CD1779" s="2">
        <v>4113</v>
      </c>
      <c r="CE1779" s="2" t="s">
        <v>95</v>
      </c>
      <c r="CF1779" s="3">
        <v>43084</v>
      </c>
      <c r="CI1779" s="2">
        <v>1</v>
      </c>
      <c r="CJ1779" s="2">
        <v>1</v>
      </c>
      <c r="CK1779" s="2">
        <v>21</v>
      </c>
      <c r="CL1779" s="2" t="s">
        <v>89</v>
      </c>
    </row>
    <row r="1780" spans="1:90">
      <c r="A1780" s="2" t="s">
        <v>71</v>
      </c>
      <c r="B1780" s="2" t="s">
        <v>72</v>
      </c>
      <c r="C1780" s="2" t="s">
        <v>73</v>
      </c>
      <c r="E1780" s="2" t="str">
        <f>"FES1162595513"</f>
        <v>FES1162595513</v>
      </c>
      <c r="F1780" s="3">
        <v>43082</v>
      </c>
      <c r="G1780" s="2">
        <v>201806</v>
      </c>
      <c r="H1780" s="2" t="s">
        <v>74</v>
      </c>
      <c r="I1780" s="2" t="s">
        <v>75</v>
      </c>
      <c r="J1780" s="2" t="s">
        <v>97</v>
      </c>
      <c r="K1780" s="2" t="s">
        <v>77</v>
      </c>
      <c r="L1780" s="2" t="s">
        <v>850</v>
      </c>
      <c r="M1780" s="2" t="s">
        <v>851</v>
      </c>
      <c r="N1780" s="2" t="s">
        <v>1055</v>
      </c>
      <c r="O1780" s="2" t="s">
        <v>101</v>
      </c>
      <c r="P1780" s="2" t="str">
        <f>"2170607371                    "</f>
        <v xml:space="preserve">2170607371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6.43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</v>
      </c>
      <c r="BJ1780" s="2">
        <v>0.2</v>
      </c>
      <c r="BK1780" s="2">
        <v>1</v>
      </c>
      <c r="BL1780" s="2">
        <v>45.93</v>
      </c>
      <c r="BM1780" s="2">
        <v>6.43</v>
      </c>
      <c r="BN1780" s="2">
        <v>52.36</v>
      </c>
      <c r="BO1780" s="2">
        <v>52.36</v>
      </c>
      <c r="BQ1780" s="2" t="s">
        <v>102</v>
      </c>
      <c r="BR1780" s="2" t="s">
        <v>103</v>
      </c>
      <c r="BS1780" s="3">
        <v>43083</v>
      </c>
      <c r="BT1780" s="4">
        <v>0.41666666666666669</v>
      </c>
      <c r="BU1780" s="2" t="s">
        <v>1056</v>
      </c>
      <c r="BV1780" s="2" t="s">
        <v>85</v>
      </c>
      <c r="BY1780" s="2">
        <v>1200</v>
      </c>
      <c r="CA1780" s="2" t="s">
        <v>854</v>
      </c>
      <c r="CC1780" s="2" t="s">
        <v>851</v>
      </c>
      <c r="CD1780" s="2">
        <v>3290</v>
      </c>
      <c r="CE1780" s="2" t="s">
        <v>120</v>
      </c>
      <c r="CF1780" s="3">
        <v>43088</v>
      </c>
      <c r="CI1780" s="2">
        <v>1</v>
      </c>
      <c r="CJ1780" s="2">
        <v>1</v>
      </c>
      <c r="CK1780" s="2">
        <v>21</v>
      </c>
      <c r="CL1780" s="2" t="s">
        <v>89</v>
      </c>
    </row>
    <row r="1781" spans="1:90">
      <c r="A1781" s="2" t="s">
        <v>71</v>
      </c>
      <c r="B1781" s="2" t="s">
        <v>72</v>
      </c>
      <c r="C1781" s="2" t="s">
        <v>73</v>
      </c>
      <c r="E1781" s="2" t="str">
        <f>"FES1162594692"</f>
        <v>FES1162594692</v>
      </c>
      <c r="F1781" s="3">
        <v>43082</v>
      </c>
      <c r="G1781" s="2">
        <v>201806</v>
      </c>
      <c r="H1781" s="2" t="s">
        <v>74</v>
      </c>
      <c r="I1781" s="2" t="s">
        <v>75</v>
      </c>
      <c r="J1781" s="2" t="s">
        <v>97</v>
      </c>
      <c r="K1781" s="2" t="s">
        <v>77</v>
      </c>
      <c r="L1781" s="2" t="s">
        <v>131</v>
      </c>
      <c r="M1781" s="2" t="s">
        <v>132</v>
      </c>
      <c r="N1781" s="2" t="s">
        <v>1432</v>
      </c>
      <c r="O1781" s="2" t="s">
        <v>101</v>
      </c>
      <c r="P1781" s="2" t="str">
        <f>"2170606560                    "</f>
        <v xml:space="preserve">2170606560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8.0399999999999991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2.2999999999999998</v>
      </c>
      <c r="BJ1781" s="2">
        <v>1.5</v>
      </c>
      <c r="BK1781" s="2">
        <v>2.5</v>
      </c>
      <c r="BL1781" s="2">
        <v>57.41</v>
      </c>
      <c r="BM1781" s="2">
        <v>8.0399999999999991</v>
      </c>
      <c r="BN1781" s="2">
        <v>65.45</v>
      </c>
      <c r="BO1781" s="2">
        <v>65.45</v>
      </c>
      <c r="BQ1781" s="2" t="s">
        <v>82</v>
      </c>
      <c r="BR1781" s="2" t="s">
        <v>103</v>
      </c>
      <c r="BS1781" s="3">
        <v>43083</v>
      </c>
      <c r="BT1781" s="4">
        <v>0.44305555555555554</v>
      </c>
      <c r="BU1781" s="2" t="s">
        <v>2186</v>
      </c>
      <c r="BV1781" s="2" t="s">
        <v>85</v>
      </c>
      <c r="BY1781" s="2">
        <v>7325.86</v>
      </c>
      <c r="CA1781" s="2" t="s">
        <v>135</v>
      </c>
      <c r="CC1781" s="2" t="s">
        <v>132</v>
      </c>
      <c r="CD1781" s="2">
        <v>4300</v>
      </c>
      <c r="CE1781" s="2" t="s">
        <v>95</v>
      </c>
      <c r="CF1781" s="3">
        <v>43084</v>
      </c>
      <c r="CI1781" s="2">
        <v>1</v>
      </c>
      <c r="CJ1781" s="2">
        <v>1</v>
      </c>
      <c r="CK1781" s="2">
        <v>21</v>
      </c>
      <c r="CL1781" s="2" t="s">
        <v>89</v>
      </c>
    </row>
    <row r="1782" spans="1:90">
      <c r="A1782" s="2" t="s">
        <v>71</v>
      </c>
      <c r="B1782" s="2" t="s">
        <v>72</v>
      </c>
      <c r="C1782" s="2" t="s">
        <v>73</v>
      </c>
      <c r="E1782" s="2" t="str">
        <f>"FES1162595087"</f>
        <v>FES1162595087</v>
      </c>
      <c r="F1782" s="3">
        <v>43082</v>
      </c>
      <c r="G1782" s="2">
        <v>201806</v>
      </c>
      <c r="H1782" s="2" t="s">
        <v>74</v>
      </c>
      <c r="I1782" s="2" t="s">
        <v>75</v>
      </c>
      <c r="J1782" s="2" t="s">
        <v>97</v>
      </c>
      <c r="K1782" s="2" t="s">
        <v>77</v>
      </c>
      <c r="L1782" s="2" t="s">
        <v>98</v>
      </c>
      <c r="M1782" s="2" t="s">
        <v>99</v>
      </c>
      <c r="N1782" s="2" t="s">
        <v>670</v>
      </c>
      <c r="O1782" s="2" t="s">
        <v>101</v>
      </c>
      <c r="P1782" s="2" t="str">
        <f>"2170606996                    "</f>
        <v xml:space="preserve">2170606996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12.87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3.7</v>
      </c>
      <c r="BJ1782" s="2">
        <v>1.7</v>
      </c>
      <c r="BK1782" s="2">
        <v>4</v>
      </c>
      <c r="BL1782" s="2">
        <v>91.85</v>
      </c>
      <c r="BM1782" s="2">
        <v>12.86</v>
      </c>
      <c r="BN1782" s="2">
        <v>104.71</v>
      </c>
      <c r="BO1782" s="2">
        <v>104.71</v>
      </c>
      <c r="BQ1782" s="2" t="s">
        <v>102</v>
      </c>
      <c r="BR1782" s="2" t="s">
        <v>103</v>
      </c>
      <c r="BS1782" s="3">
        <v>43083</v>
      </c>
      <c r="BT1782" s="4">
        <v>0.39583333333333331</v>
      </c>
      <c r="BU1782" s="2" t="s">
        <v>671</v>
      </c>
      <c r="BV1782" s="2" t="s">
        <v>85</v>
      </c>
      <c r="BY1782" s="2">
        <v>8265.0300000000007</v>
      </c>
      <c r="CA1782" s="2" t="s">
        <v>105</v>
      </c>
      <c r="CC1782" s="2" t="s">
        <v>99</v>
      </c>
      <c r="CD1782" s="2">
        <v>3200</v>
      </c>
      <c r="CE1782" s="2" t="s">
        <v>95</v>
      </c>
      <c r="CF1782" s="3">
        <v>43084</v>
      </c>
      <c r="CI1782" s="2">
        <v>1</v>
      </c>
      <c r="CJ1782" s="2">
        <v>1</v>
      </c>
      <c r="CK1782" s="2">
        <v>21</v>
      </c>
      <c r="CL1782" s="2" t="s">
        <v>89</v>
      </c>
    </row>
    <row r="1783" spans="1:90">
      <c r="A1783" s="2" t="s">
        <v>71</v>
      </c>
      <c r="B1783" s="2" t="s">
        <v>72</v>
      </c>
      <c r="C1783" s="2" t="s">
        <v>73</v>
      </c>
      <c r="E1783" s="2" t="str">
        <f>"FES1162594683"</f>
        <v>FES1162594683</v>
      </c>
      <c r="F1783" s="3">
        <v>43082</v>
      </c>
      <c r="G1783" s="2">
        <v>201806</v>
      </c>
      <c r="H1783" s="2" t="s">
        <v>74</v>
      </c>
      <c r="I1783" s="2" t="s">
        <v>75</v>
      </c>
      <c r="J1783" s="2" t="s">
        <v>97</v>
      </c>
      <c r="K1783" s="2" t="s">
        <v>77</v>
      </c>
      <c r="L1783" s="2" t="s">
        <v>221</v>
      </c>
      <c r="M1783" s="2" t="s">
        <v>222</v>
      </c>
      <c r="N1783" s="2" t="s">
        <v>2184</v>
      </c>
      <c r="O1783" s="2" t="s">
        <v>101</v>
      </c>
      <c r="P1783" s="2" t="str">
        <f>"2170606545                    "</f>
        <v xml:space="preserve">2170606545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6.43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</v>
      </c>
      <c r="BJ1783" s="2">
        <v>0.2</v>
      </c>
      <c r="BK1783" s="2">
        <v>1</v>
      </c>
      <c r="BL1783" s="2">
        <v>45.93</v>
      </c>
      <c r="BM1783" s="2">
        <v>6.43</v>
      </c>
      <c r="BN1783" s="2">
        <v>52.36</v>
      </c>
      <c r="BO1783" s="2">
        <v>52.36</v>
      </c>
      <c r="BQ1783" s="2" t="s">
        <v>82</v>
      </c>
      <c r="BR1783" s="2" t="s">
        <v>103</v>
      </c>
      <c r="BS1783" s="3">
        <v>43083</v>
      </c>
      <c r="BT1783" s="4">
        <v>0.38055555555555554</v>
      </c>
      <c r="BU1783" s="2" t="s">
        <v>2185</v>
      </c>
      <c r="BV1783" s="2" t="s">
        <v>85</v>
      </c>
      <c r="BY1783" s="2">
        <v>1200</v>
      </c>
      <c r="CA1783" s="2" t="s">
        <v>225</v>
      </c>
      <c r="CC1783" s="2" t="s">
        <v>222</v>
      </c>
      <c r="CD1783" s="2">
        <v>4113</v>
      </c>
      <c r="CE1783" s="2" t="s">
        <v>120</v>
      </c>
      <c r="CF1783" s="3">
        <v>43084</v>
      </c>
      <c r="CI1783" s="2">
        <v>1</v>
      </c>
      <c r="CJ1783" s="2">
        <v>1</v>
      </c>
      <c r="CK1783" s="2">
        <v>21</v>
      </c>
      <c r="CL1783" s="2" t="s">
        <v>89</v>
      </c>
    </row>
    <row r="1784" spans="1:90">
      <c r="A1784" s="2" t="s">
        <v>71</v>
      </c>
      <c r="B1784" s="2" t="s">
        <v>72</v>
      </c>
      <c r="C1784" s="2" t="s">
        <v>73</v>
      </c>
      <c r="E1784" s="2" t="str">
        <f>"FES1162595481"</f>
        <v>FES1162595481</v>
      </c>
      <c r="F1784" s="3">
        <v>43082</v>
      </c>
      <c r="G1784" s="2">
        <v>201806</v>
      </c>
      <c r="H1784" s="2" t="s">
        <v>74</v>
      </c>
      <c r="I1784" s="2" t="s">
        <v>75</v>
      </c>
      <c r="J1784" s="2" t="s">
        <v>97</v>
      </c>
      <c r="K1784" s="2" t="s">
        <v>77</v>
      </c>
      <c r="L1784" s="2" t="s">
        <v>168</v>
      </c>
      <c r="M1784" s="2" t="s">
        <v>169</v>
      </c>
      <c r="N1784" s="2" t="s">
        <v>1077</v>
      </c>
      <c r="O1784" s="2" t="s">
        <v>101</v>
      </c>
      <c r="P1784" s="2" t="str">
        <f>"2170607350                    "</f>
        <v xml:space="preserve">2170607350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6.43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1</v>
      </c>
      <c r="BJ1784" s="2">
        <v>0.2</v>
      </c>
      <c r="BK1784" s="2">
        <v>1</v>
      </c>
      <c r="BL1784" s="2">
        <v>45.93</v>
      </c>
      <c r="BM1784" s="2">
        <v>6.43</v>
      </c>
      <c r="BN1784" s="2">
        <v>52.36</v>
      </c>
      <c r="BO1784" s="2">
        <v>52.36</v>
      </c>
      <c r="BQ1784" s="2" t="s">
        <v>82</v>
      </c>
      <c r="BR1784" s="2" t="s">
        <v>103</v>
      </c>
      <c r="BS1784" s="3">
        <v>43083</v>
      </c>
      <c r="BT1784" s="4">
        <v>0.43055555555555558</v>
      </c>
      <c r="BU1784" s="2" t="s">
        <v>2187</v>
      </c>
      <c r="BV1784" s="2" t="s">
        <v>85</v>
      </c>
      <c r="BY1784" s="2">
        <v>1200</v>
      </c>
      <c r="CA1784" s="2" t="s">
        <v>220</v>
      </c>
      <c r="CC1784" s="2" t="s">
        <v>169</v>
      </c>
      <c r="CD1784" s="2">
        <v>3610</v>
      </c>
      <c r="CE1784" s="2" t="s">
        <v>120</v>
      </c>
      <c r="CF1784" s="3">
        <v>43084</v>
      </c>
      <c r="CI1784" s="2">
        <v>1</v>
      </c>
      <c r="CJ1784" s="2">
        <v>1</v>
      </c>
      <c r="CK1784" s="2">
        <v>21</v>
      </c>
      <c r="CL1784" s="2" t="s">
        <v>89</v>
      </c>
    </row>
    <row r="1785" spans="1:90">
      <c r="A1785" s="2" t="s">
        <v>71</v>
      </c>
      <c r="B1785" s="2" t="s">
        <v>72</v>
      </c>
      <c r="C1785" s="2" t="s">
        <v>73</v>
      </c>
      <c r="E1785" s="2" t="str">
        <f>"FES1162595313"</f>
        <v>FES1162595313</v>
      </c>
      <c r="F1785" s="3">
        <v>43082</v>
      </c>
      <c r="G1785" s="2">
        <v>201806</v>
      </c>
      <c r="H1785" s="2" t="s">
        <v>74</v>
      </c>
      <c r="I1785" s="2" t="s">
        <v>75</v>
      </c>
      <c r="J1785" s="2" t="s">
        <v>97</v>
      </c>
      <c r="K1785" s="2" t="s">
        <v>77</v>
      </c>
      <c r="L1785" s="2" t="s">
        <v>98</v>
      </c>
      <c r="M1785" s="2" t="s">
        <v>99</v>
      </c>
      <c r="N1785" s="2" t="s">
        <v>820</v>
      </c>
      <c r="O1785" s="2" t="s">
        <v>101</v>
      </c>
      <c r="P1785" s="2" t="str">
        <f>"2170605924                    "</f>
        <v xml:space="preserve">2170605924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6.43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</v>
      </c>
      <c r="BJ1785" s="2">
        <v>0.2</v>
      </c>
      <c r="BK1785" s="2">
        <v>1</v>
      </c>
      <c r="BL1785" s="2">
        <v>45.93</v>
      </c>
      <c r="BM1785" s="2">
        <v>6.43</v>
      </c>
      <c r="BN1785" s="2">
        <v>52.36</v>
      </c>
      <c r="BO1785" s="2">
        <v>52.36</v>
      </c>
      <c r="BQ1785" s="2" t="s">
        <v>82</v>
      </c>
      <c r="BR1785" s="2" t="s">
        <v>103</v>
      </c>
      <c r="BS1785" s="3">
        <v>43083</v>
      </c>
      <c r="BT1785" s="4">
        <v>0.4236111111111111</v>
      </c>
      <c r="BU1785" s="2" t="s">
        <v>822</v>
      </c>
      <c r="BV1785" s="2" t="s">
        <v>85</v>
      </c>
      <c r="BY1785" s="2">
        <v>1200</v>
      </c>
      <c r="CA1785" s="2" t="s">
        <v>497</v>
      </c>
      <c r="CC1785" s="2" t="s">
        <v>99</v>
      </c>
      <c r="CD1785" s="2">
        <v>3200</v>
      </c>
      <c r="CE1785" s="2" t="s">
        <v>120</v>
      </c>
      <c r="CF1785" s="3">
        <v>43084</v>
      </c>
      <c r="CI1785" s="2">
        <v>1</v>
      </c>
      <c r="CJ1785" s="2">
        <v>1</v>
      </c>
      <c r="CK1785" s="2">
        <v>21</v>
      </c>
      <c r="CL1785" s="2" t="s">
        <v>89</v>
      </c>
    </row>
    <row r="1786" spans="1:90">
      <c r="A1786" s="2" t="s">
        <v>71</v>
      </c>
      <c r="B1786" s="2" t="s">
        <v>72</v>
      </c>
      <c r="C1786" s="2" t="s">
        <v>73</v>
      </c>
      <c r="E1786" s="2" t="str">
        <f>"FES1162594639"</f>
        <v>FES1162594639</v>
      </c>
      <c r="F1786" s="3">
        <v>43082</v>
      </c>
      <c r="G1786" s="2">
        <v>201806</v>
      </c>
      <c r="H1786" s="2" t="s">
        <v>74</v>
      </c>
      <c r="I1786" s="2" t="s">
        <v>75</v>
      </c>
      <c r="J1786" s="2" t="s">
        <v>97</v>
      </c>
      <c r="K1786" s="2" t="s">
        <v>77</v>
      </c>
      <c r="L1786" s="2" t="s">
        <v>168</v>
      </c>
      <c r="M1786" s="2" t="s">
        <v>169</v>
      </c>
      <c r="N1786" s="2" t="s">
        <v>351</v>
      </c>
      <c r="O1786" s="2" t="s">
        <v>101</v>
      </c>
      <c r="P1786" s="2" t="str">
        <f>"2170606482                    "</f>
        <v xml:space="preserve">2170606482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12.87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4</v>
      </c>
      <c r="BJ1786" s="2">
        <v>1.4</v>
      </c>
      <c r="BK1786" s="2">
        <v>4</v>
      </c>
      <c r="BL1786" s="2">
        <v>91.85</v>
      </c>
      <c r="BM1786" s="2">
        <v>12.86</v>
      </c>
      <c r="BN1786" s="2">
        <v>104.71</v>
      </c>
      <c r="BO1786" s="2">
        <v>104.71</v>
      </c>
      <c r="BQ1786" s="2" t="s">
        <v>102</v>
      </c>
      <c r="BR1786" s="2" t="s">
        <v>103</v>
      </c>
      <c r="BS1786" s="3">
        <v>43083</v>
      </c>
      <c r="BT1786" s="4">
        <v>0.33749999999999997</v>
      </c>
      <c r="BU1786" s="2" t="s">
        <v>868</v>
      </c>
      <c r="BV1786" s="2" t="s">
        <v>85</v>
      </c>
      <c r="BY1786" s="2">
        <v>6991.42</v>
      </c>
      <c r="CA1786" s="2" t="s">
        <v>220</v>
      </c>
      <c r="CC1786" s="2" t="s">
        <v>169</v>
      </c>
      <c r="CD1786" s="2">
        <v>3610</v>
      </c>
      <c r="CE1786" s="2" t="s">
        <v>95</v>
      </c>
      <c r="CF1786" s="3">
        <v>43084</v>
      </c>
      <c r="CI1786" s="2">
        <v>1</v>
      </c>
      <c r="CJ1786" s="2">
        <v>1</v>
      </c>
      <c r="CK1786" s="2">
        <v>21</v>
      </c>
      <c r="CL1786" s="2" t="s">
        <v>89</v>
      </c>
    </row>
    <row r="1787" spans="1:90">
      <c r="A1787" s="2" t="s">
        <v>71</v>
      </c>
      <c r="B1787" s="2" t="s">
        <v>72</v>
      </c>
      <c r="C1787" s="2" t="s">
        <v>73</v>
      </c>
      <c r="E1787" s="2" t="str">
        <f>"FES1162595521"</f>
        <v>FES1162595521</v>
      </c>
      <c r="F1787" s="3">
        <v>43082</v>
      </c>
      <c r="G1787" s="2">
        <v>201806</v>
      </c>
      <c r="H1787" s="2" t="s">
        <v>74</v>
      </c>
      <c r="I1787" s="2" t="s">
        <v>75</v>
      </c>
      <c r="J1787" s="2" t="s">
        <v>97</v>
      </c>
      <c r="K1787" s="2" t="s">
        <v>77</v>
      </c>
      <c r="L1787" s="2" t="s">
        <v>759</v>
      </c>
      <c r="M1787" s="2" t="s">
        <v>760</v>
      </c>
      <c r="N1787" s="2" t="s">
        <v>2070</v>
      </c>
      <c r="O1787" s="2" t="s">
        <v>101</v>
      </c>
      <c r="P1787" s="2" t="str">
        <f>"2170607087                    "</f>
        <v xml:space="preserve">2170607087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6.43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1</v>
      </c>
      <c r="BJ1787" s="2">
        <v>0.2</v>
      </c>
      <c r="BK1787" s="2">
        <v>1</v>
      </c>
      <c r="BL1787" s="2">
        <v>45.93</v>
      </c>
      <c r="BM1787" s="2">
        <v>6.43</v>
      </c>
      <c r="BN1787" s="2">
        <v>52.36</v>
      </c>
      <c r="BO1787" s="2">
        <v>52.36</v>
      </c>
      <c r="BQ1787" s="2" t="s">
        <v>82</v>
      </c>
      <c r="BR1787" s="2" t="s">
        <v>103</v>
      </c>
      <c r="BS1787" s="3">
        <v>43083</v>
      </c>
      <c r="BT1787" s="4">
        <v>0.37916666666666665</v>
      </c>
      <c r="BU1787" s="2" t="s">
        <v>2188</v>
      </c>
      <c r="BV1787" s="2" t="s">
        <v>85</v>
      </c>
      <c r="BY1787" s="2">
        <v>1200</v>
      </c>
      <c r="CA1787" s="2" t="s">
        <v>578</v>
      </c>
      <c r="CC1787" s="2" t="s">
        <v>760</v>
      </c>
      <c r="CD1787" s="2">
        <v>4026</v>
      </c>
      <c r="CE1787" s="2" t="s">
        <v>120</v>
      </c>
      <c r="CF1787" s="3">
        <v>43084</v>
      </c>
      <c r="CI1787" s="2">
        <v>1</v>
      </c>
      <c r="CJ1787" s="2">
        <v>1</v>
      </c>
      <c r="CK1787" s="2">
        <v>21</v>
      </c>
      <c r="CL1787" s="2" t="s">
        <v>89</v>
      </c>
    </row>
    <row r="1788" spans="1:90">
      <c r="A1788" s="2" t="s">
        <v>71</v>
      </c>
      <c r="B1788" s="2" t="s">
        <v>72</v>
      </c>
      <c r="C1788" s="2" t="s">
        <v>73</v>
      </c>
      <c r="E1788" s="2" t="str">
        <f>"FES1162595063"</f>
        <v>FES1162595063</v>
      </c>
      <c r="F1788" s="3">
        <v>43082</v>
      </c>
      <c r="G1788" s="2">
        <v>201806</v>
      </c>
      <c r="H1788" s="2" t="s">
        <v>74</v>
      </c>
      <c r="I1788" s="2" t="s">
        <v>75</v>
      </c>
      <c r="J1788" s="2" t="s">
        <v>97</v>
      </c>
      <c r="K1788" s="2" t="s">
        <v>77</v>
      </c>
      <c r="L1788" s="2" t="s">
        <v>125</v>
      </c>
      <c r="M1788" s="2" t="s">
        <v>126</v>
      </c>
      <c r="N1788" s="2" t="s">
        <v>357</v>
      </c>
      <c r="O1788" s="2" t="s">
        <v>101</v>
      </c>
      <c r="P1788" s="2" t="str">
        <f>"2170606988                    "</f>
        <v xml:space="preserve">2170606988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6.43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45.93</v>
      </c>
      <c r="BM1788" s="2">
        <v>6.43</v>
      </c>
      <c r="BN1788" s="2">
        <v>52.36</v>
      </c>
      <c r="BO1788" s="2">
        <v>52.36</v>
      </c>
      <c r="BQ1788" s="2" t="s">
        <v>82</v>
      </c>
      <c r="BR1788" s="2" t="s">
        <v>103</v>
      </c>
      <c r="BS1788" s="3">
        <v>43083</v>
      </c>
      <c r="BT1788" s="4">
        <v>0.38472222222222219</v>
      </c>
      <c r="BU1788" s="2" t="s">
        <v>2189</v>
      </c>
      <c r="BV1788" s="2" t="s">
        <v>85</v>
      </c>
      <c r="BY1788" s="2">
        <v>1200</v>
      </c>
      <c r="CA1788" s="2" t="s">
        <v>1313</v>
      </c>
      <c r="CC1788" s="2" t="s">
        <v>126</v>
      </c>
      <c r="CD1788" s="2">
        <v>4052</v>
      </c>
      <c r="CE1788" s="2" t="s">
        <v>120</v>
      </c>
      <c r="CF1788" s="3">
        <v>43084</v>
      </c>
      <c r="CI1788" s="2">
        <v>1</v>
      </c>
      <c r="CJ1788" s="2">
        <v>1</v>
      </c>
      <c r="CK1788" s="2">
        <v>21</v>
      </c>
      <c r="CL1788" s="2" t="s">
        <v>89</v>
      </c>
    </row>
    <row r="1789" spans="1:90">
      <c r="A1789" s="2" t="s">
        <v>71</v>
      </c>
      <c r="B1789" s="2" t="s">
        <v>72</v>
      </c>
      <c r="C1789" s="2" t="s">
        <v>73</v>
      </c>
      <c r="E1789" s="2" t="str">
        <f>"FES1162594702"</f>
        <v>FES1162594702</v>
      </c>
      <c r="F1789" s="3">
        <v>43082</v>
      </c>
      <c r="G1789" s="2">
        <v>201806</v>
      </c>
      <c r="H1789" s="2" t="s">
        <v>74</v>
      </c>
      <c r="I1789" s="2" t="s">
        <v>75</v>
      </c>
      <c r="J1789" s="2" t="s">
        <v>97</v>
      </c>
      <c r="K1789" s="2" t="s">
        <v>77</v>
      </c>
      <c r="L1789" s="2" t="s">
        <v>131</v>
      </c>
      <c r="M1789" s="2" t="s">
        <v>132</v>
      </c>
      <c r="N1789" s="2" t="s">
        <v>228</v>
      </c>
      <c r="O1789" s="2" t="s">
        <v>101</v>
      </c>
      <c r="P1789" s="2" t="str">
        <f>"2170606572                    "</f>
        <v xml:space="preserve">2170606572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6.43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0.5</v>
      </c>
      <c r="BJ1789" s="2">
        <v>0.6</v>
      </c>
      <c r="BK1789" s="2">
        <v>1</v>
      </c>
      <c r="BL1789" s="2">
        <v>45.93</v>
      </c>
      <c r="BM1789" s="2">
        <v>6.43</v>
      </c>
      <c r="BN1789" s="2">
        <v>52.36</v>
      </c>
      <c r="BO1789" s="2">
        <v>52.36</v>
      </c>
      <c r="BQ1789" s="2" t="s">
        <v>229</v>
      </c>
      <c r="BR1789" s="2" t="s">
        <v>103</v>
      </c>
      <c r="BS1789" s="3">
        <v>43083</v>
      </c>
      <c r="BT1789" s="4">
        <v>0.3923611111111111</v>
      </c>
      <c r="BU1789" s="2" t="s">
        <v>230</v>
      </c>
      <c r="BV1789" s="2" t="s">
        <v>85</v>
      </c>
      <c r="BY1789" s="2">
        <v>3172.31</v>
      </c>
      <c r="CA1789" s="2" t="s">
        <v>231</v>
      </c>
      <c r="CC1789" s="2" t="s">
        <v>132</v>
      </c>
      <c r="CD1789" s="2">
        <v>4300</v>
      </c>
      <c r="CE1789" s="2" t="s">
        <v>95</v>
      </c>
      <c r="CF1789" s="3">
        <v>43083</v>
      </c>
      <c r="CI1789" s="2">
        <v>1</v>
      </c>
      <c r="CJ1789" s="2">
        <v>1</v>
      </c>
      <c r="CK1789" s="2">
        <v>21</v>
      </c>
      <c r="CL1789" s="2" t="s">
        <v>89</v>
      </c>
    </row>
    <row r="1790" spans="1:90">
      <c r="A1790" s="2" t="s">
        <v>71</v>
      </c>
      <c r="B1790" s="2" t="s">
        <v>72</v>
      </c>
      <c r="C1790" s="2" t="s">
        <v>73</v>
      </c>
      <c r="E1790" s="2" t="str">
        <f>"FES1162594919"</f>
        <v>FES1162594919</v>
      </c>
      <c r="F1790" s="3">
        <v>43082</v>
      </c>
      <c r="G1790" s="2">
        <v>201806</v>
      </c>
      <c r="H1790" s="2" t="s">
        <v>74</v>
      </c>
      <c r="I1790" s="2" t="s">
        <v>75</v>
      </c>
      <c r="J1790" s="2" t="s">
        <v>97</v>
      </c>
      <c r="K1790" s="2" t="s">
        <v>77</v>
      </c>
      <c r="L1790" s="2" t="s">
        <v>125</v>
      </c>
      <c r="M1790" s="2" t="s">
        <v>126</v>
      </c>
      <c r="N1790" s="2" t="s">
        <v>664</v>
      </c>
      <c r="O1790" s="2" t="s">
        <v>101</v>
      </c>
      <c r="P1790" s="2" t="str">
        <f>"2170606821                    "</f>
        <v xml:space="preserve">2170606821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14.47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4.0999999999999996</v>
      </c>
      <c r="BJ1790" s="2">
        <v>1.6</v>
      </c>
      <c r="BK1790" s="2">
        <v>4.5</v>
      </c>
      <c r="BL1790" s="2">
        <v>103.32</v>
      </c>
      <c r="BM1790" s="2">
        <v>14.46</v>
      </c>
      <c r="BN1790" s="2">
        <v>117.78</v>
      </c>
      <c r="BO1790" s="2">
        <v>117.78</v>
      </c>
      <c r="BQ1790" s="2" t="s">
        <v>102</v>
      </c>
      <c r="BR1790" s="2" t="s">
        <v>103</v>
      </c>
      <c r="BS1790" s="3">
        <v>43083</v>
      </c>
      <c r="BT1790" s="4">
        <v>0.41666666666666669</v>
      </c>
      <c r="BU1790" s="2" t="s">
        <v>665</v>
      </c>
      <c r="BV1790" s="2" t="s">
        <v>85</v>
      </c>
      <c r="BY1790" s="2">
        <v>8133.62</v>
      </c>
      <c r="CA1790" s="2" t="s">
        <v>666</v>
      </c>
      <c r="CC1790" s="2" t="s">
        <v>126</v>
      </c>
      <c r="CD1790" s="2">
        <v>4001</v>
      </c>
      <c r="CE1790" s="2" t="s">
        <v>95</v>
      </c>
      <c r="CF1790" s="3">
        <v>43084</v>
      </c>
      <c r="CI1790" s="2">
        <v>1</v>
      </c>
      <c r="CJ1790" s="2">
        <v>1</v>
      </c>
      <c r="CK1790" s="2">
        <v>21</v>
      </c>
      <c r="CL1790" s="2" t="s">
        <v>89</v>
      </c>
    </row>
    <row r="1791" spans="1:90">
      <c r="A1791" s="2" t="s">
        <v>71</v>
      </c>
      <c r="B1791" s="2" t="s">
        <v>72</v>
      </c>
      <c r="C1791" s="2" t="s">
        <v>73</v>
      </c>
      <c r="E1791" s="2" t="str">
        <f>"FES1162595494"</f>
        <v>FES1162595494</v>
      </c>
      <c r="F1791" s="3">
        <v>43082</v>
      </c>
      <c r="G1791" s="2">
        <v>201806</v>
      </c>
      <c r="H1791" s="2" t="s">
        <v>74</v>
      </c>
      <c r="I1791" s="2" t="s">
        <v>75</v>
      </c>
      <c r="J1791" s="2" t="s">
        <v>97</v>
      </c>
      <c r="K1791" s="2" t="s">
        <v>77</v>
      </c>
      <c r="L1791" s="2" t="s">
        <v>98</v>
      </c>
      <c r="M1791" s="2" t="s">
        <v>99</v>
      </c>
      <c r="N1791" s="2" t="s">
        <v>2095</v>
      </c>
      <c r="O1791" s="2" t="s">
        <v>101</v>
      </c>
      <c r="P1791" s="2" t="str">
        <f>"2170607358                    "</f>
        <v xml:space="preserve">2170607358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6.43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</v>
      </c>
      <c r="BJ1791" s="2">
        <v>0.2</v>
      </c>
      <c r="BK1791" s="2">
        <v>1</v>
      </c>
      <c r="BL1791" s="2">
        <v>45.93</v>
      </c>
      <c r="BM1791" s="2">
        <v>6.43</v>
      </c>
      <c r="BN1791" s="2">
        <v>52.36</v>
      </c>
      <c r="BO1791" s="2">
        <v>52.36</v>
      </c>
      <c r="BQ1791" s="2" t="s">
        <v>128</v>
      </c>
      <c r="BR1791" s="2" t="s">
        <v>103</v>
      </c>
      <c r="BS1791" s="3">
        <v>43083</v>
      </c>
      <c r="BT1791" s="4">
        <v>0.42499999999999999</v>
      </c>
      <c r="BU1791" s="2" t="s">
        <v>2190</v>
      </c>
      <c r="BV1791" s="2" t="s">
        <v>85</v>
      </c>
      <c r="BY1791" s="2">
        <v>1200</v>
      </c>
      <c r="CA1791" s="2" t="s">
        <v>497</v>
      </c>
      <c r="CC1791" s="2" t="s">
        <v>99</v>
      </c>
      <c r="CD1791" s="2">
        <v>3201</v>
      </c>
      <c r="CE1791" s="2" t="s">
        <v>120</v>
      </c>
      <c r="CF1791" s="3">
        <v>43084</v>
      </c>
      <c r="CI1791" s="2">
        <v>1</v>
      </c>
      <c r="CJ1791" s="2">
        <v>1</v>
      </c>
      <c r="CK1791" s="2">
        <v>21</v>
      </c>
      <c r="CL1791" s="2" t="s">
        <v>89</v>
      </c>
    </row>
    <row r="1792" spans="1:90">
      <c r="A1792" s="2" t="s">
        <v>71</v>
      </c>
      <c r="B1792" s="2" t="s">
        <v>72</v>
      </c>
      <c r="C1792" s="2" t="s">
        <v>73</v>
      </c>
      <c r="E1792" s="2" t="str">
        <f>"FES1162595107"</f>
        <v>FES1162595107</v>
      </c>
      <c r="F1792" s="3">
        <v>43082</v>
      </c>
      <c r="G1792" s="2">
        <v>201806</v>
      </c>
      <c r="H1792" s="2" t="s">
        <v>74</v>
      </c>
      <c r="I1792" s="2" t="s">
        <v>75</v>
      </c>
      <c r="J1792" s="2" t="s">
        <v>97</v>
      </c>
      <c r="K1792" s="2" t="s">
        <v>77</v>
      </c>
      <c r="L1792" s="2" t="s">
        <v>221</v>
      </c>
      <c r="M1792" s="2" t="s">
        <v>222</v>
      </c>
      <c r="N1792" s="2" t="s">
        <v>223</v>
      </c>
      <c r="O1792" s="2" t="s">
        <v>101</v>
      </c>
      <c r="P1792" s="2" t="str">
        <f>"2170606870                    "</f>
        <v xml:space="preserve">2170606870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6.43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1</v>
      </c>
      <c r="BJ1792" s="2">
        <v>0.2</v>
      </c>
      <c r="BK1792" s="2">
        <v>1</v>
      </c>
      <c r="BL1792" s="2">
        <v>45.93</v>
      </c>
      <c r="BM1792" s="2">
        <v>6.43</v>
      </c>
      <c r="BN1792" s="2">
        <v>52.36</v>
      </c>
      <c r="BO1792" s="2">
        <v>52.36</v>
      </c>
      <c r="BQ1792" s="2" t="s">
        <v>82</v>
      </c>
      <c r="BR1792" s="2" t="s">
        <v>103</v>
      </c>
      <c r="BS1792" s="3">
        <v>43083</v>
      </c>
      <c r="BT1792" s="4">
        <v>0.41944444444444445</v>
      </c>
      <c r="BU1792" s="2" t="s">
        <v>224</v>
      </c>
      <c r="BV1792" s="2" t="s">
        <v>85</v>
      </c>
      <c r="BY1792" s="2">
        <v>1200</v>
      </c>
      <c r="CA1792" s="2" t="s">
        <v>225</v>
      </c>
      <c r="CC1792" s="2" t="s">
        <v>222</v>
      </c>
      <c r="CD1792" s="2">
        <v>4113</v>
      </c>
      <c r="CE1792" s="2" t="s">
        <v>120</v>
      </c>
      <c r="CF1792" s="3">
        <v>43084</v>
      </c>
      <c r="CI1792" s="2">
        <v>1</v>
      </c>
      <c r="CJ1792" s="2">
        <v>1</v>
      </c>
      <c r="CK1792" s="2">
        <v>21</v>
      </c>
      <c r="CL1792" s="2" t="s">
        <v>89</v>
      </c>
    </row>
    <row r="1793" spans="1:90">
      <c r="A1793" s="2" t="s">
        <v>71</v>
      </c>
      <c r="B1793" s="2" t="s">
        <v>72</v>
      </c>
      <c r="C1793" s="2" t="s">
        <v>73</v>
      </c>
      <c r="E1793" s="2" t="str">
        <f>"FES1162594732"</f>
        <v>FES1162594732</v>
      </c>
      <c r="F1793" s="3">
        <v>43082</v>
      </c>
      <c r="G1793" s="2">
        <v>201806</v>
      </c>
      <c r="H1793" s="2" t="s">
        <v>74</v>
      </c>
      <c r="I1793" s="2" t="s">
        <v>75</v>
      </c>
      <c r="J1793" s="2" t="s">
        <v>97</v>
      </c>
      <c r="K1793" s="2" t="s">
        <v>77</v>
      </c>
      <c r="L1793" s="2" t="s">
        <v>168</v>
      </c>
      <c r="M1793" s="2" t="s">
        <v>169</v>
      </c>
      <c r="N1793" s="2" t="s">
        <v>585</v>
      </c>
      <c r="O1793" s="2" t="s">
        <v>101</v>
      </c>
      <c r="P1793" s="2" t="str">
        <f>"2170605934                    "</f>
        <v xml:space="preserve">2170605934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6.43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1</v>
      </c>
      <c r="BJ1793" s="2">
        <v>0.2</v>
      </c>
      <c r="BK1793" s="2">
        <v>1</v>
      </c>
      <c r="BL1793" s="2">
        <v>45.93</v>
      </c>
      <c r="BM1793" s="2">
        <v>6.43</v>
      </c>
      <c r="BN1793" s="2">
        <v>52.36</v>
      </c>
      <c r="BO1793" s="2">
        <v>52.36</v>
      </c>
      <c r="BQ1793" s="2" t="s">
        <v>82</v>
      </c>
      <c r="BR1793" s="2" t="s">
        <v>103</v>
      </c>
      <c r="BS1793" s="3">
        <v>43083</v>
      </c>
      <c r="BT1793" s="4">
        <v>0.42708333333333331</v>
      </c>
      <c r="BU1793" s="2" t="s">
        <v>586</v>
      </c>
      <c r="BV1793" s="2" t="s">
        <v>85</v>
      </c>
      <c r="BY1793" s="2">
        <v>1200</v>
      </c>
      <c r="CA1793" s="2" t="s">
        <v>172</v>
      </c>
      <c r="CC1793" s="2" t="s">
        <v>169</v>
      </c>
      <c r="CD1793" s="2">
        <v>3610</v>
      </c>
      <c r="CE1793" s="2" t="s">
        <v>120</v>
      </c>
      <c r="CF1793" s="3">
        <v>43084</v>
      </c>
      <c r="CI1793" s="2">
        <v>1</v>
      </c>
      <c r="CJ1793" s="2">
        <v>1</v>
      </c>
      <c r="CK1793" s="2">
        <v>21</v>
      </c>
      <c r="CL1793" s="2" t="s">
        <v>89</v>
      </c>
    </row>
    <row r="1794" spans="1:90">
      <c r="A1794" s="2" t="s">
        <v>71</v>
      </c>
      <c r="B1794" s="2" t="s">
        <v>72</v>
      </c>
      <c r="C1794" s="2" t="s">
        <v>73</v>
      </c>
      <c r="E1794" s="2" t="str">
        <f>"FES1162595321"</f>
        <v>FES1162595321</v>
      </c>
      <c r="F1794" s="3">
        <v>43082</v>
      </c>
      <c r="G1794" s="2">
        <v>201806</v>
      </c>
      <c r="H1794" s="2" t="s">
        <v>74</v>
      </c>
      <c r="I1794" s="2" t="s">
        <v>75</v>
      </c>
      <c r="J1794" s="2" t="s">
        <v>97</v>
      </c>
      <c r="K1794" s="2" t="s">
        <v>77</v>
      </c>
      <c r="L1794" s="2" t="s">
        <v>98</v>
      </c>
      <c r="M1794" s="2" t="s">
        <v>99</v>
      </c>
      <c r="N1794" s="2" t="s">
        <v>795</v>
      </c>
      <c r="O1794" s="2" t="s">
        <v>101</v>
      </c>
      <c r="P1794" s="2" t="str">
        <f>"2170607192                    "</f>
        <v xml:space="preserve">2170607192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6.43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1</v>
      </c>
      <c r="BJ1794" s="2">
        <v>0.2</v>
      </c>
      <c r="BK1794" s="2">
        <v>1</v>
      </c>
      <c r="BL1794" s="2">
        <v>45.93</v>
      </c>
      <c r="BM1794" s="2">
        <v>6.43</v>
      </c>
      <c r="BN1794" s="2">
        <v>52.36</v>
      </c>
      <c r="BO1794" s="2">
        <v>52.36</v>
      </c>
      <c r="BQ1794" s="2" t="s">
        <v>102</v>
      </c>
      <c r="BR1794" s="2" t="s">
        <v>103</v>
      </c>
      <c r="BS1794" s="3">
        <v>43083</v>
      </c>
      <c r="BT1794" s="4">
        <v>0.4375</v>
      </c>
      <c r="BU1794" s="2" t="s">
        <v>2191</v>
      </c>
      <c r="BV1794" s="2" t="s">
        <v>85</v>
      </c>
      <c r="BY1794" s="2">
        <v>1200</v>
      </c>
      <c r="CA1794" s="2" t="s">
        <v>105</v>
      </c>
      <c r="CC1794" s="2" t="s">
        <v>99</v>
      </c>
      <c r="CD1794" s="2">
        <v>3201</v>
      </c>
      <c r="CE1794" s="2" t="s">
        <v>120</v>
      </c>
      <c r="CF1794" s="3">
        <v>43084</v>
      </c>
      <c r="CI1794" s="2">
        <v>1</v>
      </c>
      <c r="CJ1794" s="2">
        <v>1</v>
      </c>
      <c r="CK1794" s="2">
        <v>21</v>
      </c>
      <c r="CL1794" s="2" t="s">
        <v>89</v>
      </c>
    </row>
    <row r="1795" spans="1:90">
      <c r="A1795" s="2" t="s">
        <v>71</v>
      </c>
      <c r="B1795" s="2" t="s">
        <v>72</v>
      </c>
      <c r="C1795" s="2" t="s">
        <v>73</v>
      </c>
      <c r="E1795" s="2" t="str">
        <f>"FES1162595518"</f>
        <v>FES1162595518</v>
      </c>
      <c r="F1795" s="3">
        <v>43082</v>
      </c>
      <c r="G1795" s="2">
        <v>201806</v>
      </c>
      <c r="H1795" s="2" t="s">
        <v>74</v>
      </c>
      <c r="I1795" s="2" t="s">
        <v>75</v>
      </c>
      <c r="J1795" s="2" t="s">
        <v>97</v>
      </c>
      <c r="K1795" s="2" t="s">
        <v>77</v>
      </c>
      <c r="L1795" s="2" t="s">
        <v>125</v>
      </c>
      <c r="M1795" s="2" t="s">
        <v>126</v>
      </c>
      <c r="N1795" s="2" t="s">
        <v>858</v>
      </c>
      <c r="O1795" s="2" t="s">
        <v>101</v>
      </c>
      <c r="P1795" s="2" t="str">
        <f>"2170607378                    "</f>
        <v xml:space="preserve">2170607378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6.43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1.3</v>
      </c>
      <c r="BJ1795" s="2">
        <v>0.8</v>
      </c>
      <c r="BK1795" s="2">
        <v>1.5</v>
      </c>
      <c r="BL1795" s="2">
        <v>45.93</v>
      </c>
      <c r="BM1795" s="2">
        <v>6.43</v>
      </c>
      <c r="BN1795" s="2">
        <v>52.36</v>
      </c>
      <c r="BO1795" s="2">
        <v>52.36</v>
      </c>
      <c r="BQ1795" s="2" t="s">
        <v>82</v>
      </c>
      <c r="BR1795" s="2" t="s">
        <v>103</v>
      </c>
      <c r="BS1795" s="3">
        <v>43083</v>
      </c>
      <c r="BT1795" s="4">
        <v>0.44305555555555554</v>
      </c>
      <c r="BU1795" s="2" t="s">
        <v>859</v>
      </c>
      <c r="BV1795" s="2" t="s">
        <v>85</v>
      </c>
      <c r="BY1795" s="2">
        <v>3967.16</v>
      </c>
      <c r="CA1795" s="2" t="s">
        <v>666</v>
      </c>
      <c r="CC1795" s="2" t="s">
        <v>126</v>
      </c>
      <c r="CD1795" s="2">
        <v>4001</v>
      </c>
      <c r="CE1795" s="2" t="s">
        <v>95</v>
      </c>
      <c r="CF1795" s="3">
        <v>43084</v>
      </c>
      <c r="CI1795" s="2">
        <v>1</v>
      </c>
      <c r="CJ1795" s="2">
        <v>1</v>
      </c>
      <c r="CK1795" s="2">
        <v>21</v>
      </c>
      <c r="CL1795" s="2" t="s">
        <v>89</v>
      </c>
    </row>
    <row r="1796" spans="1:90">
      <c r="A1796" s="2" t="s">
        <v>71</v>
      </c>
      <c r="B1796" s="2" t="s">
        <v>72</v>
      </c>
      <c r="C1796" s="2" t="s">
        <v>73</v>
      </c>
      <c r="E1796" s="2" t="str">
        <f>"FES1162595322"</f>
        <v>FES1162595322</v>
      </c>
      <c r="F1796" s="3">
        <v>43082</v>
      </c>
      <c r="G1796" s="2">
        <v>201806</v>
      </c>
      <c r="H1796" s="2" t="s">
        <v>74</v>
      </c>
      <c r="I1796" s="2" t="s">
        <v>75</v>
      </c>
      <c r="J1796" s="2" t="s">
        <v>97</v>
      </c>
      <c r="K1796" s="2" t="s">
        <v>77</v>
      </c>
      <c r="L1796" s="2" t="s">
        <v>131</v>
      </c>
      <c r="M1796" s="2" t="s">
        <v>132</v>
      </c>
      <c r="N1796" s="2" t="s">
        <v>133</v>
      </c>
      <c r="O1796" s="2" t="s">
        <v>101</v>
      </c>
      <c r="P1796" s="2" t="str">
        <f>"2170607193                    "</f>
        <v xml:space="preserve">2170607193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11.26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2.7</v>
      </c>
      <c r="BJ1796" s="2">
        <v>3.2</v>
      </c>
      <c r="BK1796" s="2">
        <v>3.5</v>
      </c>
      <c r="BL1796" s="2">
        <v>80.37</v>
      </c>
      <c r="BM1796" s="2">
        <v>11.25</v>
      </c>
      <c r="BN1796" s="2">
        <v>91.62</v>
      </c>
      <c r="BO1796" s="2">
        <v>91.62</v>
      </c>
      <c r="BQ1796" s="2" t="s">
        <v>102</v>
      </c>
      <c r="BR1796" s="2" t="s">
        <v>103</v>
      </c>
      <c r="BS1796" s="3">
        <v>43083</v>
      </c>
      <c r="BT1796" s="4">
        <v>0.43194444444444446</v>
      </c>
      <c r="BU1796" s="2" t="s">
        <v>134</v>
      </c>
      <c r="BV1796" s="2" t="s">
        <v>85</v>
      </c>
      <c r="BY1796" s="2">
        <v>16061.76</v>
      </c>
      <c r="CA1796" s="2" t="s">
        <v>135</v>
      </c>
      <c r="CC1796" s="2" t="s">
        <v>132</v>
      </c>
      <c r="CD1796" s="2">
        <v>4302</v>
      </c>
      <c r="CE1796" s="2" t="s">
        <v>95</v>
      </c>
      <c r="CF1796" s="3">
        <v>43084</v>
      </c>
      <c r="CI1796" s="2">
        <v>1</v>
      </c>
      <c r="CJ1796" s="2">
        <v>1</v>
      </c>
      <c r="CK1796" s="2">
        <v>21</v>
      </c>
      <c r="CL1796" s="2" t="s">
        <v>89</v>
      </c>
    </row>
    <row r="1797" spans="1:90">
      <c r="A1797" s="2" t="s">
        <v>71</v>
      </c>
      <c r="B1797" s="2" t="s">
        <v>72</v>
      </c>
      <c r="C1797" s="2" t="s">
        <v>73</v>
      </c>
      <c r="E1797" s="2" t="str">
        <f>"FES1162595449"</f>
        <v>FES1162595449</v>
      </c>
      <c r="F1797" s="3">
        <v>43082</v>
      </c>
      <c r="G1797" s="2">
        <v>201806</v>
      </c>
      <c r="H1797" s="2" t="s">
        <v>74</v>
      </c>
      <c r="I1797" s="2" t="s">
        <v>75</v>
      </c>
      <c r="J1797" s="2" t="s">
        <v>97</v>
      </c>
      <c r="K1797" s="2" t="s">
        <v>77</v>
      </c>
      <c r="L1797" s="2" t="s">
        <v>125</v>
      </c>
      <c r="M1797" s="2" t="s">
        <v>126</v>
      </c>
      <c r="N1797" s="2" t="s">
        <v>664</v>
      </c>
      <c r="O1797" s="2" t="s">
        <v>101</v>
      </c>
      <c r="P1797" s="2" t="str">
        <f>"2170607311                    "</f>
        <v xml:space="preserve">2170607311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6.43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1</v>
      </c>
      <c r="BJ1797" s="2">
        <v>0.2</v>
      </c>
      <c r="BK1797" s="2">
        <v>1</v>
      </c>
      <c r="BL1797" s="2">
        <v>45.93</v>
      </c>
      <c r="BM1797" s="2">
        <v>6.43</v>
      </c>
      <c r="BN1797" s="2">
        <v>52.36</v>
      </c>
      <c r="BO1797" s="2">
        <v>52.36</v>
      </c>
      <c r="BQ1797" s="2" t="s">
        <v>102</v>
      </c>
      <c r="BR1797" s="2" t="s">
        <v>103</v>
      </c>
      <c r="BS1797" s="3">
        <v>43083</v>
      </c>
      <c r="BT1797" s="4">
        <v>0.33333333333333331</v>
      </c>
      <c r="BU1797" s="2" t="s">
        <v>665</v>
      </c>
      <c r="BV1797" s="2" t="s">
        <v>85</v>
      </c>
      <c r="BY1797" s="2">
        <v>1200</v>
      </c>
      <c r="CA1797" s="2" t="s">
        <v>666</v>
      </c>
      <c r="CC1797" s="2" t="s">
        <v>126</v>
      </c>
      <c r="CD1797" s="2">
        <v>4001</v>
      </c>
      <c r="CE1797" s="2" t="s">
        <v>120</v>
      </c>
      <c r="CF1797" s="3">
        <v>43084</v>
      </c>
      <c r="CI1797" s="2">
        <v>1</v>
      </c>
      <c r="CJ1797" s="2">
        <v>1</v>
      </c>
      <c r="CK1797" s="2">
        <v>21</v>
      </c>
      <c r="CL1797" s="2" t="s">
        <v>89</v>
      </c>
    </row>
    <row r="1798" spans="1:90">
      <c r="A1798" s="2" t="s">
        <v>71</v>
      </c>
      <c r="B1798" s="2" t="s">
        <v>72</v>
      </c>
      <c r="C1798" s="2" t="s">
        <v>73</v>
      </c>
      <c r="E1798" s="2" t="str">
        <f>"FES1162595529"</f>
        <v>FES1162595529</v>
      </c>
      <c r="F1798" s="3">
        <v>43082</v>
      </c>
      <c r="G1798" s="2">
        <v>201806</v>
      </c>
      <c r="H1798" s="2" t="s">
        <v>74</v>
      </c>
      <c r="I1798" s="2" t="s">
        <v>75</v>
      </c>
      <c r="J1798" s="2" t="s">
        <v>97</v>
      </c>
      <c r="K1798" s="2" t="s">
        <v>77</v>
      </c>
      <c r="L1798" s="2" t="s">
        <v>136</v>
      </c>
      <c r="M1798" s="2" t="s">
        <v>137</v>
      </c>
      <c r="N1798" s="2" t="s">
        <v>660</v>
      </c>
      <c r="O1798" s="2" t="s">
        <v>101</v>
      </c>
      <c r="P1798" s="2" t="str">
        <f>"2170607392                    "</f>
        <v xml:space="preserve">2170607392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6.43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1</v>
      </c>
      <c r="BJ1798" s="2">
        <v>0.2</v>
      </c>
      <c r="BK1798" s="2">
        <v>1</v>
      </c>
      <c r="BL1798" s="2">
        <v>45.93</v>
      </c>
      <c r="BM1798" s="2">
        <v>6.43</v>
      </c>
      <c r="BN1798" s="2">
        <v>52.36</v>
      </c>
      <c r="BO1798" s="2">
        <v>52.36</v>
      </c>
      <c r="BQ1798" s="2" t="s">
        <v>102</v>
      </c>
      <c r="BR1798" s="2" t="s">
        <v>103</v>
      </c>
      <c r="BS1798" s="3">
        <v>43083</v>
      </c>
      <c r="BT1798" s="4">
        <v>0.41666666666666669</v>
      </c>
      <c r="BU1798" s="2" t="s">
        <v>1822</v>
      </c>
      <c r="BV1798" s="2" t="s">
        <v>85</v>
      </c>
      <c r="BY1798" s="2">
        <v>1200</v>
      </c>
      <c r="BZ1798" s="2" t="s">
        <v>27</v>
      </c>
      <c r="CA1798" s="2" t="s">
        <v>180</v>
      </c>
      <c r="CC1798" s="2" t="s">
        <v>137</v>
      </c>
      <c r="CD1798" s="2">
        <v>6001</v>
      </c>
      <c r="CE1798" s="2" t="s">
        <v>383</v>
      </c>
      <c r="CF1798" s="3">
        <v>43084</v>
      </c>
      <c r="CI1798" s="2">
        <v>1</v>
      </c>
      <c r="CJ1798" s="2">
        <v>1</v>
      </c>
      <c r="CK1798" s="2">
        <v>21</v>
      </c>
      <c r="CL1798" s="2" t="s">
        <v>89</v>
      </c>
    </row>
    <row r="1799" spans="1:90">
      <c r="A1799" s="2" t="s">
        <v>71</v>
      </c>
      <c r="B1799" s="2" t="s">
        <v>72</v>
      </c>
      <c r="C1799" s="2" t="s">
        <v>73</v>
      </c>
      <c r="E1799" s="2" t="str">
        <f>"FES1162594898"</f>
        <v>FES1162594898</v>
      </c>
      <c r="F1799" s="3">
        <v>43082</v>
      </c>
      <c r="G1799" s="2">
        <v>201806</v>
      </c>
      <c r="H1799" s="2" t="s">
        <v>74</v>
      </c>
      <c r="I1799" s="2" t="s">
        <v>75</v>
      </c>
      <c r="J1799" s="2" t="s">
        <v>97</v>
      </c>
      <c r="K1799" s="2" t="s">
        <v>77</v>
      </c>
      <c r="L1799" s="2" t="s">
        <v>759</v>
      </c>
      <c r="M1799" s="2" t="s">
        <v>760</v>
      </c>
      <c r="N1799" s="2" t="s">
        <v>2070</v>
      </c>
      <c r="O1799" s="2" t="s">
        <v>101</v>
      </c>
      <c r="P1799" s="2" t="str">
        <f>"2170606795                    "</f>
        <v xml:space="preserve">2170606795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6.43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1</v>
      </c>
      <c r="BJ1799" s="2">
        <v>0.2</v>
      </c>
      <c r="BK1799" s="2">
        <v>1</v>
      </c>
      <c r="BL1799" s="2">
        <v>45.93</v>
      </c>
      <c r="BM1799" s="2">
        <v>6.43</v>
      </c>
      <c r="BN1799" s="2">
        <v>52.36</v>
      </c>
      <c r="BO1799" s="2">
        <v>52.36</v>
      </c>
      <c r="BQ1799" s="2" t="s">
        <v>82</v>
      </c>
      <c r="BR1799" s="2" t="s">
        <v>103</v>
      </c>
      <c r="BS1799" s="3">
        <v>43083</v>
      </c>
      <c r="BT1799" s="4">
        <v>0.39166666666666666</v>
      </c>
      <c r="BU1799" s="2" t="s">
        <v>2188</v>
      </c>
      <c r="BV1799" s="2" t="s">
        <v>85</v>
      </c>
      <c r="BY1799" s="2">
        <v>1200</v>
      </c>
      <c r="CA1799" s="2" t="s">
        <v>578</v>
      </c>
      <c r="CC1799" s="2" t="s">
        <v>760</v>
      </c>
      <c r="CD1799" s="2">
        <v>4026</v>
      </c>
      <c r="CE1799" s="2" t="s">
        <v>120</v>
      </c>
      <c r="CF1799" s="3">
        <v>43084</v>
      </c>
      <c r="CI1799" s="2">
        <v>1</v>
      </c>
      <c r="CJ1799" s="2">
        <v>1</v>
      </c>
      <c r="CK1799" s="2">
        <v>21</v>
      </c>
      <c r="CL1799" s="2" t="s">
        <v>89</v>
      </c>
    </row>
    <row r="1800" spans="1:90">
      <c r="A1800" s="2" t="s">
        <v>71</v>
      </c>
      <c r="B1800" s="2" t="s">
        <v>72</v>
      </c>
      <c r="C1800" s="2" t="s">
        <v>73</v>
      </c>
      <c r="E1800" s="2" t="str">
        <f>"FES1162595266"</f>
        <v>FES1162595266</v>
      </c>
      <c r="F1800" s="3">
        <v>43082</v>
      </c>
      <c r="G1800" s="2">
        <v>201806</v>
      </c>
      <c r="H1800" s="2" t="s">
        <v>74</v>
      </c>
      <c r="I1800" s="2" t="s">
        <v>75</v>
      </c>
      <c r="J1800" s="2" t="s">
        <v>97</v>
      </c>
      <c r="K1800" s="2" t="s">
        <v>77</v>
      </c>
      <c r="L1800" s="2" t="s">
        <v>168</v>
      </c>
      <c r="M1800" s="2" t="s">
        <v>169</v>
      </c>
      <c r="N1800" s="2" t="s">
        <v>1099</v>
      </c>
      <c r="O1800" s="2" t="s">
        <v>101</v>
      </c>
      <c r="P1800" s="2" t="str">
        <f>"2170605771                    "</f>
        <v xml:space="preserve">2170605771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6.43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</v>
      </c>
      <c r="BJ1800" s="2">
        <v>0.2</v>
      </c>
      <c r="BK1800" s="2">
        <v>1</v>
      </c>
      <c r="BL1800" s="2">
        <v>45.93</v>
      </c>
      <c r="BM1800" s="2">
        <v>6.43</v>
      </c>
      <c r="BN1800" s="2">
        <v>52.36</v>
      </c>
      <c r="BO1800" s="2">
        <v>52.36</v>
      </c>
      <c r="BQ1800" s="2" t="s">
        <v>82</v>
      </c>
      <c r="BR1800" s="2" t="s">
        <v>103</v>
      </c>
      <c r="BS1800" s="3">
        <v>43083</v>
      </c>
      <c r="BT1800" s="4">
        <v>0.40625</v>
      </c>
      <c r="BU1800" s="2" t="s">
        <v>1100</v>
      </c>
      <c r="BV1800" s="2" t="s">
        <v>85</v>
      </c>
      <c r="BY1800" s="2">
        <v>1200</v>
      </c>
      <c r="CA1800" s="2" t="s">
        <v>172</v>
      </c>
      <c r="CC1800" s="2" t="s">
        <v>169</v>
      </c>
      <c r="CD1800" s="2">
        <v>3610</v>
      </c>
      <c r="CE1800" s="2" t="s">
        <v>120</v>
      </c>
      <c r="CF1800" s="3">
        <v>43084</v>
      </c>
      <c r="CI1800" s="2">
        <v>1</v>
      </c>
      <c r="CJ1800" s="2">
        <v>1</v>
      </c>
      <c r="CK1800" s="2">
        <v>21</v>
      </c>
      <c r="CL1800" s="2" t="s">
        <v>89</v>
      </c>
    </row>
    <row r="1801" spans="1:90">
      <c r="A1801" s="2" t="s">
        <v>71</v>
      </c>
      <c r="B1801" s="2" t="s">
        <v>72</v>
      </c>
      <c r="C1801" s="2" t="s">
        <v>73</v>
      </c>
      <c r="E1801" s="2" t="str">
        <f>"FES1162594797"</f>
        <v>FES1162594797</v>
      </c>
      <c r="F1801" s="3">
        <v>43082</v>
      </c>
      <c r="G1801" s="2">
        <v>201806</v>
      </c>
      <c r="H1801" s="2" t="s">
        <v>74</v>
      </c>
      <c r="I1801" s="2" t="s">
        <v>75</v>
      </c>
      <c r="J1801" s="2" t="s">
        <v>97</v>
      </c>
      <c r="K1801" s="2" t="s">
        <v>77</v>
      </c>
      <c r="L1801" s="2" t="s">
        <v>168</v>
      </c>
      <c r="M1801" s="2" t="s">
        <v>169</v>
      </c>
      <c r="N1801" s="2" t="s">
        <v>2192</v>
      </c>
      <c r="O1801" s="2" t="s">
        <v>101</v>
      </c>
      <c r="P1801" s="2" t="str">
        <f>"2170605713                    "</f>
        <v xml:space="preserve">2170605713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6.43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1</v>
      </c>
      <c r="BJ1801" s="2">
        <v>0.2</v>
      </c>
      <c r="BK1801" s="2">
        <v>1</v>
      </c>
      <c r="BL1801" s="2">
        <v>45.93</v>
      </c>
      <c r="BM1801" s="2">
        <v>6.43</v>
      </c>
      <c r="BN1801" s="2">
        <v>52.36</v>
      </c>
      <c r="BO1801" s="2">
        <v>52.36</v>
      </c>
      <c r="BQ1801" s="2" t="s">
        <v>102</v>
      </c>
      <c r="BR1801" s="2" t="s">
        <v>103</v>
      </c>
      <c r="BS1801" s="3">
        <v>43083</v>
      </c>
      <c r="BT1801" s="4">
        <v>0.40277777777777773</v>
      </c>
      <c r="BU1801" s="2" t="s">
        <v>2193</v>
      </c>
      <c r="BV1801" s="2" t="s">
        <v>85</v>
      </c>
      <c r="BY1801" s="2">
        <v>1200</v>
      </c>
      <c r="CA1801" s="2" t="s">
        <v>172</v>
      </c>
      <c r="CC1801" s="2" t="s">
        <v>169</v>
      </c>
      <c r="CD1801" s="2">
        <v>3610</v>
      </c>
      <c r="CE1801" s="2" t="s">
        <v>120</v>
      </c>
      <c r="CF1801" s="3">
        <v>43084</v>
      </c>
      <c r="CI1801" s="2">
        <v>1</v>
      </c>
      <c r="CJ1801" s="2">
        <v>1</v>
      </c>
      <c r="CK1801" s="2">
        <v>21</v>
      </c>
      <c r="CL1801" s="2" t="s">
        <v>89</v>
      </c>
    </row>
    <row r="1802" spans="1:90">
      <c r="A1802" s="2" t="s">
        <v>71</v>
      </c>
      <c r="B1802" s="2" t="s">
        <v>72</v>
      </c>
      <c r="C1802" s="2" t="s">
        <v>73</v>
      </c>
      <c r="E1802" s="2" t="str">
        <f>"FES1162594951"</f>
        <v>FES1162594951</v>
      </c>
      <c r="F1802" s="3">
        <v>43082</v>
      </c>
      <c r="G1802" s="2">
        <v>201806</v>
      </c>
      <c r="H1802" s="2" t="s">
        <v>74</v>
      </c>
      <c r="I1802" s="2" t="s">
        <v>75</v>
      </c>
      <c r="J1802" s="2" t="s">
        <v>97</v>
      </c>
      <c r="K1802" s="2" t="s">
        <v>77</v>
      </c>
      <c r="L1802" s="2" t="s">
        <v>74</v>
      </c>
      <c r="M1802" s="2" t="s">
        <v>75</v>
      </c>
      <c r="N1802" s="2" t="s">
        <v>645</v>
      </c>
      <c r="O1802" s="2" t="s">
        <v>101</v>
      </c>
      <c r="P1802" s="2" t="str">
        <f>"2170604889                    "</f>
        <v xml:space="preserve">2170604889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5.03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</v>
      </c>
      <c r="BJ1802" s="2">
        <v>0.2</v>
      </c>
      <c r="BK1802" s="2">
        <v>1</v>
      </c>
      <c r="BL1802" s="2">
        <v>35.89</v>
      </c>
      <c r="BM1802" s="2">
        <v>5.0199999999999996</v>
      </c>
      <c r="BN1802" s="2">
        <v>40.909999999999997</v>
      </c>
      <c r="BO1802" s="2">
        <v>40.909999999999997</v>
      </c>
      <c r="BQ1802" s="2" t="s">
        <v>102</v>
      </c>
      <c r="BR1802" s="2" t="s">
        <v>103</v>
      </c>
      <c r="BS1802" s="3">
        <v>43083</v>
      </c>
      <c r="BT1802" s="4">
        <v>0.4375</v>
      </c>
      <c r="BU1802" s="2" t="s">
        <v>1731</v>
      </c>
      <c r="BV1802" s="2" t="s">
        <v>85</v>
      </c>
      <c r="BY1802" s="2">
        <v>1200</v>
      </c>
      <c r="CA1802" s="2" t="s">
        <v>203</v>
      </c>
      <c r="CC1802" s="2" t="s">
        <v>75</v>
      </c>
      <c r="CD1802" s="2">
        <v>1665</v>
      </c>
      <c r="CE1802" s="2" t="s">
        <v>120</v>
      </c>
      <c r="CF1802" s="3">
        <v>43084</v>
      </c>
      <c r="CI1802" s="2">
        <v>1</v>
      </c>
      <c r="CJ1802" s="2">
        <v>1</v>
      </c>
      <c r="CK1802" s="2">
        <v>22</v>
      </c>
      <c r="CL1802" s="2" t="s">
        <v>89</v>
      </c>
    </row>
    <row r="1803" spans="1:90">
      <c r="A1803" s="2" t="s">
        <v>71</v>
      </c>
      <c r="B1803" s="2" t="s">
        <v>72</v>
      </c>
      <c r="C1803" s="2" t="s">
        <v>73</v>
      </c>
      <c r="E1803" s="2" t="str">
        <f>"FES1162595256"</f>
        <v>FES1162595256</v>
      </c>
      <c r="F1803" s="3">
        <v>43082</v>
      </c>
      <c r="G1803" s="2">
        <v>201806</v>
      </c>
      <c r="H1803" s="2" t="s">
        <v>74</v>
      </c>
      <c r="I1803" s="2" t="s">
        <v>75</v>
      </c>
      <c r="J1803" s="2" t="s">
        <v>97</v>
      </c>
      <c r="K1803" s="2" t="s">
        <v>77</v>
      </c>
      <c r="L1803" s="2" t="s">
        <v>125</v>
      </c>
      <c r="M1803" s="2" t="s">
        <v>126</v>
      </c>
      <c r="N1803" s="2" t="s">
        <v>2194</v>
      </c>
      <c r="O1803" s="2" t="s">
        <v>101</v>
      </c>
      <c r="P1803" s="2" t="str">
        <f>"2170604121                    "</f>
        <v xml:space="preserve">2170604121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6.43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</v>
      </c>
      <c r="BJ1803" s="2">
        <v>0.2</v>
      </c>
      <c r="BK1803" s="2">
        <v>1</v>
      </c>
      <c r="BL1803" s="2">
        <v>45.93</v>
      </c>
      <c r="BM1803" s="2">
        <v>6.43</v>
      </c>
      <c r="BN1803" s="2">
        <v>52.36</v>
      </c>
      <c r="BO1803" s="2">
        <v>52.36</v>
      </c>
      <c r="BQ1803" s="2" t="s">
        <v>82</v>
      </c>
      <c r="BR1803" s="2" t="s">
        <v>103</v>
      </c>
      <c r="BS1803" s="3">
        <v>43083</v>
      </c>
      <c r="BT1803" s="4">
        <v>0.4375</v>
      </c>
      <c r="BU1803" s="2" t="s">
        <v>2195</v>
      </c>
      <c r="BV1803" s="2" t="s">
        <v>85</v>
      </c>
      <c r="BY1803" s="2">
        <v>1200</v>
      </c>
      <c r="CA1803" s="2" t="s">
        <v>130</v>
      </c>
      <c r="CC1803" s="2" t="s">
        <v>126</v>
      </c>
      <c r="CD1803" s="2">
        <v>4052</v>
      </c>
      <c r="CE1803" s="2" t="s">
        <v>120</v>
      </c>
      <c r="CF1803" s="3">
        <v>43084</v>
      </c>
      <c r="CI1803" s="2">
        <v>1</v>
      </c>
      <c r="CJ1803" s="2">
        <v>1</v>
      </c>
      <c r="CK1803" s="2">
        <v>21</v>
      </c>
      <c r="CL1803" s="2" t="s">
        <v>89</v>
      </c>
    </row>
    <row r="1804" spans="1:90">
      <c r="A1804" s="2" t="s">
        <v>71</v>
      </c>
      <c r="B1804" s="2" t="s">
        <v>72</v>
      </c>
      <c r="C1804" s="2" t="s">
        <v>73</v>
      </c>
      <c r="E1804" s="2" t="str">
        <f>"FES1162594877"</f>
        <v>FES1162594877</v>
      </c>
      <c r="F1804" s="3">
        <v>43082</v>
      </c>
      <c r="G1804" s="2">
        <v>201806</v>
      </c>
      <c r="H1804" s="2" t="s">
        <v>74</v>
      </c>
      <c r="I1804" s="2" t="s">
        <v>75</v>
      </c>
      <c r="J1804" s="2" t="s">
        <v>97</v>
      </c>
      <c r="K1804" s="2" t="s">
        <v>77</v>
      </c>
      <c r="L1804" s="2" t="s">
        <v>759</v>
      </c>
      <c r="M1804" s="2" t="s">
        <v>760</v>
      </c>
      <c r="N1804" s="2" t="s">
        <v>2070</v>
      </c>
      <c r="O1804" s="2" t="s">
        <v>101</v>
      </c>
      <c r="P1804" s="2" t="str">
        <f>"2170606774                    "</f>
        <v xml:space="preserve">2170606774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6.43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1</v>
      </c>
      <c r="BJ1804" s="2">
        <v>0.2</v>
      </c>
      <c r="BK1804" s="2">
        <v>1</v>
      </c>
      <c r="BL1804" s="2">
        <v>45.93</v>
      </c>
      <c r="BM1804" s="2">
        <v>6.43</v>
      </c>
      <c r="BN1804" s="2">
        <v>52.36</v>
      </c>
      <c r="BO1804" s="2">
        <v>52.36</v>
      </c>
      <c r="BQ1804" s="2" t="s">
        <v>82</v>
      </c>
      <c r="BR1804" s="2" t="s">
        <v>103</v>
      </c>
      <c r="BS1804" s="3">
        <v>43083</v>
      </c>
      <c r="BT1804" s="4">
        <v>0.37847222222222227</v>
      </c>
      <c r="BU1804" s="2" t="s">
        <v>2188</v>
      </c>
      <c r="BV1804" s="2" t="s">
        <v>85</v>
      </c>
      <c r="BY1804" s="2">
        <v>1200</v>
      </c>
      <c r="CA1804" s="2" t="s">
        <v>578</v>
      </c>
      <c r="CC1804" s="2" t="s">
        <v>760</v>
      </c>
      <c r="CD1804" s="2">
        <v>4026</v>
      </c>
      <c r="CE1804" s="2" t="s">
        <v>120</v>
      </c>
      <c r="CF1804" s="3">
        <v>43084</v>
      </c>
      <c r="CI1804" s="2">
        <v>1</v>
      </c>
      <c r="CJ1804" s="2">
        <v>1</v>
      </c>
      <c r="CK1804" s="2">
        <v>21</v>
      </c>
      <c r="CL1804" s="2" t="s">
        <v>89</v>
      </c>
    </row>
    <row r="1805" spans="1:90">
      <c r="A1805" s="2" t="s">
        <v>71</v>
      </c>
      <c r="B1805" s="2" t="s">
        <v>72</v>
      </c>
      <c r="C1805" s="2" t="s">
        <v>73</v>
      </c>
      <c r="E1805" s="2" t="str">
        <f>"FES1162595023"</f>
        <v>FES1162595023</v>
      </c>
      <c r="F1805" s="3">
        <v>43082</v>
      </c>
      <c r="G1805" s="2">
        <v>201806</v>
      </c>
      <c r="H1805" s="2" t="s">
        <v>74</v>
      </c>
      <c r="I1805" s="2" t="s">
        <v>75</v>
      </c>
      <c r="J1805" s="2" t="s">
        <v>97</v>
      </c>
      <c r="K1805" s="2" t="s">
        <v>77</v>
      </c>
      <c r="L1805" s="2" t="s">
        <v>125</v>
      </c>
      <c r="M1805" s="2" t="s">
        <v>126</v>
      </c>
      <c r="N1805" s="2" t="s">
        <v>514</v>
      </c>
      <c r="O1805" s="2" t="s">
        <v>101</v>
      </c>
      <c r="P1805" s="2" t="str">
        <f>"2170605024                    "</f>
        <v xml:space="preserve">2170605024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6.43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</v>
      </c>
      <c r="BJ1805" s="2">
        <v>0.2</v>
      </c>
      <c r="BK1805" s="2">
        <v>1</v>
      </c>
      <c r="BL1805" s="2">
        <v>45.93</v>
      </c>
      <c r="BM1805" s="2">
        <v>6.43</v>
      </c>
      <c r="BN1805" s="2">
        <v>52.36</v>
      </c>
      <c r="BO1805" s="2">
        <v>52.36</v>
      </c>
      <c r="BQ1805" s="2" t="s">
        <v>515</v>
      </c>
      <c r="BR1805" s="2" t="s">
        <v>103</v>
      </c>
      <c r="BS1805" s="3">
        <v>43083</v>
      </c>
      <c r="BT1805" s="4">
        <v>0.32569444444444445</v>
      </c>
      <c r="BU1805" s="2" t="s">
        <v>2133</v>
      </c>
      <c r="BV1805" s="2" t="s">
        <v>85</v>
      </c>
      <c r="BY1805" s="2">
        <v>1200</v>
      </c>
      <c r="CA1805" s="2" t="s">
        <v>507</v>
      </c>
      <c r="CC1805" s="2" t="s">
        <v>126</v>
      </c>
      <c r="CD1805" s="2">
        <v>4001</v>
      </c>
      <c r="CE1805" s="2" t="s">
        <v>120</v>
      </c>
      <c r="CF1805" s="3">
        <v>43084</v>
      </c>
      <c r="CI1805" s="2">
        <v>1</v>
      </c>
      <c r="CJ1805" s="2">
        <v>1</v>
      </c>
      <c r="CK1805" s="2">
        <v>21</v>
      </c>
      <c r="CL1805" s="2" t="s">
        <v>89</v>
      </c>
    </row>
    <row r="1806" spans="1:90">
      <c r="A1806" s="2" t="s">
        <v>71</v>
      </c>
      <c r="B1806" s="2" t="s">
        <v>72</v>
      </c>
      <c r="C1806" s="2" t="s">
        <v>73</v>
      </c>
      <c r="E1806" s="2" t="str">
        <f>"FES1162595380"</f>
        <v>FES1162595380</v>
      </c>
      <c r="F1806" s="3">
        <v>43082</v>
      </c>
      <c r="G1806" s="2">
        <v>201806</v>
      </c>
      <c r="H1806" s="2" t="s">
        <v>74</v>
      </c>
      <c r="I1806" s="2" t="s">
        <v>75</v>
      </c>
      <c r="J1806" s="2" t="s">
        <v>97</v>
      </c>
      <c r="K1806" s="2" t="s">
        <v>77</v>
      </c>
      <c r="L1806" s="2" t="s">
        <v>125</v>
      </c>
      <c r="M1806" s="2" t="s">
        <v>126</v>
      </c>
      <c r="N1806" s="2" t="s">
        <v>2077</v>
      </c>
      <c r="O1806" s="2" t="s">
        <v>101</v>
      </c>
      <c r="P1806" s="2" t="str">
        <f>"2170607233                    "</f>
        <v xml:space="preserve">2170607233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8.0399999999999991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1.2</v>
      </c>
      <c r="BJ1806" s="2">
        <v>2.1</v>
      </c>
      <c r="BK1806" s="2">
        <v>2.5</v>
      </c>
      <c r="BL1806" s="2">
        <v>57.41</v>
      </c>
      <c r="BM1806" s="2">
        <v>8.0399999999999991</v>
      </c>
      <c r="BN1806" s="2">
        <v>65.45</v>
      </c>
      <c r="BO1806" s="2">
        <v>65.45</v>
      </c>
      <c r="BQ1806" s="2" t="s">
        <v>82</v>
      </c>
      <c r="BR1806" s="2" t="s">
        <v>103</v>
      </c>
      <c r="BS1806" s="3">
        <v>43083</v>
      </c>
      <c r="BT1806" s="4">
        <v>0.37291666666666662</v>
      </c>
      <c r="BU1806" s="2" t="s">
        <v>2183</v>
      </c>
      <c r="BV1806" s="2" t="s">
        <v>85</v>
      </c>
      <c r="BY1806" s="2">
        <v>10351.66</v>
      </c>
      <c r="CA1806" s="2" t="s">
        <v>135</v>
      </c>
      <c r="CC1806" s="2" t="s">
        <v>126</v>
      </c>
      <c r="CD1806" s="2">
        <v>4068</v>
      </c>
      <c r="CE1806" s="2" t="s">
        <v>95</v>
      </c>
      <c r="CF1806" s="3">
        <v>43084</v>
      </c>
      <c r="CI1806" s="2">
        <v>1</v>
      </c>
      <c r="CJ1806" s="2">
        <v>1</v>
      </c>
      <c r="CK1806" s="2">
        <v>21</v>
      </c>
      <c r="CL1806" s="2" t="s">
        <v>89</v>
      </c>
    </row>
    <row r="1807" spans="1:90">
      <c r="A1807" s="2" t="s">
        <v>71</v>
      </c>
      <c r="B1807" s="2" t="s">
        <v>72</v>
      </c>
      <c r="C1807" s="2" t="s">
        <v>73</v>
      </c>
      <c r="E1807" s="2" t="str">
        <f>"FES1162595416"</f>
        <v>FES1162595416</v>
      </c>
      <c r="F1807" s="3">
        <v>43082</v>
      </c>
      <c r="G1807" s="2">
        <v>201806</v>
      </c>
      <c r="H1807" s="2" t="s">
        <v>74</v>
      </c>
      <c r="I1807" s="2" t="s">
        <v>75</v>
      </c>
      <c r="J1807" s="2" t="s">
        <v>97</v>
      </c>
      <c r="K1807" s="2" t="s">
        <v>77</v>
      </c>
      <c r="L1807" s="2" t="s">
        <v>125</v>
      </c>
      <c r="M1807" s="2" t="s">
        <v>126</v>
      </c>
      <c r="N1807" s="2" t="s">
        <v>514</v>
      </c>
      <c r="O1807" s="2" t="s">
        <v>101</v>
      </c>
      <c r="P1807" s="2" t="str">
        <f>"2170607277                    "</f>
        <v xml:space="preserve">2170607277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6.43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1</v>
      </c>
      <c r="BJ1807" s="2">
        <v>0.2</v>
      </c>
      <c r="BK1807" s="2">
        <v>1</v>
      </c>
      <c r="BL1807" s="2">
        <v>45.93</v>
      </c>
      <c r="BM1807" s="2">
        <v>6.43</v>
      </c>
      <c r="BN1807" s="2">
        <v>52.36</v>
      </c>
      <c r="BO1807" s="2">
        <v>52.36</v>
      </c>
      <c r="BQ1807" s="2" t="s">
        <v>515</v>
      </c>
      <c r="BR1807" s="2" t="s">
        <v>103</v>
      </c>
      <c r="BS1807" s="3">
        <v>43083</v>
      </c>
      <c r="BT1807" s="4">
        <v>0.32569444444444445</v>
      </c>
      <c r="BU1807" s="2" t="s">
        <v>2133</v>
      </c>
      <c r="BV1807" s="2" t="s">
        <v>85</v>
      </c>
      <c r="BY1807" s="2">
        <v>1200</v>
      </c>
      <c r="CA1807" s="2" t="s">
        <v>507</v>
      </c>
      <c r="CC1807" s="2" t="s">
        <v>126</v>
      </c>
      <c r="CD1807" s="2">
        <v>4001</v>
      </c>
      <c r="CE1807" s="2" t="s">
        <v>120</v>
      </c>
      <c r="CF1807" s="3">
        <v>43084</v>
      </c>
      <c r="CI1807" s="2">
        <v>1</v>
      </c>
      <c r="CJ1807" s="2">
        <v>1</v>
      </c>
      <c r="CK1807" s="2">
        <v>21</v>
      </c>
      <c r="CL1807" s="2" t="s">
        <v>89</v>
      </c>
    </row>
    <row r="1808" spans="1:90">
      <c r="A1808" s="2" t="s">
        <v>71</v>
      </c>
      <c r="B1808" s="2" t="s">
        <v>72</v>
      </c>
      <c r="C1808" s="2" t="s">
        <v>73</v>
      </c>
      <c r="E1808" s="2" t="str">
        <f>"FES1162594922"</f>
        <v>FES1162594922</v>
      </c>
      <c r="F1808" s="3">
        <v>43082</v>
      </c>
      <c r="G1808" s="2">
        <v>201806</v>
      </c>
      <c r="H1808" s="2" t="s">
        <v>74</v>
      </c>
      <c r="I1808" s="2" t="s">
        <v>75</v>
      </c>
      <c r="J1808" s="2" t="s">
        <v>97</v>
      </c>
      <c r="K1808" s="2" t="s">
        <v>77</v>
      </c>
      <c r="L1808" s="2" t="s">
        <v>131</v>
      </c>
      <c r="M1808" s="2" t="s">
        <v>132</v>
      </c>
      <c r="N1808" s="2" t="s">
        <v>2196</v>
      </c>
      <c r="O1808" s="2" t="s">
        <v>101</v>
      </c>
      <c r="P1808" s="2" t="str">
        <f>"2170606825                    "</f>
        <v xml:space="preserve">2170606825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6.43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1</v>
      </c>
      <c r="BJ1808" s="2">
        <v>0.2</v>
      </c>
      <c r="BK1808" s="2">
        <v>1</v>
      </c>
      <c r="BL1808" s="2">
        <v>45.93</v>
      </c>
      <c r="BM1808" s="2">
        <v>6.43</v>
      </c>
      <c r="BN1808" s="2">
        <v>52.36</v>
      </c>
      <c r="BO1808" s="2">
        <v>52.36</v>
      </c>
      <c r="BQ1808" s="2" t="s">
        <v>82</v>
      </c>
      <c r="BR1808" s="2" t="s">
        <v>103</v>
      </c>
      <c r="BS1808" s="3">
        <v>43083</v>
      </c>
      <c r="BT1808" s="4">
        <v>0.4375</v>
      </c>
      <c r="BU1808" s="2" t="s">
        <v>2186</v>
      </c>
      <c r="BV1808" s="2" t="s">
        <v>85</v>
      </c>
      <c r="BY1808" s="2">
        <v>1200</v>
      </c>
      <c r="CA1808" s="2" t="s">
        <v>135</v>
      </c>
      <c r="CC1808" s="2" t="s">
        <v>132</v>
      </c>
      <c r="CD1808" s="2">
        <v>4302</v>
      </c>
      <c r="CE1808" s="2" t="s">
        <v>120</v>
      </c>
      <c r="CF1808" s="3">
        <v>43084</v>
      </c>
      <c r="CI1808" s="2">
        <v>1</v>
      </c>
      <c r="CJ1808" s="2">
        <v>1</v>
      </c>
      <c r="CK1808" s="2">
        <v>21</v>
      </c>
      <c r="CL1808" s="2" t="s">
        <v>89</v>
      </c>
    </row>
    <row r="1809" spans="1:90">
      <c r="A1809" s="2" t="s">
        <v>71</v>
      </c>
      <c r="B1809" s="2" t="s">
        <v>72</v>
      </c>
      <c r="C1809" s="2" t="s">
        <v>73</v>
      </c>
      <c r="E1809" s="2" t="str">
        <f>"FES1162595220"</f>
        <v>FES1162595220</v>
      </c>
      <c r="F1809" s="3">
        <v>43082</v>
      </c>
      <c r="G1809" s="2">
        <v>201806</v>
      </c>
      <c r="H1809" s="2" t="s">
        <v>74</v>
      </c>
      <c r="I1809" s="2" t="s">
        <v>75</v>
      </c>
      <c r="J1809" s="2" t="s">
        <v>97</v>
      </c>
      <c r="K1809" s="2" t="s">
        <v>77</v>
      </c>
      <c r="L1809" s="2" t="s">
        <v>98</v>
      </c>
      <c r="M1809" s="2" t="s">
        <v>99</v>
      </c>
      <c r="N1809" s="2" t="s">
        <v>607</v>
      </c>
      <c r="O1809" s="2" t="s">
        <v>101</v>
      </c>
      <c r="P1809" s="2" t="str">
        <f>"2170607116                    "</f>
        <v xml:space="preserve">2170607116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6.43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0.2</v>
      </c>
      <c r="BK1809" s="2">
        <v>1</v>
      </c>
      <c r="BL1809" s="2">
        <v>45.93</v>
      </c>
      <c r="BM1809" s="2">
        <v>6.43</v>
      </c>
      <c r="BN1809" s="2">
        <v>52.36</v>
      </c>
      <c r="BO1809" s="2">
        <v>52.36</v>
      </c>
      <c r="BQ1809" s="2" t="s">
        <v>82</v>
      </c>
      <c r="BR1809" s="2" t="s">
        <v>103</v>
      </c>
      <c r="BS1809" s="3">
        <v>43083</v>
      </c>
      <c r="BT1809" s="4">
        <v>0.42708333333333331</v>
      </c>
      <c r="BU1809" s="2" t="s">
        <v>2197</v>
      </c>
      <c r="BV1809" s="2" t="s">
        <v>85</v>
      </c>
      <c r="BY1809" s="2">
        <v>1200</v>
      </c>
      <c r="CA1809" s="2" t="s">
        <v>497</v>
      </c>
      <c r="CC1809" s="2" t="s">
        <v>99</v>
      </c>
      <c r="CD1809" s="2">
        <v>3201</v>
      </c>
      <c r="CE1809" s="2" t="s">
        <v>120</v>
      </c>
      <c r="CF1809" s="3">
        <v>43084</v>
      </c>
      <c r="CI1809" s="2">
        <v>1</v>
      </c>
      <c r="CJ1809" s="2">
        <v>1</v>
      </c>
      <c r="CK1809" s="2">
        <v>21</v>
      </c>
      <c r="CL1809" s="2" t="s">
        <v>89</v>
      </c>
    </row>
    <row r="1810" spans="1:90">
      <c r="A1810" s="2" t="s">
        <v>71</v>
      </c>
      <c r="B1810" s="2" t="s">
        <v>72</v>
      </c>
      <c r="C1810" s="2" t="s">
        <v>73</v>
      </c>
      <c r="E1810" s="2" t="str">
        <f>"FES1162595073"</f>
        <v>FES1162595073</v>
      </c>
      <c r="F1810" s="3">
        <v>43082</v>
      </c>
      <c r="G1810" s="2">
        <v>201806</v>
      </c>
      <c r="H1810" s="2" t="s">
        <v>74</v>
      </c>
      <c r="I1810" s="2" t="s">
        <v>75</v>
      </c>
      <c r="J1810" s="2" t="s">
        <v>97</v>
      </c>
      <c r="K1810" s="2" t="s">
        <v>77</v>
      </c>
      <c r="L1810" s="2" t="s">
        <v>125</v>
      </c>
      <c r="M1810" s="2" t="s">
        <v>126</v>
      </c>
      <c r="N1810" s="2" t="s">
        <v>1311</v>
      </c>
      <c r="O1810" s="2" t="s">
        <v>101</v>
      </c>
      <c r="P1810" s="2" t="str">
        <f>"2170601566                    "</f>
        <v xml:space="preserve">2170601566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57.88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18</v>
      </c>
      <c r="BJ1810" s="2">
        <v>10.3</v>
      </c>
      <c r="BK1810" s="2">
        <v>18</v>
      </c>
      <c r="BL1810" s="2">
        <v>413.22</v>
      </c>
      <c r="BM1810" s="2">
        <v>57.85</v>
      </c>
      <c r="BN1810" s="2">
        <v>471.07</v>
      </c>
      <c r="BO1810" s="2">
        <v>471.07</v>
      </c>
      <c r="BQ1810" s="2" t="s">
        <v>102</v>
      </c>
      <c r="BR1810" s="2" t="s">
        <v>103</v>
      </c>
      <c r="BS1810" s="3">
        <v>43083</v>
      </c>
      <c r="BT1810" s="4">
        <v>0.4770833333333333</v>
      </c>
      <c r="BU1810" s="2" t="s">
        <v>2198</v>
      </c>
      <c r="BV1810" s="2" t="s">
        <v>89</v>
      </c>
      <c r="BW1810" s="2" t="s">
        <v>149</v>
      </c>
      <c r="BX1810" s="2" t="s">
        <v>219</v>
      </c>
      <c r="BY1810" s="2">
        <v>51255</v>
      </c>
      <c r="CA1810" s="2" t="s">
        <v>2199</v>
      </c>
      <c r="CC1810" s="2" t="s">
        <v>126</v>
      </c>
      <c r="CD1810" s="2">
        <v>4052</v>
      </c>
      <c r="CE1810" s="2" t="s">
        <v>95</v>
      </c>
      <c r="CF1810" s="3">
        <v>43084</v>
      </c>
      <c r="CI1810" s="2">
        <v>1</v>
      </c>
      <c r="CJ1810" s="2">
        <v>1</v>
      </c>
      <c r="CK1810" s="2">
        <v>21</v>
      </c>
      <c r="CL1810" s="2" t="s">
        <v>89</v>
      </c>
    </row>
    <row r="1811" spans="1:90">
      <c r="A1811" s="2" t="s">
        <v>71</v>
      </c>
      <c r="B1811" s="2" t="s">
        <v>72</v>
      </c>
      <c r="C1811" s="2" t="s">
        <v>73</v>
      </c>
      <c r="E1811" s="2" t="str">
        <f>"FES1162595076"</f>
        <v>FES1162595076</v>
      </c>
      <c r="F1811" s="3">
        <v>43082</v>
      </c>
      <c r="G1811" s="2">
        <v>201806</v>
      </c>
      <c r="H1811" s="2" t="s">
        <v>74</v>
      </c>
      <c r="I1811" s="2" t="s">
        <v>75</v>
      </c>
      <c r="J1811" s="2" t="s">
        <v>97</v>
      </c>
      <c r="K1811" s="2" t="s">
        <v>77</v>
      </c>
      <c r="L1811" s="2" t="s">
        <v>136</v>
      </c>
      <c r="M1811" s="2" t="s">
        <v>137</v>
      </c>
      <c r="N1811" s="2" t="s">
        <v>1544</v>
      </c>
      <c r="O1811" s="2" t="s">
        <v>101</v>
      </c>
      <c r="P1811" s="2" t="str">
        <f>"2170602256                    "</f>
        <v xml:space="preserve">2170602256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6.43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1.7</v>
      </c>
      <c r="BJ1811" s="2">
        <v>1.4</v>
      </c>
      <c r="BK1811" s="2">
        <v>2</v>
      </c>
      <c r="BL1811" s="2">
        <v>45.93</v>
      </c>
      <c r="BM1811" s="2">
        <v>6.43</v>
      </c>
      <c r="BN1811" s="2">
        <v>52.36</v>
      </c>
      <c r="BO1811" s="2">
        <v>52.36</v>
      </c>
      <c r="BP1811" s="2" t="s">
        <v>2200</v>
      </c>
      <c r="BQ1811" s="2" t="s">
        <v>128</v>
      </c>
      <c r="BR1811" s="2" t="s">
        <v>103</v>
      </c>
      <c r="BS1811" s="3">
        <v>43083</v>
      </c>
      <c r="BT1811" s="4">
        <v>0.4055555555555555</v>
      </c>
      <c r="BU1811" s="2" t="s">
        <v>1545</v>
      </c>
      <c r="BV1811" s="2" t="s">
        <v>85</v>
      </c>
      <c r="BY1811" s="2">
        <v>6982.57</v>
      </c>
      <c r="BZ1811" s="2" t="s">
        <v>27</v>
      </c>
      <c r="CA1811" s="2" t="s">
        <v>261</v>
      </c>
      <c r="CC1811" s="2" t="s">
        <v>137</v>
      </c>
      <c r="CD1811" s="2">
        <v>6070</v>
      </c>
      <c r="CE1811" s="2" t="s">
        <v>288</v>
      </c>
      <c r="CF1811" s="3">
        <v>43084</v>
      </c>
      <c r="CI1811" s="2">
        <v>1</v>
      </c>
      <c r="CJ1811" s="2">
        <v>1</v>
      </c>
      <c r="CK1811" s="2">
        <v>21</v>
      </c>
      <c r="CL1811" s="2" t="s">
        <v>89</v>
      </c>
    </row>
    <row r="1812" spans="1:90">
      <c r="A1812" s="2" t="s">
        <v>71</v>
      </c>
      <c r="B1812" s="2" t="s">
        <v>72</v>
      </c>
      <c r="C1812" s="2" t="s">
        <v>73</v>
      </c>
      <c r="E1812" s="2" t="str">
        <f>"FES1162595086"</f>
        <v>FES1162595086</v>
      </c>
      <c r="F1812" s="3">
        <v>43082</v>
      </c>
      <c r="G1812" s="2">
        <v>201806</v>
      </c>
      <c r="H1812" s="2" t="s">
        <v>74</v>
      </c>
      <c r="I1812" s="2" t="s">
        <v>75</v>
      </c>
      <c r="J1812" s="2" t="s">
        <v>97</v>
      </c>
      <c r="K1812" s="2" t="s">
        <v>77</v>
      </c>
      <c r="L1812" s="2" t="s">
        <v>490</v>
      </c>
      <c r="M1812" s="2" t="s">
        <v>491</v>
      </c>
      <c r="N1812" s="2" t="s">
        <v>2201</v>
      </c>
      <c r="O1812" s="2" t="s">
        <v>101</v>
      </c>
      <c r="P1812" s="2" t="str">
        <f>"2170606995                    "</f>
        <v xml:space="preserve">2170606995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6.43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1.5</v>
      </c>
      <c r="BJ1812" s="2">
        <v>1.4</v>
      </c>
      <c r="BK1812" s="2">
        <v>1.5</v>
      </c>
      <c r="BL1812" s="2">
        <v>45.93</v>
      </c>
      <c r="BM1812" s="2">
        <v>6.43</v>
      </c>
      <c r="BN1812" s="2">
        <v>52.36</v>
      </c>
      <c r="BO1812" s="2">
        <v>52.36</v>
      </c>
      <c r="BQ1812" s="2" t="s">
        <v>82</v>
      </c>
      <c r="BR1812" s="2" t="s">
        <v>103</v>
      </c>
      <c r="BS1812" s="3">
        <v>43083</v>
      </c>
      <c r="BT1812" s="4">
        <v>0.54166666666666663</v>
      </c>
      <c r="BU1812" s="2" t="s">
        <v>2202</v>
      </c>
      <c r="BV1812" s="2" t="s">
        <v>85</v>
      </c>
      <c r="BY1812" s="2">
        <v>7044.75</v>
      </c>
      <c r="CA1812" s="2" t="s">
        <v>494</v>
      </c>
      <c r="CC1812" s="2" t="s">
        <v>491</v>
      </c>
      <c r="CD1812" s="2">
        <v>3699</v>
      </c>
      <c r="CE1812" s="2" t="s">
        <v>95</v>
      </c>
      <c r="CF1812" s="3">
        <v>43084</v>
      </c>
      <c r="CI1812" s="2">
        <v>1</v>
      </c>
      <c r="CJ1812" s="2">
        <v>1</v>
      </c>
      <c r="CK1812" s="2">
        <v>21</v>
      </c>
      <c r="CL1812" s="2" t="s">
        <v>89</v>
      </c>
    </row>
    <row r="1813" spans="1:90">
      <c r="A1813" s="2" t="s">
        <v>71</v>
      </c>
      <c r="B1813" s="2" t="s">
        <v>72</v>
      </c>
      <c r="C1813" s="2" t="s">
        <v>73</v>
      </c>
      <c r="E1813" s="2" t="str">
        <f>"FES1162595048"</f>
        <v>FES1162595048</v>
      </c>
      <c r="F1813" s="3">
        <v>43082</v>
      </c>
      <c r="G1813" s="2">
        <v>201806</v>
      </c>
      <c r="H1813" s="2" t="s">
        <v>74</v>
      </c>
      <c r="I1813" s="2" t="s">
        <v>75</v>
      </c>
      <c r="J1813" s="2" t="s">
        <v>97</v>
      </c>
      <c r="K1813" s="2" t="s">
        <v>77</v>
      </c>
      <c r="L1813" s="2" t="s">
        <v>98</v>
      </c>
      <c r="M1813" s="2" t="s">
        <v>99</v>
      </c>
      <c r="N1813" s="2" t="s">
        <v>2095</v>
      </c>
      <c r="O1813" s="2" t="s">
        <v>101</v>
      </c>
      <c r="P1813" s="2" t="str">
        <f>"2170606970                    "</f>
        <v xml:space="preserve">2170606970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6.43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1</v>
      </c>
      <c r="BJ1813" s="2">
        <v>0.2</v>
      </c>
      <c r="BK1813" s="2">
        <v>1</v>
      </c>
      <c r="BL1813" s="2">
        <v>45.93</v>
      </c>
      <c r="BM1813" s="2">
        <v>6.43</v>
      </c>
      <c r="BN1813" s="2">
        <v>52.36</v>
      </c>
      <c r="BO1813" s="2">
        <v>52.36</v>
      </c>
      <c r="BQ1813" s="2" t="s">
        <v>128</v>
      </c>
      <c r="BR1813" s="2" t="s">
        <v>103</v>
      </c>
      <c r="BS1813" s="3">
        <v>43083</v>
      </c>
      <c r="BT1813" s="4">
        <v>0.42499999999999999</v>
      </c>
      <c r="BU1813" s="2" t="s">
        <v>2190</v>
      </c>
      <c r="BV1813" s="2" t="s">
        <v>85</v>
      </c>
      <c r="BY1813" s="2">
        <v>1200</v>
      </c>
      <c r="CA1813" s="2" t="s">
        <v>497</v>
      </c>
      <c r="CC1813" s="2" t="s">
        <v>99</v>
      </c>
      <c r="CD1813" s="2">
        <v>3201</v>
      </c>
      <c r="CE1813" s="2" t="s">
        <v>120</v>
      </c>
      <c r="CF1813" s="3">
        <v>43084</v>
      </c>
      <c r="CI1813" s="2">
        <v>1</v>
      </c>
      <c r="CJ1813" s="2">
        <v>1</v>
      </c>
      <c r="CK1813" s="2">
        <v>21</v>
      </c>
      <c r="CL1813" s="2" t="s">
        <v>89</v>
      </c>
    </row>
    <row r="1814" spans="1:90">
      <c r="A1814" s="2" t="s">
        <v>71</v>
      </c>
      <c r="B1814" s="2" t="s">
        <v>72</v>
      </c>
      <c r="C1814" s="2" t="s">
        <v>73</v>
      </c>
      <c r="E1814" s="2" t="str">
        <f>"FES1162594757"</f>
        <v>FES1162594757</v>
      </c>
      <c r="F1814" s="3">
        <v>43082</v>
      </c>
      <c r="G1814" s="2">
        <v>201806</v>
      </c>
      <c r="H1814" s="2" t="s">
        <v>74</v>
      </c>
      <c r="I1814" s="2" t="s">
        <v>75</v>
      </c>
      <c r="J1814" s="2" t="s">
        <v>97</v>
      </c>
      <c r="K1814" s="2" t="s">
        <v>77</v>
      </c>
      <c r="L1814" s="2" t="s">
        <v>125</v>
      </c>
      <c r="M1814" s="2" t="s">
        <v>126</v>
      </c>
      <c r="N1814" s="2" t="s">
        <v>775</v>
      </c>
      <c r="O1814" s="2" t="s">
        <v>101</v>
      </c>
      <c r="P1814" s="2" t="str">
        <f>"2170606647                    "</f>
        <v xml:space="preserve">2170606647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8.0399999999999991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2.1</v>
      </c>
      <c r="BJ1814" s="2">
        <v>0.7</v>
      </c>
      <c r="BK1814" s="2">
        <v>2.5</v>
      </c>
      <c r="BL1814" s="2">
        <v>57.41</v>
      </c>
      <c r="BM1814" s="2">
        <v>8.0399999999999991</v>
      </c>
      <c r="BN1814" s="2">
        <v>65.45</v>
      </c>
      <c r="BO1814" s="2">
        <v>65.45</v>
      </c>
      <c r="BQ1814" s="2" t="s">
        <v>82</v>
      </c>
      <c r="BR1814" s="2" t="s">
        <v>103</v>
      </c>
      <c r="BS1814" s="3">
        <v>43083</v>
      </c>
      <c r="BT1814" s="4">
        <v>0.42430555555555555</v>
      </c>
      <c r="BU1814" s="2" t="s">
        <v>2203</v>
      </c>
      <c r="BV1814" s="2" t="s">
        <v>85</v>
      </c>
      <c r="BY1814" s="2">
        <v>3540.9</v>
      </c>
      <c r="CA1814" s="2" t="s">
        <v>1313</v>
      </c>
      <c r="CC1814" s="2" t="s">
        <v>126</v>
      </c>
      <c r="CD1814" s="2">
        <v>4052</v>
      </c>
      <c r="CE1814" s="2" t="s">
        <v>95</v>
      </c>
      <c r="CF1814" s="3">
        <v>43084</v>
      </c>
      <c r="CI1814" s="2">
        <v>1</v>
      </c>
      <c r="CJ1814" s="2">
        <v>1</v>
      </c>
      <c r="CK1814" s="2">
        <v>21</v>
      </c>
      <c r="CL1814" s="2" t="s">
        <v>89</v>
      </c>
    </row>
    <row r="1815" spans="1:90">
      <c r="A1815" s="2" t="s">
        <v>71</v>
      </c>
      <c r="B1815" s="2" t="s">
        <v>72</v>
      </c>
      <c r="C1815" s="2" t="s">
        <v>73</v>
      </c>
      <c r="E1815" s="2" t="str">
        <f>"FES1162595014"</f>
        <v>FES1162595014</v>
      </c>
      <c r="F1815" s="3">
        <v>43082</v>
      </c>
      <c r="G1815" s="2">
        <v>201806</v>
      </c>
      <c r="H1815" s="2" t="s">
        <v>74</v>
      </c>
      <c r="I1815" s="2" t="s">
        <v>75</v>
      </c>
      <c r="J1815" s="2" t="s">
        <v>97</v>
      </c>
      <c r="K1815" s="2" t="s">
        <v>77</v>
      </c>
      <c r="L1815" s="2" t="s">
        <v>168</v>
      </c>
      <c r="M1815" s="2" t="s">
        <v>169</v>
      </c>
      <c r="N1815" s="2" t="s">
        <v>2204</v>
      </c>
      <c r="O1815" s="2" t="s">
        <v>101</v>
      </c>
      <c r="P1815" s="2" t="str">
        <f>"2170606937                    "</f>
        <v xml:space="preserve">2170606937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6.43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</v>
      </c>
      <c r="BJ1815" s="2">
        <v>0.2</v>
      </c>
      <c r="BK1815" s="2">
        <v>1</v>
      </c>
      <c r="BL1815" s="2">
        <v>45.93</v>
      </c>
      <c r="BM1815" s="2">
        <v>6.43</v>
      </c>
      <c r="BN1815" s="2">
        <v>52.36</v>
      </c>
      <c r="BO1815" s="2">
        <v>52.36</v>
      </c>
      <c r="BQ1815" s="2" t="s">
        <v>128</v>
      </c>
      <c r="BR1815" s="2" t="s">
        <v>103</v>
      </c>
      <c r="BS1815" s="3">
        <v>43083</v>
      </c>
      <c r="BT1815" s="4">
        <v>0.375</v>
      </c>
      <c r="BU1815" s="2" t="s">
        <v>2205</v>
      </c>
      <c r="BV1815" s="2" t="s">
        <v>85</v>
      </c>
      <c r="BY1815" s="2">
        <v>1200</v>
      </c>
      <c r="CA1815" s="2" t="s">
        <v>2206</v>
      </c>
      <c r="CC1815" s="2" t="s">
        <v>169</v>
      </c>
      <c r="CD1815" s="2">
        <v>3600</v>
      </c>
      <c r="CE1815" s="2" t="s">
        <v>120</v>
      </c>
      <c r="CF1815" s="3">
        <v>43087</v>
      </c>
      <c r="CI1815" s="2">
        <v>1</v>
      </c>
      <c r="CJ1815" s="2">
        <v>1</v>
      </c>
      <c r="CK1815" s="2">
        <v>21</v>
      </c>
      <c r="CL1815" s="2" t="s">
        <v>89</v>
      </c>
    </row>
    <row r="1816" spans="1:90">
      <c r="A1816" s="2" t="s">
        <v>71</v>
      </c>
      <c r="B1816" s="2" t="s">
        <v>72</v>
      </c>
      <c r="C1816" s="2" t="s">
        <v>73</v>
      </c>
      <c r="E1816" s="2" t="str">
        <f>"FES1162594885"</f>
        <v>FES1162594885</v>
      </c>
      <c r="F1816" s="3">
        <v>43082</v>
      </c>
      <c r="G1816" s="2">
        <v>201806</v>
      </c>
      <c r="H1816" s="2" t="s">
        <v>74</v>
      </c>
      <c r="I1816" s="2" t="s">
        <v>75</v>
      </c>
      <c r="J1816" s="2" t="s">
        <v>97</v>
      </c>
      <c r="K1816" s="2" t="s">
        <v>77</v>
      </c>
      <c r="L1816" s="2" t="s">
        <v>125</v>
      </c>
      <c r="M1816" s="2" t="s">
        <v>126</v>
      </c>
      <c r="N1816" s="2" t="s">
        <v>775</v>
      </c>
      <c r="O1816" s="2" t="s">
        <v>101</v>
      </c>
      <c r="P1816" s="2" t="str">
        <f>"2170606780                    "</f>
        <v xml:space="preserve">2170606780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11.26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2.5</v>
      </c>
      <c r="BJ1816" s="2">
        <v>3.5</v>
      </c>
      <c r="BK1816" s="2">
        <v>3.5</v>
      </c>
      <c r="BL1816" s="2">
        <v>80.37</v>
      </c>
      <c r="BM1816" s="2">
        <v>11.25</v>
      </c>
      <c r="BN1816" s="2">
        <v>91.62</v>
      </c>
      <c r="BO1816" s="2">
        <v>91.62</v>
      </c>
      <c r="BQ1816" s="2" t="s">
        <v>82</v>
      </c>
      <c r="BR1816" s="2" t="s">
        <v>103</v>
      </c>
      <c r="BS1816" s="3">
        <v>43083</v>
      </c>
      <c r="BT1816" s="4">
        <v>0.42708333333333331</v>
      </c>
      <c r="BU1816" s="2" t="s">
        <v>2203</v>
      </c>
      <c r="BV1816" s="2" t="s">
        <v>85</v>
      </c>
      <c r="BY1816" s="2">
        <v>17371.97</v>
      </c>
      <c r="CA1816" s="2" t="s">
        <v>1313</v>
      </c>
      <c r="CC1816" s="2" t="s">
        <v>126</v>
      </c>
      <c r="CD1816" s="2">
        <v>4052</v>
      </c>
      <c r="CE1816" s="2" t="s">
        <v>95</v>
      </c>
      <c r="CF1816" s="3">
        <v>43084</v>
      </c>
      <c r="CI1816" s="2">
        <v>1</v>
      </c>
      <c r="CJ1816" s="2">
        <v>1</v>
      </c>
      <c r="CK1816" s="2">
        <v>21</v>
      </c>
      <c r="CL1816" s="2" t="s">
        <v>89</v>
      </c>
    </row>
    <row r="1817" spans="1:90">
      <c r="A1817" s="2" t="s">
        <v>71</v>
      </c>
      <c r="B1817" s="2" t="s">
        <v>72</v>
      </c>
      <c r="C1817" s="2" t="s">
        <v>73</v>
      </c>
      <c r="E1817" s="2" t="str">
        <f>"FES1162595417"</f>
        <v>FES1162595417</v>
      </c>
      <c r="F1817" s="3">
        <v>43082</v>
      </c>
      <c r="G1817" s="2">
        <v>201806</v>
      </c>
      <c r="H1817" s="2" t="s">
        <v>74</v>
      </c>
      <c r="I1817" s="2" t="s">
        <v>75</v>
      </c>
      <c r="J1817" s="2" t="s">
        <v>97</v>
      </c>
      <c r="K1817" s="2" t="s">
        <v>77</v>
      </c>
      <c r="L1817" s="2" t="s">
        <v>125</v>
      </c>
      <c r="M1817" s="2" t="s">
        <v>126</v>
      </c>
      <c r="N1817" s="2" t="s">
        <v>2207</v>
      </c>
      <c r="O1817" s="2" t="s">
        <v>101</v>
      </c>
      <c r="P1817" s="2" t="str">
        <f>"2170607280                    "</f>
        <v xml:space="preserve">2170607280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16.079999999999998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5</v>
      </c>
      <c r="BJ1817" s="2">
        <v>1.5</v>
      </c>
      <c r="BK1817" s="2">
        <v>5</v>
      </c>
      <c r="BL1817" s="2">
        <v>114.8</v>
      </c>
      <c r="BM1817" s="2">
        <v>16.07</v>
      </c>
      <c r="BN1817" s="2">
        <v>130.87</v>
      </c>
      <c r="BO1817" s="2">
        <v>130.87</v>
      </c>
      <c r="BQ1817" s="2" t="s">
        <v>82</v>
      </c>
      <c r="BR1817" s="2" t="s">
        <v>103</v>
      </c>
      <c r="BS1817" s="3">
        <v>43083</v>
      </c>
      <c r="BT1817" s="4">
        <v>0.5</v>
      </c>
      <c r="BU1817" s="2" t="s">
        <v>2208</v>
      </c>
      <c r="BV1817" s="2" t="s">
        <v>89</v>
      </c>
      <c r="BY1817" s="2">
        <v>7574.34</v>
      </c>
      <c r="CA1817" s="2" t="s">
        <v>595</v>
      </c>
      <c r="CC1817" s="2" t="s">
        <v>126</v>
      </c>
      <c r="CD1817" s="2">
        <v>4051</v>
      </c>
      <c r="CE1817" s="2" t="s">
        <v>95</v>
      </c>
      <c r="CF1817" s="3">
        <v>43084</v>
      </c>
      <c r="CI1817" s="2">
        <v>1</v>
      </c>
      <c r="CJ1817" s="2">
        <v>1</v>
      </c>
      <c r="CK1817" s="2">
        <v>21</v>
      </c>
      <c r="CL1817" s="2" t="s">
        <v>89</v>
      </c>
    </row>
    <row r="1818" spans="1:90">
      <c r="A1818" s="2" t="s">
        <v>71</v>
      </c>
      <c r="B1818" s="2" t="s">
        <v>72</v>
      </c>
      <c r="C1818" s="2" t="s">
        <v>73</v>
      </c>
      <c r="E1818" s="2" t="str">
        <f>"FES1162594684"</f>
        <v>FES1162594684</v>
      </c>
      <c r="F1818" s="3">
        <v>43082</v>
      </c>
      <c r="G1818" s="2">
        <v>201806</v>
      </c>
      <c r="H1818" s="2" t="s">
        <v>74</v>
      </c>
      <c r="I1818" s="2" t="s">
        <v>75</v>
      </c>
      <c r="J1818" s="2" t="s">
        <v>97</v>
      </c>
      <c r="K1818" s="2" t="s">
        <v>77</v>
      </c>
      <c r="L1818" s="2" t="s">
        <v>168</v>
      </c>
      <c r="M1818" s="2" t="s">
        <v>169</v>
      </c>
      <c r="N1818" s="2" t="s">
        <v>351</v>
      </c>
      <c r="O1818" s="2" t="s">
        <v>101</v>
      </c>
      <c r="P1818" s="2" t="str">
        <f>"2170606551                    "</f>
        <v xml:space="preserve">2170606551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6.43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45.93</v>
      </c>
      <c r="BM1818" s="2">
        <v>6.43</v>
      </c>
      <c r="BN1818" s="2">
        <v>52.36</v>
      </c>
      <c r="BO1818" s="2">
        <v>52.36</v>
      </c>
      <c r="BQ1818" s="2" t="s">
        <v>102</v>
      </c>
      <c r="BR1818" s="2" t="s">
        <v>103</v>
      </c>
      <c r="BS1818" s="3">
        <v>43083</v>
      </c>
      <c r="BT1818" s="4">
        <v>0.33749999999999997</v>
      </c>
      <c r="BU1818" s="2" t="s">
        <v>868</v>
      </c>
      <c r="BV1818" s="2" t="s">
        <v>85</v>
      </c>
      <c r="BY1818" s="2">
        <v>1200</v>
      </c>
      <c r="CA1818" s="2" t="s">
        <v>220</v>
      </c>
      <c r="CC1818" s="2" t="s">
        <v>169</v>
      </c>
      <c r="CD1818" s="2">
        <v>3610</v>
      </c>
      <c r="CE1818" s="2" t="s">
        <v>120</v>
      </c>
      <c r="CF1818" s="3">
        <v>43084</v>
      </c>
      <c r="CI1818" s="2">
        <v>1</v>
      </c>
      <c r="CJ1818" s="2">
        <v>1</v>
      </c>
      <c r="CK1818" s="2">
        <v>21</v>
      </c>
      <c r="CL1818" s="2" t="s">
        <v>89</v>
      </c>
    </row>
    <row r="1819" spans="1:90">
      <c r="A1819" s="2" t="s">
        <v>71</v>
      </c>
      <c r="B1819" s="2" t="s">
        <v>72</v>
      </c>
      <c r="C1819" s="2" t="s">
        <v>73</v>
      </c>
      <c r="E1819" s="2" t="str">
        <f>"FES1162594853"</f>
        <v>FES1162594853</v>
      </c>
      <c r="F1819" s="3">
        <v>43082</v>
      </c>
      <c r="G1819" s="2">
        <v>201806</v>
      </c>
      <c r="H1819" s="2" t="s">
        <v>74</v>
      </c>
      <c r="I1819" s="2" t="s">
        <v>75</v>
      </c>
      <c r="J1819" s="2" t="s">
        <v>97</v>
      </c>
      <c r="K1819" s="2" t="s">
        <v>77</v>
      </c>
      <c r="L1819" s="2" t="s">
        <v>125</v>
      </c>
      <c r="M1819" s="2" t="s">
        <v>126</v>
      </c>
      <c r="N1819" s="2" t="s">
        <v>972</v>
      </c>
      <c r="O1819" s="2" t="s">
        <v>101</v>
      </c>
      <c r="P1819" s="2" t="str">
        <f>"2170606743                    "</f>
        <v xml:space="preserve">2170606743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30.55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4.9000000000000004</v>
      </c>
      <c r="BJ1819" s="2">
        <v>9.1999999999999993</v>
      </c>
      <c r="BK1819" s="2">
        <v>9.5</v>
      </c>
      <c r="BL1819" s="2">
        <v>218.1</v>
      </c>
      <c r="BM1819" s="2">
        <v>30.53</v>
      </c>
      <c r="BN1819" s="2">
        <v>248.63</v>
      </c>
      <c r="BO1819" s="2">
        <v>248.63</v>
      </c>
      <c r="BQ1819" s="2" t="s">
        <v>82</v>
      </c>
      <c r="BR1819" s="2" t="s">
        <v>103</v>
      </c>
      <c r="BS1819" s="3">
        <v>43083</v>
      </c>
      <c r="BT1819" s="4">
        <v>0.39999999999999997</v>
      </c>
      <c r="BU1819" s="2" t="s">
        <v>973</v>
      </c>
      <c r="BV1819" s="2" t="s">
        <v>85</v>
      </c>
      <c r="BY1819" s="2">
        <v>46137</v>
      </c>
      <c r="CA1819" s="2" t="s">
        <v>231</v>
      </c>
      <c r="CC1819" s="2" t="s">
        <v>126</v>
      </c>
      <c r="CD1819" s="2">
        <v>4051</v>
      </c>
      <c r="CE1819" s="2" t="s">
        <v>95</v>
      </c>
      <c r="CF1819" s="3">
        <v>43083</v>
      </c>
      <c r="CI1819" s="2">
        <v>1</v>
      </c>
      <c r="CJ1819" s="2">
        <v>1</v>
      </c>
      <c r="CK1819" s="2">
        <v>21</v>
      </c>
      <c r="CL1819" s="2" t="s">
        <v>89</v>
      </c>
    </row>
    <row r="1820" spans="1:90">
      <c r="A1820" s="2" t="s">
        <v>71</v>
      </c>
      <c r="B1820" s="2" t="s">
        <v>72</v>
      </c>
      <c r="C1820" s="2" t="s">
        <v>73</v>
      </c>
      <c r="E1820" s="2" t="str">
        <f>"FES1162595440"</f>
        <v>FES1162595440</v>
      </c>
      <c r="F1820" s="3">
        <v>43082</v>
      </c>
      <c r="G1820" s="2">
        <v>201806</v>
      </c>
      <c r="H1820" s="2" t="s">
        <v>74</v>
      </c>
      <c r="I1820" s="2" t="s">
        <v>75</v>
      </c>
      <c r="J1820" s="2" t="s">
        <v>97</v>
      </c>
      <c r="K1820" s="2" t="s">
        <v>77</v>
      </c>
      <c r="L1820" s="2" t="s">
        <v>1027</v>
      </c>
      <c r="M1820" s="2" t="s">
        <v>1028</v>
      </c>
      <c r="N1820" s="2" t="s">
        <v>1029</v>
      </c>
      <c r="O1820" s="2" t="s">
        <v>101</v>
      </c>
      <c r="P1820" s="2" t="str">
        <f>"2170607298                    "</f>
        <v xml:space="preserve">2170607298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6.43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</v>
      </c>
      <c r="BJ1820" s="2">
        <v>0.2</v>
      </c>
      <c r="BK1820" s="2">
        <v>1</v>
      </c>
      <c r="BL1820" s="2">
        <v>45.93</v>
      </c>
      <c r="BM1820" s="2">
        <v>6.43</v>
      </c>
      <c r="BN1820" s="2">
        <v>52.36</v>
      </c>
      <c r="BO1820" s="2">
        <v>52.36</v>
      </c>
      <c r="BQ1820" s="2" t="s">
        <v>82</v>
      </c>
      <c r="BR1820" s="2" t="s">
        <v>103</v>
      </c>
      <c r="BS1820" s="3">
        <v>43084</v>
      </c>
      <c r="BT1820" s="4">
        <v>0.5083333333333333</v>
      </c>
      <c r="BU1820" s="2" t="s">
        <v>2209</v>
      </c>
      <c r="BV1820" s="2" t="s">
        <v>85</v>
      </c>
      <c r="BY1820" s="2">
        <v>1200</v>
      </c>
      <c r="CA1820" s="2" t="s">
        <v>494</v>
      </c>
      <c r="CC1820" s="2" t="s">
        <v>1028</v>
      </c>
      <c r="CD1820" s="2">
        <v>3760</v>
      </c>
      <c r="CE1820" s="2" t="s">
        <v>120</v>
      </c>
      <c r="CF1820" s="3">
        <v>43088</v>
      </c>
      <c r="CI1820" s="2">
        <v>4</v>
      </c>
      <c r="CJ1820" s="2">
        <v>2</v>
      </c>
      <c r="CK1820" s="2">
        <v>21</v>
      </c>
      <c r="CL1820" s="2" t="s">
        <v>89</v>
      </c>
    </row>
    <row r="1821" spans="1:90">
      <c r="A1821" s="2" t="s">
        <v>71</v>
      </c>
      <c r="B1821" s="2" t="s">
        <v>72</v>
      </c>
      <c r="C1821" s="2" t="s">
        <v>73</v>
      </c>
      <c r="E1821" s="2" t="str">
        <f>"FES1162594651"</f>
        <v>FES1162594651</v>
      </c>
      <c r="F1821" s="3">
        <v>43082</v>
      </c>
      <c r="G1821" s="2">
        <v>201806</v>
      </c>
      <c r="H1821" s="2" t="s">
        <v>74</v>
      </c>
      <c r="I1821" s="2" t="s">
        <v>75</v>
      </c>
      <c r="J1821" s="2" t="s">
        <v>97</v>
      </c>
      <c r="K1821" s="2" t="s">
        <v>77</v>
      </c>
      <c r="L1821" s="2" t="s">
        <v>125</v>
      </c>
      <c r="M1821" s="2" t="s">
        <v>126</v>
      </c>
      <c r="N1821" s="2" t="s">
        <v>2089</v>
      </c>
      <c r="O1821" s="2" t="s">
        <v>101</v>
      </c>
      <c r="P1821" s="2" t="str">
        <f>"2170606500                    "</f>
        <v xml:space="preserve">2170606500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6.43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1</v>
      </c>
      <c r="BJ1821" s="2">
        <v>0.2</v>
      </c>
      <c r="BK1821" s="2">
        <v>1</v>
      </c>
      <c r="BL1821" s="2">
        <v>45.93</v>
      </c>
      <c r="BM1821" s="2">
        <v>6.43</v>
      </c>
      <c r="BN1821" s="2">
        <v>52.36</v>
      </c>
      <c r="BO1821" s="2">
        <v>52.36</v>
      </c>
      <c r="BQ1821" s="2" t="s">
        <v>82</v>
      </c>
      <c r="BR1821" s="2" t="s">
        <v>103</v>
      </c>
      <c r="BS1821" s="3">
        <v>43083</v>
      </c>
      <c r="BT1821" s="4">
        <v>0.40972222222222227</v>
      </c>
      <c r="BU1821" s="2" t="s">
        <v>2210</v>
      </c>
      <c r="BV1821" s="2" t="s">
        <v>85</v>
      </c>
      <c r="BY1821" s="2">
        <v>1200</v>
      </c>
      <c r="CA1821" s="2" t="s">
        <v>1313</v>
      </c>
      <c r="CC1821" s="2" t="s">
        <v>126</v>
      </c>
      <c r="CD1821" s="2">
        <v>4052</v>
      </c>
      <c r="CE1821" s="2" t="s">
        <v>120</v>
      </c>
      <c r="CF1821" s="3">
        <v>43084</v>
      </c>
      <c r="CI1821" s="2">
        <v>1</v>
      </c>
      <c r="CJ1821" s="2">
        <v>1</v>
      </c>
      <c r="CK1821" s="2">
        <v>21</v>
      </c>
      <c r="CL1821" s="2" t="s">
        <v>89</v>
      </c>
    </row>
    <row r="1822" spans="1:90">
      <c r="A1822" s="2" t="s">
        <v>71</v>
      </c>
      <c r="B1822" s="2" t="s">
        <v>72</v>
      </c>
      <c r="C1822" s="2" t="s">
        <v>73</v>
      </c>
      <c r="E1822" s="2" t="str">
        <f>"FES1162594685"</f>
        <v>FES1162594685</v>
      </c>
      <c r="F1822" s="3">
        <v>43082</v>
      </c>
      <c r="G1822" s="2">
        <v>201806</v>
      </c>
      <c r="H1822" s="2" t="s">
        <v>74</v>
      </c>
      <c r="I1822" s="2" t="s">
        <v>75</v>
      </c>
      <c r="J1822" s="2" t="s">
        <v>97</v>
      </c>
      <c r="K1822" s="2" t="s">
        <v>77</v>
      </c>
      <c r="L1822" s="2" t="s">
        <v>1976</v>
      </c>
      <c r="M1822" s="2" t="s">
        <v>1977</v>
      </c>
      <c r="N1822" s="2" t="s">
        <v>2137</v>
      </c>
      <c r="O1822" s="2" t="s">
        <v>101</v>
      </c>
      <c r="P1822" s="2" t="str">
        <f>"2170606552                    "</f>
        <v xml:space="preserve">2170606552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43.43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2</v>
      </c>
      <c r="BI1822" s="2">
        <v>5.3</v>
      </c>
      <c r="BJ1822" s="2">
        <v>7.3</v>
      </c>
      <c r="BK1822" s="2">
        <v>7.5</v>
      </c>
      <c r="BL1822" s="2">
        <v>310.04000000000002</v>
      </c>
      <c r="BM1822" s="2">
        <v>43.41</v>
      </c>
      <c r="BN1822" s="2">
        <v>353.45</v>
      </c>
      <c r="BO1822" s="2">
        <v>353.45</v>
      </c>
      <c r="BQ1822" s="2" t="s">
        <v>82</v>
      </c>
      <c r="BR1822" s="2" t="s">
        <v>103</v>
      </c>
      <c r="BS1822" s="3">
        <v>43083</v>
      </c>
      <c r="BT1822" s="4">
        <v>0.3659722222222222</v>
      </c>
      <c r="BU1822" s="2" t="s">
        <v>2211</v>
      </c>
      <c r="BV1822" s="2" t="s">
        <v>85</v>
      </c>
      <c r="BY1822" s="2">
        <v>36687.08</v>
      </c>
      <c r="CA1822" s="2" t="s">
        <v>225</v>
      </c>
      <c r="CC1822" s="2" t="s">
        <v>1977</v>
      </c>
      <c r="CD1822" s="2">
        <v>4339</v>
      </c>
      <c r="CE1822" s="2" t="s">
        <v>95</v>
      </c>
      <c r="CF1822" s="3">
        <v>43084</v>
      </c>
      <c r="CI1822" s="2">
        <v>1</v>
      </c>
      <c r="CJ1822" s="2">
        <v>1</v>
      </c>
      <c r="CK1822" s="2">
        <v>23</v>
      </c>
      <c r="CL1822" s="2" t="s">
        <v>89</v>
      </c>
    </row>
    <row r="1823" spans="1:90">
      <c r="A1823" s="2" t="s">
        <v>71</v>
      </c>
      <c r="B1823" s="2" t="s">
        <v>72</v>
      </c>
      <c r="C1823" s="2" t="s">
        <v>73</v>
      </c>
      <c r="E1823" s="2" t="str">
        <f>"FES1162594764"</f>
        <v>FES1162594764</v>
      </c>
      <c r="F1823" s="3">
        <v>43082</v>
      </c>
      <c r="G1823" s="2">
        <v>201806</v>
      </c>
      <c r="H1823" s="2" t="s">
        <v>74</v>
      </c>
      <c r="I1823" s="2" t="s">
        <v>75</v>
      </c>
      <c r="J1823" s="2" t="s">
        <v>97</v>
      </c>
      <c r="K1823" s="2" t="s">
        <v>77</v>
      </c>
      <c r="L1823" s="2" t="s">
        <v>125</v>
      </c>
      <c r="M1823" s="2" t="s">
        <v>126</v>
      </c>
      <c r="N1823" s="2" t="s">
        <v>2212</v>
      </c>
      <c r="O1823" s="2" t="s">
        <v>101</v>
      </c>
      <c r="P1823" s="2" t="str">
        <f>"2170606662                    "</f>
        <v xml:space="preserve">2170606662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6.43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1</v>
      </c>
      <c r="BJ1823" s="2">
        <v>0.2</v>
      </c>
      <c r="BK1823" s="2">
        <v>1</v>
      </c>
      <c r="BL1823" s="2">
        <v>45.93</v>
      </c>
      <c r="BM1823" s="2">
        <v>6.43</v>
      </c>
      <c r="BN1823" s="2">
        <v>52.36</v>
      </c>
      <c r="BO1823" s="2">
        <v>52.36</v>
      </c>
      <c r="BQ1823" s="2" t="s">
        <v>82</v>
      </c>
      <c r="BR1823" s="2" t="s">
        <v>103</v>
      </c>
      <c r="BS1823" s="3">
        <v>43083</v>
      </c>
      <c r="BT1823" s="4">
        <v>0.38194444444444442</v>
      </c>
      <c r="BU1823" s="2" t="s">
        <v>2213</v>
      </c>
      <c r="BV1823" s="2" t="s">
        <v>85</v>
      </c>
      <c r="BY1823" s="2">
        <v>1200</v>
      </c>
      <c r="CA1823" s="2" t="s">
        <v>1313</v>
      </c>
      <c r="CC1823" s="2" t="s">
        <v>126</v>
      </c>
      <c r="CD1823" s="2">
        <v>4052</v>
      </c>
      <c r="CE1823" s="2" t="s">
        <v>120</v>
      </c>
      <c r="CF1823" s="3">
        <v>43084</v>
      </c>
      <c r="CI1823" s="2">
        <v>1</v>
      </c>
      <c r="CJ1823" s="2">
        <v>1</v>
      </c>
      <c r="CK1823" s="2">
        <v>21</v>
      </c>
      <c r="CL1823" s="2" t="s">
        <v>89</v>
      </c>
    </row>
    <row r="1824" spans="1:90">
      <c r="A1824" s="2" t="s">
        <v>71</v>
      </c>
      <c r="B1824" s="2" t="s">
        <v>72</v>
      </c>
      <c r="C1824" s="2" t="s">
        <v>73</v>
      </c>
      <c r="E1824" s="2" t="str">
        <f>"FES1162594974"</f>
        <v>FES1162594974</v>
      </c>
      <c r="F1824" s="3">
        <v>43082</v>
      </c>
      <c r="G1824" s="2">
        <v>201806</v>
      </c>
      <c r="H1824" s="2" t="s">
        <v>74</v>
      </c>
      <c r="I1824" s="2" t="s">
        <v>75</v>
      </c>
      <c r="J1824" s="2" t="s">
        <v>97</v>
      </c>
      <c r="K1824" s="2" t="s">
        <v>77</v>
      </c>
      <c r="L1824" s="2" t="s">
        <v>125</v>
      </c>
      <c r="M1824" s="2" t="s">
        <v>126</v>
      </c>
      <c r="N1824" s="2" t="s">
        <v>775</v>
      </c>
      <c r="O1824" s="2" t="s">
        <v>101</v>
      </c>
      <c r="P1824" s="2" t="str">
        <f>"2170606864                    "</f>
        <v xml:space="preserve">2170606864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6.43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0.2</v>
      </c>
      <c r="BK1824" s="2">
        <v>1</v>
      </c>
      <c r="BL1824" s="2">
        <v>45.93</v>
      </c>
      <c r="BM1824" s="2">
        <v>6.43</v>
      </c>
      <c r="BN1824" s="2">
        <v>52.36</v>
      </c>
      <c r="BO1824" s="2">
        <v>52.36</v>
      </c>
      <c r="BQ1824" s="2" t="s">
        <v>82</v>
      </c>
      <c r="BR1824" s="2" t="s">
        <v>103</v>
      </c>
      <c r="BS1824" s="3">
        <v>43083</v>
      </c>
      <c r="BT1824" s="4">
        <v>0.42708333333333331</v>
      </c>
      <c r="BU1824" s="2" t="s">
        <v>2203</v>
      </c>
      <c r="BV1824" s="2" t="s">
        <v>85</v>
      </c>
      <c r="BY1824" s="2">
        <v>1200</v>
      </c>
      <c r="CA1824" s="2" t="s">
        <v>1313</v>
      </c>
      <c r="CC1824" s="2" t="s">
        <v>126</v>
      </c>
      <c r="CD1824" s="2">
        <v>4052</v>
      </c>
      <c r="CE1824" s="2" t="s">
        <v>120</v>
      </c>
      <c r="CF1824" s="3">
        <v>43084</v>
      </c>
      <c r="CI1824" s="2">
        <v>1</v>
      </c>
      <c r="CJ1824" s="2">
        <v>1</v>
      </c>
      <c r="CK1824" s="2">
        <v>21</v>
      </c>
      <c r="CL1824" s="2" t="s">
        <v>89</v>
      </c>
    </row>
    <row r="1825" spans="1:90">
      <c r="A1825" s="2" t="s">
        <v>71</v>
      </c>
      <c r="B1825" s="2" t="s">
        <v>72</v>
      </c>
      <c r="C1825" s="2" t="s">
        <v>73</v>
      </c>
      <c r="E1825" s="2" t="str">
        <f>"FES1162595129"</f>
        <v>FES1162595129</v>
      </c>
      <c r="F1825" s="3">
        <v>43082</v>
      </c>
      <c r="G1825" s="2">
        <v>201806</v>
      </c>
      <c r="H1825" s="2" t="s">
        <v>74</v>
      </c>
      <c r="I1825" s="2" t="s">
        <v>75</v>
      </c>
      <c r="J1825" s="2" t="s">
        <v>97</v>
      </c>
      <c r="K1825" s="2" t="s">
        <v>77</v>
      </c>
      <c r="L1825" s="2" t="s">
        <v>125</v>
      </c>
      <c r="M1825" s="2" t="s">
        <v>126</v>
      </c>
      <c r="N1825" s="2" t="s">
        <v>1034</v>
      </c>
      <c r="O1825" s="2" t="s">
        <v>101</v>
      </c>
      <c r="P1825" s="2" t="str">
        <f>"2170607030                    "</f>
        <v xml:space="preserve">2170607030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6.43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</v>
      </c>
      <c r="BJ1825" s="2">
        <v>0.2</v>
      </c>
      <c r="BK1825" s="2">
        <v>1</v>
      </c>
      <c r="BL1825" s="2">
        <v>45.93</v>
      </c>
      <c r="BM1825" s="2">
        <v>6.43</v>
      </c>
      <c r="BN1825" s="2">
        <v>52.36</v>
      </c>
      <c r="BO1825" s="2">
        <v>52.36</v>
      </c>
      <c r="BQ1825" s="2" t="s">
        <v>128</v>
      </c>
      <c r="BR1825" s="2" t="s">
        <v>103</v>
      </c>
      <c r="BS1825" s="3">
        <v>43083</v>
      </c>
      <c r="BT1825" s="4">
        <v>0.4375</v>
      </c>
      <c r="BU1825" s="2" t="s">
        <v>2214</v>
      </c>
      <c r="BV1825" s="2" t="s">
        <v>85</v>
      </c>
      <c r="BY1825" s="2">
        <v>1200</v>
      </c>
      <c r="CA1825" s="2" t="s">
        <v>225</v>
      </c>
      <c r="CC1825" s="2" t="s">
        <v>126</v>
      </c>
      <c r="CD1825" s="2">
        <v>4001</v>
      </c>
      <c r="CE1825" s="2" t="s">
        <v>120</v>
      </c>
      <c r="CF1825" s="3">
        <v>43084</v>
      </c>
      <c r="CI1825" s="2">
        <v>1</v>
      </c>
      <c r="CJ1825" s="2">
        <v>1</v>
      </c>
      <c r="CK1825" s="2">
        <v>21</v>
      </c>
      <c r="CL1825" s="2" t="s">
        <v>89</v>
      </c>
    </row>
    <row r="1826" spans="1:90">
      <c r="A1826" s="2" t="s">
        <v>71</v>
      </c>
      <c r="B1826" s="2" t="s">
        <v>72</v>
      </c>
      <c r="C1826" s="2" t="s">
        <v>73</v>
      </c>
      <c r="E1826" s="2" t="str">
        <f>"FES1162595498"</f>
        <v>FES1162595498</v>
      </c>
      <c r="F1826" s="3">
        <v>43082</v>
      </c>
      <c r="G1826" s="2">
        <v>201806</v>
      </c>
      <c r="H1826" s="2" t="s">
        <v>74</v>
      </c>
      <c r="I1826" s="2" t="s">
        <v>75</v>
      </c>
      <c r="J1826" s="2" t="s">
        <v>97</v>
      </c>
      <c r="K1826" s="2" t="s">
        <v>77</v>
      </c>
      <c r="L1826" s="2" t="s">
        <v>98</v>
      </c>
      <c r="M1826" s="2" t="s">
        <v>99</v>
      </c>
      <c r="N1826" s="2" t="s">
        <v>226</v>
      </c>
      <c r="O1826" s="2" t="s">
        <v>101</v>
      </c>
      <c r="P1826" s="2" t="str">
        <f>"2170607142                    "</f>
        <v xml:space="preserve">2170607142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17.690000000000001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5.4</v>
      </c>
      <c r="BJ1826" s="2">
        <v>2.2000000000000002</v>
      </c>
      <c r="BK1826" s="2">
        <v>5.5</v>
      </c>
      <c r="BL1826" s="2">
        <v>126.28</v>
      </c>
      <c r="BM1826" s="2">
        <v>17.68</v>
      </c>
      <c r="BN1826" s="2">
        <v>143.96</v>
      </c>
      <c r="BO1826" s="2">
        <v>143.96</v>
      </c>
      <c r="BQ1826" s="2" t="s">
        <v>82</v>
      </c>
      <c r="BR1826" s="2" t="s">
        <v>103</v>
      </c>
      <c r="BS1826" s="3">
        <v>43083</v>
      </c>
      <c r="BT1826" s="4">
        <v>0.40972222222222227</v>
      </c>
      <c r="BU1826" s="2" t="s">
        <v>227</v>
      </c>
      <c r="BV1826" s="2" t="s">
        <v>85</v>
      </c>
      <c r="BY1826" s="2">
        <v>10762.06</v>
      </c>
      <c r="CA1826" s="2" t="s">
        <v>105</v>
      </c>
      <c r="CC1826" s="2" t="s">
        <v>99</v>
      </c>
      <c r="CD1826" s="2">
        <v>3201</v>
      </c>
      <c r="CE1826" s="2" t="s">
        <v>95</v>
      </c>
      <c r="CF1826" s="3">
        <v>43084</v>
      </c>
      <c r="CI1826" s="2">
        <v>1</v>
      </c>
      <c r="CJ1826" s="2">
        <v>1</v>
      </c>
      <c r="CK1826" s="2">
        <v>21</v>
      </c>
      <c r="CL1826" s="2" t="s">
        <v>89</v>
      </c>
    </row>
    <row r="1827" spans="1:90">
      <c r="A1827" s="2" t="s">
        <v>71</v>
      </c>
      <c r="B1827" s="2" t="s">
        <v>72</v>
      </c>
      <c r="C1827" s="2" t="s">
        <v>73</v>
      </c>
      <c r="E1827" s="2" t="str">
        <f>"FES1162595236"</f>
        <v>FES1162595236</v>
      </c>
      <c r="F1827" s="3">
        <v>43082</v>
      </c>
      <c r="G1827" s="2">
        <v>201806</v>
      </c>
      <c r="H1827" s="2" t="s">
        <v>74</v>
      </c>
      <c r="I1827" s="2" t="s">
        <v>75</v>
      </c>
      <c r="J1827" s="2" t="s">
        <v>97</v>
      </c>
      <c r="K1827" s="2" t="s">
        <v>77</v>
      </c>
      <c r="L1827" s="2" t="s">
        <v>125</v>
      </c>
      <c r="M1827" s="2" t="s">
        <v>126</v>
      </c>
      <c r="N1827" s="2" t="s">
        <v>1610</v>
      </c>
      <c r="O1827" s="2" t="s">
        <v>101</v>
      </c>
      <c r="P1827" s="2" t="str">
        <f>"2170607137                    "</f>
        <v xml:space="preserve">2170607137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9.65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3</v>
      </c>
      <c r="BJ1827" s="2">
        <v>2.7</v>
      </c>
      <c r="BK1827" s="2">
        <v>3</v>
      </c>
      <c r="BL1827" s="2">
        <v>68.89</v>
      </c>
      <c r="BM1827" s="2">
        <v>9.64</v>
      </c>
      <c r="BN1827" s="2">
        <v>78.53</v>
      </c>
      <c r="BO1827" s="2">
        <v>78.53</v>
      </c>
      <c r="BQ1827" s="2" t="s">
        <v>82</v>
      </c>
      <c r="BR1827" s="2" t="s">
        <v>103</v>
      </c>
      <c r="BS1827" s="3">
        <v>43083</v>
      </c>
      <c r="BT1827" s="4">
        <v>0.34861111111111115</v>
      </c>
      <c r="BU1827" s="2" t="s">
        <v>2215</v>
      </c>
      <c r="BV1827" s="2" t="s">
        <v>85</v>
      </c>
      <c r="BY1827" s="2">
        <v>13454</v>
      </c>
      <c r="CA1827" s="2" t="s">
        <v>2216</v>
      </c>
      <c r="CC1827" s="2" t="s">
        <v>126</v>
      </c>
      <c r="CD1827" s="2">
        <v>4070</v>
      </c>
      <c r="CE1827" s="2" t="s">
        <v>95</v>
      </c>
      <c r="CF1827" s="3">
        <v>43084</v>
      </c>
      <c r="CI1827" s="2">
        <v>1</v>
      </c>
      <c r="CJ1827" s="2">
        <v>1</v>
      </c>
      <c r="CK1827" s="2">
        <v>21</v>
      </c>
      <c r="CL1827" s="2" t="s">
        <v>89</v>
      </c>
    </row>
    <row r="1828" spans="1:90">
      <c r="A1828" s="2" t="s">
        <v>71</v>
      </c>
      <c r="B1828" s="2" t="s">
        <v>72</v>
      </c>
      <c r="C1828" s="2" t="s">
        <v>73</v>
      </c>
      <c r="E1828" s="2" t="str">
        <f>"FES1162595117"</f>
        <v>FES1162595117</v>
      </c>
      <c r="F1828" s="3">
        <v>43082</v>
      </c>
      <c r="G1828" s="2">
        <v>201806</v>
      </c>
      <c r="H1828" s="2" t="s">
        <v>74</v>
      </c>
      <c r="I1828" s="2" t="s">
        <v>75</v>
      </c>
      <c r="J1828" s="2" t="s">
        <v>97</v>
      </c>
      <c r="K1828" s="2" t="s">
        <v>77</v>
      </c>
      <c r="L1828" s="2" t="s">
        <v>125</v>
      </c>
      <c r="M1828" s="2" t="s">
        <v>126</v>
      </c>
      <c r="N1828" s="2" t="s">
        <v>2217</v>
      </c>
      <c r="O1828" s="2" t="s">
        <v>101</v>
      </c>
      <c r="P1828" s="2" t="str">
        <f>"2170604664                    "</f>
        <v xml:space="preserve">2170604664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16.079999999999998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5</v>
      </c>
      <c r="BJ1828" s="2">
        <v>1.7</v>
      </c>
      <c r="BK1828" s="2">
        <v>5</v>
      </c>
      <c r="BL1828" s="2">
        <v>114.8</v>
      </c>
      <c r="BM1828" s="2">
        <v>16.07</v>
      </c>
      <c r="BN1828" s="2">
        <v>130.87</v>
      </c>
      <c r="BO1828" s="2">
        <v>130.87</v>
      </c>
      <c r="BQ1828" s="2" t="s">
        <v>128</v>
      </c>
      <c r="BR1828" s="2" t="s">
        <v>103</v>
      </c>
      <c r="BS1828" s="3">
        <v>43083</v>
      </c>
      <c r="BT1828" s="4">
        <v>0.34583333333333338</v>
      </c>
      <c r="BU1828" s="2" t="s">
        <v>2218</v>
      </c>
      <c r="BV1828" s="2" t="s">
        <v>85</v>
      </c>
      <c r="BY1828" s="2">
        <v>8609.89</v>
      </c>
      <c r="CA1828" s="2" t="s">
        <v>1313</v>
      </c>
      <c r="CC1828" s="2" t="s">
        <v>126</v>
      </c>
      <c r="CD1828" s="2">
        <v>4094</v>
      </c>
      <c r="CE1828" s="2" t="s">
        <v>95</v>
      </c>
      <c r="CF1828" s="3">
        <v>43084</v>
      </c>
      <c r="CI1828" s="2">
        <v>1</v>
      </c>
      <c r="CJ1828" s="2">
        <v>1</v>
      </c>
      <c r="CK1828" s="2">
        <v>21</v>
      </c>
      <c r="CL1828" s="2" t="s">
        <v>89</v>
      </c>
    </row>
    <row r="1829" spans="1:90">
      <c r="A1829" s="2" t="s">
        <v>71</v>
      </c>
      <c r="B1829" s="2" t="s">
        <v>72</v>
      </c>
      <c r="C1829" s="2" t="s">
        <v>73</v>
      </c>
      <c r="E1829" s="2" t="str">
        <f>"FES1162594722"</f>
        <v>FES1162594722</v>
      </c>
      <c r="F1829" s="3">
        <v>43082</v>
      </c>
      <c r="G1829" s="2">
        <v>201806</v>
      </c>
      <c r="H1829" s="2" t="s">
        <v>74</v>
      </c>
      <c r="I1829" s="2" t="s">
        <v>75</v>
      </c>
      <c r="J1829" s="2" t="s">
        <v>97</v>
      </c>
      <c r="K1829" s="2" t="s">
        <v>77</v>
      </c>
      <c r="L1829" s="2" t="s">
        <v>168</v>
      </c>
      <c r="M1829" s="2" t="s">
        <v>169</v>
      </c>
      <c r="N1829" s="2" t="s">
        <v>585</v>
      </c>
      <c r="O1829" s="2" t="s">
        <v>101</v>
      </c>
      <c r="P1829" s="2" t="str">
        <f>"2170606607                    "</f>
        <v xml:space="preserve">2170606607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6.43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</v>
      </c>
      <c r="BJ1829" s="2">
        <v>0.2</v>
      </c>
      <c r="BK1829" s="2">
        <v>1</v>
      </c>
      <c r="BL1829" s="2">
        <v>45.93</v>
      </c>
      <c r="BM1829" s="2">
        <v>6.43</v>
      </c>
      <c r="BN1829" s="2">
        <v>52.36</v>
      </c>
      <c r="BO1829" s="2">
        <v>52.36</v>
      </c>
      <c r="BQ1829" s="2" t="s">
        <v>82</v>
      </c>
      <c r="BR1829" s="2" t="s">
        <v>103</v>
      </c>
      <c r="BS1829" s="3">
        <v>43083</v>
      </c>
      <c r="BT1829" s="4">
        <v>0.42708333333333331</v>
      </c>
      <c r="BU1829" s="2" t="s">
        <v>586</v>
      </c>
      <c r="BV1829" s="2" t="s">
        <v>85</v>
      </c>
      <c r="BY1829" s="2">
        <v>1200</v>
      </c>
      <c r="CA1829" s="2" t="s">
        <v>172</v>
      </c>
      <c r="CC1829" s="2" t="s">
        <v>169</v>
      </c>
      <c r="CD1829" s="2">
        <v>3610</v>
      </c>
      <c r="CE1829" s="2" t="s">
        <v>120</v>
      </c>
      <c r="CF1829" s="3">
        <v>43084</v>
      </c>
      <c r="CI1829" s="2">
        <v>1</v>
      </c>
      <c r="CJ1829" s="2">
        <v>1</v>
      </c>
      <c r="CK1829" s="2">
        <v>21</v>
      </c>
      <c r="CL1829" s="2" t="s">
        <v>89</v>
      </c>
    </row>
    <row r="1830" spans="1:90">
      <c r="A1830" s="2" t="s">
        <v>71</v>
      </c>
      <c r="B1830" s="2" t="s">
        <v>72</v>
      </c>
      <c r="C1830" s="2" t="s">
        <v>73</v>
      </c>
      <c r="E1830" s="2" t="str">
        <f>"FES1162595015"</f>
        <v>FES1162595015</v>
      </c>
      <c r="F1830" s="3">
        <v>43082</v>
      </c>
      <c r="G1830" s="2">
        <v>201806</v>
      </c>
      <c r="H1830" s="2" t="s">
        <v>74</v>
      </c>
      <c r="I1830" s="2" t="s">
        <v>75</v>
      </c>
      <c r="J1830" s="2" t="s">
        <v>97</v>
      </c>
      <c r="K1830" s="2" t="s">
        <v>77</v>
      </c>
      <c r="L1830" s="2" t="s">
        <v>168</v>
      </c>
      <c r="M1830" s="2" t="s">
        <v>169</v>
      </c>
      <c r="N1830" s="2" t="s">
        <v>2219</v>
      </c>
      <c r="O1830" s="2" t="s">
        <v>101</v>
      </c>
      <c r="P1830" s="2" t="str">
        <f>"2170606939                    "</f>
        <v xml:space="preserve">2170606939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9.65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3</v>
      </c>
      <c r="BJ1830" s="2">
        <v>2.7</v>
      </c>
      <c r="BK1830" s="2">
        <v>3</v>
      </c>
      <c r="BL1830" s="2">
        <v>68.89</v>
      </c>
      <c r="BM1830" s="2">
        <v>9.64</v>
      </c>
      <c r="BN1830" s="2">
        <v>78.53</v>
      </c>
      <c r="BO1830" s="2">
        <v>78.53</v>
      </c>
      <c r="BQ1830" s="2" t="s">
        <v>82</v>
      </c>
      <c r="BR1830" s="2" t="s">
        <v>103</v>
      </c>
      <c r="BS1830" s="3">
        <v>43083</v>
      </c>
      <c r="BT1830" s="4">
        <v>0.37986111111111115</v>
      </c>
      <c r="BU1830" s="2" t="s">
        <v>2220</v>
      </c>
      <c r="BV1830" s="2" t="s">
        <v>85</v>
      </c>
      <c r="BY1830" s="2">
        <v>13454</v>
      </c>
      <c r="CA1830" s="2" t="s">
        <v>220</v>
      </c>
      <c r="CC1830" s="2" t="s">
        <v>169</v>
      </c>
      <c r="CD1830" s="2">
        <v>3600</v>
      </c>
      <c r="CE1830" s="2" t="s">
        <v>95</v>
      </c>
      <c r="CF1830" s="3">
        <v>43084</v>
      </c>
      <c r="CI1830" s="2">
        <v>1</v>
      </c>
      <c r="CJ1830" s="2">
        <v>1</v>
      </c>
      <c r="CK1830" s="2">
        <v>21</v>
      </c>
      <c r="CL1830" s="2" t="s">
        <v>89</v>
      </c>
    </row>
    <row r="1831" spans="1:90">
      <c r="A1831" s="2" t="s">
        <v>71</v>
      </c>
      <c r="B1831" s="2" t="s">
        <v>72</v>
      </c>
      <c r="C1831" s="2" t="s">
        <v>73</v>
      </c>
      <c r="E1831" s="2" t="str">
        <f>"FES1162595477"</f>
        <v>FES1162595477</v>
      </c>
      <c r="F1831" s="3">
        <v>43082</v>
      </c>
      <c r="G1831" s="2">
        <v>201806</v>
      </c>
      <c r="H1831" s="2" t="s">
        <v>74</v>
      </c>
      <c r="I1831" s="2" t="s">
        <v>75</v>
      </c>
      <c r="J1831" s="2" t="s">
        <v>97</v>
      </c>
      <c r="K1831" s="2" t="s">
        <v>77</v>
      </c>
      <c r="L1831" s="2" t="s">
        <v>98</v>
      </c>
      <c r="M1831" s="2" t="s">
        <v>99</v>
      </c>
      <c r="N1831" s="2" t="s">
        <v>2221</v>
      </c>
      <c r="O1831" s="2" t="s">
        <v>101</v>
      </c>
      <c r="P1831" s="2" t="str">
        <f>"2170604617                    "</f>
        <v xml:space="preserve">2170604617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6.43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1</v>
      </c>
      <c r="BJ1831" s="2">
        <v>0.2</v>
      </c>
      <c r="BK1831" s="2">
        <v>1</v>
      </c>
      <c r="BL1831" s="2">
        <v>45.93</v>
      </c>
      <c r="BM1831" s="2">
        <v>6.43</v>
      </c>
      <c r="BN1831" s="2">
        <v>52.36</v>
      </c>
      <c r="BO1831" s="2">
        <v>52.36</v>
      </c>
      <c r="BQ1831" s="2" t="s">
        <v>82</v>
      </c>
      <c r="BR1831" s="2" t="s">
        <v>103</v>
      </c>
      <c r="BS1831" s="3">
        <v>43083</v>
      </c>
      <c r="BT1831" s="4">
        <v>0.4375</v>
      </c>
      <c r="BU1831" s="2" t="s">
        <v>2222</v>
      </c>
      <c r="BV1831" s="2" t="s">
        <v>85</v>
      </c>
      <c r="BY1831" s="2">
        <v>1200</v>
      </c>
      <c r="CA1831" s="2" t="s">
        <v>497</v>
      </c>
      <c r="CC1831" s="2" t="s">
        <v>99</v>
      </c>
      <c r="CD1831" s="2">
        <v>3201</v>
      </c>
      <c r="CE1831" s="2" t="s">
        <v>120</v>
      </c>
      <c r="CF1831" s="3">
        <v>43084</v>
      </c>
      <c r="CI1831" s="2">
        <v>1</v>
      </c>
      <c r="CJ1831" s="2">
        <v>1</v>
      </c>
      <c r="CK1831" s="2">
        <v>21</v>
      </c>
      <c r="CL1831" s="2" t="s">
        <v>89</v>
      </c>
    </row>
    <row r="1832" spans="1:90">
      <c r="A1832" s="2" t="s">
        <v>71</v>
      </c>
      <c r="B1832" s="2" t="s">
        <v>72</v>
      </c>
      <c r="C1832" s="2" t="s">
        <v>73</v>
      </c>
      <c r="E1832" s="2" t="str">
        <f>"FES1162595065"</f>
        <v>FES1162595065</v>
      </c>
      <c r="F1832" s="3">
        <v>43082</v>
      </c>
      <c r="G1832" s="2">
        <v>201806</v>
      </c>
      <c r="H1832" s="2" t="s">
        <v>74</v>
      </c>
      <c r="I1832" s="2" t="s">
        <v>75</v>
      </c>
      <c r="J1832" s="2" t="s">
        <v>97</v>
      </c>
      <c r="K1832" s="2" t="s">
        <v>77</v>
      </c>
      <c r="L1832" s="2" t="s">
        <v>131</v>
      </c>
      <c r="M1832" s="2" t="s">
        <v>132</v>
      </c>
      <c r="N1832" s="2" t="s">
        <v>228</v>
      </c>
      <c r="O1832" s="2" t="s">
        <v>101</v>
      </c>
      <c r="P1832" s="2" t="str">
        <f>"2170606990                    "</f>
        <v xml:space="preserve">2170606990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28.94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4.3</v>
      </c>
      <c r="BJ1832" s="2">
        <v>9</v>
      </c>
      <c r="BK1832" s="2">
        <v>9</v>
      </c>
      <c r="BL1832" s="2">
        <v>206.62</v>
      </c>
      <c r="BM1832" s="2">
        <v>28.93</v>
      </c>
      <c r="BN1832" s="2">
        <v>235.55</v>
      </c>
      <c r="BO1832" s="2">
        <v>235.55</v>
      </c>
      <c r="BQ1832" s="2" t="s">
        <v>229</v>
      </c>
      <c r="BR1832" s="2" t="s">
        <v>103</v>
      </c>
      <c r="BS1832" s="3">
        <v>43083</v>
      </c>
      <c r="BT1832" s="4">
        <v>0.3923611111111111</v>
      </c>
      <c r="BU1832" s="2" t="s">
        <v>230</v>
      </c>
      <c r="BV1832" s="2" t="s">
        <v>85</v>
      </c>
      <c r="BY1832" s="2">
        <v>45068.4</v>
      </c>
      <c r="CA1832" s="2" t="s">
        <v>231</v>
      </c>
      <c r="CC1832" s="2" t="s">
        <v>132</v>
      </c>
      <c r="CD1832" s="2">
        <v>4300</v>
      </c>
      <c r="CE1832" s="2" t="s">
        <v>95</v>
      </c>
      <c r="CF1832" s="3">
        <v>43083</v>
      </c>
      <c r="CI1832" s="2">
        <v>1</v>
      </c>
      <c r="CJ1832" s="2">
        <v>1</v>
      </c>
      <c r="CK1832" s="2">
        <v>21</v>
      </c>
      <c r="CL1832" s="2" t="s">
        <v>89</v>
      </c>
    </row>
    <row r="1833" spans="1:90">
      <c r="A1833" s="2" t="s">
        <v>71</v>
      </c>
      <c r="B1833" s="2" t="s">
        <v>72</v>
      </c>
      <c r="C1833" s="2" t="s">
        <v>73</v>
      </c>
      <c r="E1833" s="2" t="str">
        <f>"FES1162595395"</f>
        <v>FES1162595395</v>
      </c>
      <c r="F1833" s="3">
        <v>43082</v>
      </c>
      <c r="G1833" s="2">
        <v>201806</v>
      </c>
      <c r="H1833" s="2" t="s">
        <v>74</v>
      </c>
      <c r="I1833" s="2" t="s">
        <v>75</v>
      </c>
      <c r="J1833" s="2" t="s">
        <v>97</v>
      </c>
      <c r="K1833" s="2" t="s">
        <v>77</v>
      </c>
      <c r="L1833" s="2" t="s">
        <v>1503</v>
      </c>
      <c r="M1833" s="2" t="s">
        <v>1504</v>
      </c>
      <c r="N1833" s="2" t="s">
        <v>1505</v>
      </c>
      <c r="O1833" s="2" t="s">
        <v>101</v>
      </c>
      <c r="P1833" s="2" t="str">
        <f>"2170607250                    "</f>
        <v xml:space="preserve">2170607250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12.47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89</v>
      </c>
      <c r="BM1833" s="2">
        <v>12.46</v>
      </c>
      <c r="BN1833" s="2">
        <v>101.46</v>
      </c>
      <c r="BO1833" s="2">
        <v>101.46</v>
      </c>
      <c r="BQ1833" s="2" t="s">
        <v>82</v>
      </c>
      <c r="BR1833" s="2" t="s">
        <v>103</v>
      </c>
      <c r="BS1833" s="3">
        <v>43083</v>
      </c>
      <c r="BT1833" s="4">
        <v>0.5</v>
      </c>
      <c r="BU1833" s="2" t="s">
        <v>2223</v>
      </c>
      <c r="BV1833" s="2" t="s">
        <v>85</v>
      </c>
      <c r="BY1833" s="2">
        <v>1200</v>
      </c>
      <c r="CC1833" s="2" t="s">
        <v>1504</v>
      </c>
      <c r="CD1833" s="2">
        <v>4252</v>
      </c>
      <c r="CE1833" s="2" t="s">
        <v>120</v>
      </c>
      <c r="CF1833" s="3">
        <v>43087</v>
      </c>
      <c r="CI1833" s="2">
        <v>1</v>
      </c>
      <c r="CJ1833" s="2">
        <v>1</v>
      </c>
      <c r="CK1833" s="2">
        <v>23</v>
      </c>
      <c r="CL1833" s="2" t="s">
        <v>89</v>
      </c>
    </row>
    <row r="1834" spans="1:90">
      <c r="A1834" s="2" t="s">
        <v>71</v>
      </c>
      <c r="B1834" s="2" t="s">
        <v>72</v>
      </c>
      <c r="C1834" s="2" t="s">
        <v>73</v>
      </c>
      <c r="E1834" s="2" t="str">
        <f>"FES1162595218"</f>
        <v>FES1162595218</v>
      </c>
      <c r="F1834" s="3">
        <v>43082</v>
      </c>
      <c r="G1834" s="2">
        <v>201806</v>
      </c>
      <c r="H1834" s="2" t="s">
        <v>74</v>
      </c>
      <c r="I1834" s="2" t="s">
        <v>75</v>
      </c>
      <c r="J1834" s="2" t="s">
        <v>97</v>
      </c>
      <c r="K1834" s="2" t="s">
        <v>77</v>
      </c>
      <c r="L1834" s="2" t="s">
        <v>98</v>
      </c>
      <c r="M1834" s="2" t="s">
        <v>99</v>
      </c>
      <c r="N1834" s="2" t="s">
        <v>1104</v>
      </c>
      <c r="O1834" s="2" t="s">
        <v>101</v>
      </c>
      <c r="P1834" s="2" t="str">
        <f>"2170607113                    "</f>
        <v xml:space="preserve">2170607113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17.690000000000001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5.4</v>
      </c>
      <c r="BJ1834" s="2">
        <v>3.3</v>
      </c>
      <c r="BK1834" s="2">
        <v>5.5</v>
      </c>
      <c r="BL1834" s="2">
        <v>126.28</v>
      </c>
      <c r="BM1834" s="2">
        <v>17.68</v>
      </c>
      <c r="BN1834" s="2">
        <v>143.96</v>
      </c>
      <c r="BO1834" s="2">
        <v>143.96</v>
      </c>
      <c r="BQ1834" s="2" t="s">
        <v>82</v>
      </c>
      <c r="BR1834" s="2" t="s">
        <v>103</v>
      </c>
      <c r="BS1834" s="3">
        <v>43083</v>
      </c>
      <c r="BT1834" s="4">
        <v>0.4236111111111111</v>
      </c>
      <c r="BU1834" s="2" t="s">
        <v>1106</v>
      </c>
      <c r="BV1834" s="2" t="s">
        <v>85</v>
      </c>
      <c r="BY1834" s="2">
        <v>16384.03</v>
      </c>
      <c r="CA1834" s="2" t="s">
        <v>497</v>
      </c>
      <c r="CC1834" s="2" t="s">
        <v>99</v>
      </c>
      <c r="CD1834" s="2">
        <v>3201</v>
      </c>
      <c r="CE1834" s="2" t="s">
        <v>95</v>
      </c>
      <c r="CF1834" s="3">
        <v>43084</v>
      </c>
      <c r="CI1834" s="2">
        <v>1</v>
      </c>
      <c r="CJ1834" s="2">
        <v>1</v>
      </c>
      <c r="CK1834" s="2">
        <v>21</v>
      </c>
      <c r="CL1834" s="2" t="s">
        <v>89</v>
      </c>
    </row>
    <row r="1835" spans="1:90">
      <c r="A1835" s="2" t="s">
        <v>71</v>
      </c>
      <c r="B1835" s="2" t="s">
        <v>72</v>
      </c>
      <c r="C1835" s="2" t="s">
        <v>73</v>
      </c>
      <c r="E1835" s="2" t="str">
        <f>"FES1162594856"</f>
        <v>FES1162594856</v>
      </c>
      <c r="F1835" s="3">
        <v>43082</v>
      </c>
      <c r="G1835" s="2">
        <v>201806</v>
      </c>
      <c r="H1835" s="2" t="s">
        <v>74</v>
      </c>
      <c r="I1835" s="2" t="s">
        <v>75</v>
      </c>
      <c r="J1835" s="2" t="s">
        <v>97</v>
      </c>
      <c r="K1835" s="2" t="s">
        <v>77</v>
      </c>
      <c r="L1835" s="2" t="s">
        <v>98</v>
      </c>
      <c r="M1835" s="2" t="s">
        <v>99</v>
      </c>
      <c r="N1835" s="2" t="s">
        <v>670</v>
      </c>
      <c r="O1835" s="2" t="s">
        <v>101</v>
      </c>
      <c r="P1835" s="2" t="str">
        <f>"2170606747                    "</f>
        <v xml:space="preserve">2170606747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6.43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1.5</v>
      </c>
      <c r="BJ1835" s="2">
        <v>0.6</v>
      </c>
      <c r="BK1835" s="2">
        <v>1.5</v>
      </c>
      <c r="BL1835" s="2">
        <v>45.93</v>
      </c>
      <c r="BM1835" s="2">
        <v>6.43</v>
      </c>
      <c r="BN1835" s="2">
        <v>52.36</v>
      </c>
      <c r="BO1835" s="2">
        <v>52.36</v>
      </c>
      <c r="BQ1835" s="2" t="s">
        <v>102</v>
      </c>
      <c r="BR1835" s="2" t="s">
        <v>103</v>
      </c>
      <c r="BS1835" s="3">
        <v>43083</v>
      </c>
      <c r="BT1835" s="4">
        <v>0.39583333333333331</v>
      </c>
      <c r="BU1835" s="2" t="s">
        <v>671</v>
      </c>
      <c r="BV1835" s="2" t="s">
        <v>85</v>
      </c>
      <c r="BY1835" s="2">
        <v>3209.22</v>
      </c>
      <c r="CA1835" s="2" t="s">
        <v>105</v>
      </c>
      <c r="CC1835" s="2" t="s">
        <v>99</v>
      </c>
      <c r="CD1835" s="2">
        <v>3200</v>
      </c>
      <c r="CE1835" s="2" t="s">
        <v>95</v>
      </c>
      <c r="CF1835" s="3">
        <v>43084</v>
      </c>
      <c r="CI1835" s="2">
        <v>1</v>
      </c>
      <c r="CJ1835" s="2">
        <v>1</v>
      </c>
      <c r="CK1835" s="2">
        <v>21</v>
      </c>
      <c r="CL1835" s="2" t="s">
        <v>89</v>
      </c>
    </row>
    <row r="1836" spans="1:90">
      <c r="A1836" s="2" t="s">
        <v>71</v>
      </c>
      <c r="B1836" s="2" t="s">
        <v>72</v>
      </c>
      <c r="C1836" s="2" t="s">
        <v>73</v>
      </c>
      <c r="E1836" s="2" t="str">
        <f>"FES1162594660"</f>
        <v>FES1162594660</v>
      </c>
      <c r="F1836" s="3">
        <v>43082</v>
      </c>
      <c r="G1836" s="2">
        <v>201806</v>
      </c>
      <c r="H1836" s="2" t="s">
        <v>74</v>
      </c>
      <c r="I1836" s="2" t="s">
        <v>75</v>
      </c>
      <c r="J1836" s="2" t="s">
        <v>97</v>
      </c>
      <c r="K1836" s="2" t="s">
        <v>77</v>
      </c>
      <c r="L1836" s="2" t="s">
        <v>168</v>
      </c>
      <c r="M1836" s="2" t="s">
        <v>169</v>
      </c>
      <c r="N1836" s="2" t="s">
        <v>585</v>
      </c>
      <c r="O1836" s="2" t="s">
        <v>101</v>
      </c>
      <c r="P1836" s="2" t="str">
        <f>"21706066515                   "</f>
        <v xml:space="preserve">21706066515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6.43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0.9</v>
      </c>
      <c r="BJ1836" s="2">
        <v>1.7</v>
      </c>
      <c r="BK1836" s="2">
        <v>2</v>
      </c>
      <c r="BL1836" s="2">
        <v>45.93</v>
      </c>
      <c r="BM1836" s="2">
        <v>6.43</v>
      </c>
      <c r="BN1836" s="2">
        <v>52.36</v>
      </c>
      <c r="BO1836" s="2">
        <v>52.36</v>
      </c>
      <c r="BQ1836" s="2" t="s">
        <v>82</v>
      </c>
      <c r="BR1836" s="2" t="s">
        <v>103</v>
      </c>
      <c r="BS1836" s="3">
        <v>43083</v>
      </c>
      <c r="BT1836" s="4">
        <v>0.4201388888888889</v>
      </c>
      <c r="BU1836" s="2" t="s">
        <v>586</v>
      </c>
      <c r="BV1836" s="2" t="s">
        <v>85</v>
      </c>
      <c r="BY1836" s="2">
        <v>8352</v>
      </c>
      <c r="CA1836" s="2" t="s">
        <v>172</v>
      </c>
      <c r="CC1836" s="2" t="s">
        <v>169</v>
      </c>
      <c r="CD1836" s="2">
        <v>3610</v>
      </c>
      <c r="CE1836" s="2" t="s">
        <v>95</v>
      </c>
      <c r="CF1836" s="3">
        <v>43084</v>
      </c>
      <c r="CI1836" s="2">
        <v>1</v>
      </c>
      <c r="CJ1836" s="2">
        <v>1</v>
      </c>
      <c r="CK1836" s="2">
        <v>21</v>
      </c>
      <c r="CL1836" s="2" t="s">
        <v>89</v>
      </c>
    </row>
    <row r="1837" spans="1:90">
      <c r="A1837" s="2" t="s">
        <v>71</v>
      </c>
      <c r="B1837" s="2" t="s">
        <v>72</v>
      </c>
      <c r="C1837" s="2" t="s">
        <v>73</v>
      </c>
      <c r="E1837" s="2" t="str">
        <f>"FES1162594679"</f>
        <v>FES1162594679</v>
      </c>
      <c r="F1837" s="3">
        <v>43082</v>
      </c>
      <c r="G1837" s="2">
        <v>201806</v>
      </c>
      <c r="H1837" s="2" t="s">
        <v>74</v>
      </c>
      <c r="I1837" s="2" t="s">
        <v>75</v>
      </c>
      <c r="J1837" s="2" t="s">
        <v>97</v>
      </c>
      <c r="K1837" s="2" t="s">
        <v>77</v>
      </c>
      <c r="L1837" s="2" t="s">
        <v>125</v>
      </c>
      <c r="M1837" s="2" t="s">
        <v>126</v>
      </c>
      <c r="N1837" s="2" t="s">
        <v>664</v>
      </c>
      <c r="O1837" s="2" t="s">
        <v>101</v>
      </c>
      <c r="P1837" s="2" t="str">
        <f>"2170606541                    "</f>
        <v xml:space="preserve">2170606541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9.65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3</v>
      </c>
      <c r="BJ1837" s="2">
        <v>2</v>
      </c>
      <c r="BK1837" s="2">
        <v>3</v>
      </c>
      <c r="BL1837" s="2">
        <v>68.89</v>
      </c>
      <c r="BM1837" s="2">
        <v>9.64</v>
      </c>
      <c r="BN1837" s="2">
        <v>78.53</v>
      </c>
      <c r="BO1837" s="2">
        <v>78.53</v>
      </c>
      <c r="BQ1837" s="2" t="s">
        <v>102</v>
      </c>
      <c r="BR1837" s="2" t="s">
        <v>103</v>
      </c>
      <c r="BS1837" s="3">
        <v>43083</v>
      </c>
      <c r="BT1837" s="4">
        <v>0.41666666666666669</v>
      </c>
      <c r="BU1837" s="2" t="s">
        <v>665</v>
      </c>
      <c r="BV1837" s="2" t="s">
        <v>85</v>
      </c>
      <c r="BY1837" s="2">
        <v>9918</v>
      </c>
      <c r="CA1837" s="2" t="s">
        <v>666</v>
      </c>
      <c r="CC1837" s="2" t="s">
        <v>126</v>
      </c>
      <c r="CD1837" s="2">
        <v>4001</v>
      </c>
      <c r="CE1837" s="2" t="s">
        <v>95</v>
      </c>
      <c r="CF1837" s="3">
        <v>43084</v>
      </c>
      <c r="CI1837" s="2">
        <v>1</v>
      </c>
      <c r="CJ1837" s="2">
        <v>1</v>
      </c>
      <c r="CK1837" s="2">
        <v>21</v>
      </c>
      <c r="CL1837" s="2" t="s">
        <v>89</v>
      </c>
    </row>
    <row r="1838" spans="1:90">
      <c r="A1838" s="2" t="s">
        <v>71</v>
      </c>
      <c r="B1838" s="2" t="s">
        <v>72</v>
      </c>
      <c r="C1838" s="2" t="s">
        <v>73</v>
      </c>
      <c r="E1838" s="2" t="str">
        <f>"FES1162595274"</f>
        <v>FES1162595274</v>
      </c>
      <c r="F1838" s="3">
        <v>43082</v>
      </c>
      <c r="G1838" s="2">
        <v>201806</v>
      </c>
      <c r="H1838" s="2" t="s">
        <v>74</v>
      </c>
      <c r="I1838" s="2" t="s">
        <v>75</v>
      </c>
      <c r="J1838" s="2" t="s">
        <v>97</v>
      </c>
      <c r="K1838" s="2" t="s">
        <v>77</v>
      </c>
      <c r="L1838" s="2" t="s">
        <v>490</v>
      </c>
      <c r="M1838" s="2" t="s">
        <v>491</v>
      </c>
      <c r="N1838" s="2" t="s">
        <v>492</v>
      </c>
      <c r="O1838" s="2" t="s">
        <v>101</v>
      </c>
      <c r="P1838" s="2" t="str">
        <f>"2170606507                    "</f>
        <v xml:space="preserve">2170606507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6.43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1.4</v>
      </c>
      <c r="BJ1838" s="2">
        <v>1.8</v>
      </c>
      <c r="BK1838" s="2">
        <v>2</v>
      </c>
      <c r="BL1838" s="2">
        <v>45.93</v>
      </c>
      <c r="BM1838" s="2">
        <v>6.43</v>
      </c>
      <c r="BN1838" s="2">
        <v>52.36</v>
      </c>
      <c r="BO1838" s="2">
        <v>52.36</v>
      </c>
      <c r="BQ1838" s="2" t="s">
        <v>82</v>
      </c>
      <c r="BR1838" s="2" t="s">
        <v>103</v>
      </c>
      <c r="BS1838" s="3">
        <v>43083</v>
      </c>
      <c r="BT1838" s="4">
        <v>0.4375</v>
      </c>
      <c r="BU1838" s="2" t="s">
        <v>1309</v>
      </c>
      <c r="BV1838" s="2" t="s">
        <v>85</v>
      </c>
      <c r="BY1838" s="2">
        <v>9061.2000000000007</v>
      </c>
      <c r="CA1838" s="2" t="s">
        <v>494</v>
      </c>
      <c r="CC1838" s="2" t="s">
        <v>491</v>
      </c>
      <c r="CD1838" s="2">
        <v>3699</v>
      </c>
      <c r="CE1838" s="2" t="s">
        <v>95</v>
      </c>
      <c r="CF1838" s="3">
        <v>43084</v>
      </c>
      <c r="CI1838" s="2">
        <v>1</v>
      </c>
      <c r="CJ1838" s="2">
        <v>1</v>
      </c>
      <c r="CK1838" s="2">
        <v>21</v>
      </c>
      <c r="CL1838" s="2" t="s">
        <v>89</v>
      </c>
    </row>
    <row r="1839" spans="1:90">
      <c r="A1839" s="2" t="s">
        <v>71</v>
      </c>
      <c r="B1839" s="2" t="s">
        <v>72</v>
      </c>
      <c r="C1839" s="2" t="s">
        <v>73</v>
      </c>
      <c r="E1839" s="2" t="str">
        <f>"FES1162594961"</f>
        <v>FES1162594961</v>
      </c>
      <c r="F1839" s="3">
        <v>43082</v>
      </c>
      <c r="G1839" s="2">
        <v>201806</v>
      </c>
      <c r="H1839" s="2" t="s">
        <v>74</v>
      </c>
      <c r="I1839" s="2" t="s">
        <v>75</v>
      </c>
      <c r="J1839" s="2" t="s">
        <v>97</v>
      </c>
      <c r="K1839" s="2" t="s">
        <v>77</v>
      </c>
      <c r="L1839" s="2" t="s">
        <v>490</v>
      </c>
      <c r="M1839" s="2" t="s">
        <v>491</v>
      </c>
      <c r="N1839" s="2" t="s">
        <v>2201</v>
      </c>
      <c r="O1839" s="2" t="s">
        <v>101</v>
      </c>
      <c r="P1839" s="2" t="str">
        <f>"2170606331                    "</f>
        <v xml:space="preserve">2170606331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6.43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</v>
      </c>
      <c r="BJ1839" s="2">
        <v>0.2</v>
      </c>
      <c r="BK1839" s="2">
        <v>1</v>
      </c>
      <c r="BL1839" s="2">
        <v>45.93</v>
      </c>
      <c r="BM1839" s="2">
        <v>6.43</v>
      </c>
      <c r="BN1839" s="2">
        <v>52.36</v>
      </c>
      <c r="BO1839" s="2">
        <v>52.36</v>
      </c>
      <c r="BQ1839" s="2" t="s">
        <v>82</v>
      </c>
      <c r="BR1839" s="2" t="s">
        <v>103</v>
      </c>
      <c r="BS1839" s="3">
        <v>43083</v>
      </c>
      <c r="BT1839" s="4">
        <v>0.54166666666666663</v>
      </c>
      <c r="BU1839" s="2" t="s">
        <v>2202</v>
      </c>
      <c r="BV1839" s="2" t="s">
        <v>85</v>
      </c>
      <c r="BY1839" s="2">
        <v>1200</v>
      </c>
      <c r="CA1839" s="2" t="s">
        <v>494</v>
      </c>
      <c r="CC1839" s="2" t="s">
        <v>491</v>
      </c>
      <c r="CD1839" s="2">
        <v>3699</v>
      </c>
      <c r="CE1839" s="2" t="s">
        <v>120</v>
      </c>
      <c r="CF1839" s="3">
        <v>43084</v>
      </c>
      <c r="CI1839" s="2">
        <v>1</v>
      </c>
      <c r="CJ1839" s="2">
        <v>1</v>
      </c>
      <c r="CK1839" s="2">
        <v>21</v>
      </c>
      <c r="CL1839" s="2" t="s">
        <v>89</v>
      </c>
    </row>
    <row r="1840" spans="1:90">
      <c r="A1840" s="2" t="s">
        <v>71</v>
      </c>
      <c r="B1840" s="2" t="s">
        <v>72</v>
      </c>
      <c r="C1840" s="2" t="s">
        <v>73</v>
      </c>
      <c r="E1840" s="2" t="str">
        <f>"FES1162594819"</f>
        <v>FES1162594819</v>
      </c>
      <c r="F1840" s="3">
        <v>43082</v>
      </c>
      <c r="G1840" s="2">
        <v>201806</v>
      </c>
      <c r="H1840" s="2" t="s">
        <v>74</v>
      </c>
      <c r="I1840" s="2" t="s">
        <v>75</v>
      </c>
      <c r="J1840" s="2" t="s">
        <v>97</v>
      </c>
      <c r="K1840" s="2" t="s">
        <v>77</v>
      </c>
      <c r="L1840" s="2" t="s">
        <v>98</v>
      </c>
      <c r="M1840" s="2" t="s">
        <v>99</v>
      </c>
      <c r="N1840" s="2" t="s">
        <v>2095</v>
      </c>
      <c r="O1840" s="2" t="s">
        <v>101</v>
      </c>
      <c r="P1840" s="2" t="str">
        <f>"2170606710                    "</f>
        <v xml:space="preserve">2170606710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6.43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</v>
      </c>
      <c r="BJ1840" s="2">
        <v>0.2</v>
      </c>
      <c r="BK1840" s="2">
        <v>1</v>
      </c>
      <c r="BL1840" s="2">
        <v>45.93</v>
      </c>
      <c r="BM1840" s="2">
        <v>6.43</v>
      </c>
      <c r="BN1840" s="2">
        <v>52.36</v>
      </c>
      <c r="BO1840" s="2">
        <v>52.36</v>
      </c>
      <c r="BQ1840" s="2" t="s">
        <v>128</v>
      </c>
      <c r="BR1840" s="2" t="s">
        <v>103</v>
      </c>
      <c r="BS1840" s="3">
        <v>43083</v>
      </c>
      <c r="BT1840" s="4">
        <v>0.42499999999999999</v>
      </c>
      <c r="BU1840" s="2" t="s">
        <v>2190</v>
      </c>
      <c r="BV1840" s="2" t="s">
        <v>85</v>
      </c>
      <c r="BY1840" s="2">
        <v>1200</v>
      </c>
      <c r="CA1840" s="2" t="s">
        <v>497</v>
      </c>
      <c r="CC1840" s="2" t="s">
        <v>99</v>
      </c>
      <c r="CD1840" s="2">
        <v>3201</v>
      </c>
      <c r="CE1840" s="2" t="s">
        <v>120</v>
      </c>
      <c r="CF1840" s="3">
        <v>43084</v>
      </c>
      <c r="CI1840" s="2">
        <v>1</v>
      </c>
      <c r="CJ1840" s="2">
        <v>1</v>
      </c>
      <c r="CK1840" s="2">
        <v>21</v>
      </c>
      <c r="CL1840" s="2" t="s">
        <v>89</v>
      </c>
    </row>
    <row r="1841" spans="1:90">
      <c r="A1841" s="2" t="s">
        <v>71</v>
      </c>
      <c r="B1841" s="2" t="s">
        <v>72</v>
      </c>
      <c r="C1841" s="2" t="s">
        <v>73</v>
      </c>
      <c r="E1841" s="2" t="str">
        <f>"FES1162595080"</f>
        <v>FES1162595080</v>
      </c>
      <c r="F1841" s="3">
        <v>43082</v>
      </c>
      <c r="G1841" s="2">
        <v>201806</v>
      </c>
      <c r="H1841" s="2" t="s">
        <v>74</v>
      </c>
      <c r="I1841" s="2" t="s">
        <v>75</v>
      </c>
      <c r="J1841" s="2" t="s">
        <v>97</v>
      </c>
      <c r="K1841" s="2" t="s">
        <v>77</v>
      </c>
      <c r="L1841" s="2" t="s">
        <v>125</v>
      </c>
      <c r="M1841" s="2" t="s">
        <v>126</v>
      </c>
      <c r="N1841" s="2" t="s">
        <v>127</v>
      </c>
      <c r="O1841" s="2" t="s">
        <v>101</v>
      </c>
      <c r="P1841" s="2" t="str">
        <f>"2170602701                    "</f>
        <v xml:space="preserve">2170602701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9.65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1.9</v>
      </c>
      <c r="BJ1841" s="2">
        <v>2.9</v>
      </c>
      <c r="BK1841" s="2">
        <v>3</v>
      </c>
      <c r="BL1841" s="2">
        <v>68.89</v>
      </c>
      <c r="BM1841" s="2">
        <v>9.64</v>
      </c>
      <c r="BN1841" s="2">
        <v>78.53</v>
      </c>
      <c r="BO1841" s="2">
        <v>78.53</v>
      </c>
      <c r="BQ1841" s="2" t="s">
        <v>128</v>
      </c>
      <c r="BR1841" s="2" t="s">
        <v>103</v>
      </c>
      <c r="BS1841" s="3">
        <v>43083</v>
      </c>
      <c r="BT1841" s="4">
        <v>0.41041666666666665</v>
      </c>
      <c r="BU1841" s="2" t="s">
        <v>2224</v>
      </c>
      <c r="BV1841" s="2" t="s">
        <v>85</v>
      </c>
      <c r="BY1841" s="2">
        <v>14459.26</v>
      </c>
      <c r="CA1841" s="2" t="s">
        <v>130</v>
      </c>
      <c r="CC1841" s="2" t="s">
        <v>126</v>
      </c>
      <c r="CD1841" s="2">
        <v>4001</v>
      </c>
      <c r="CE1841" s="2" t="s">
        <v>95</v>
      </c>
      <c r="CF1841" s="3">
        <v>43084</v>
      </c>
      <c r="CI1841" s="2">
        <v>1</v>
      </c>
      <c r="CJ1841" s="2">
        <v>1</v>
      </c>
      <c r="CK1841" s="2">
        <v>21</v>
      </c>
      <c r="CL1841" s="2" t="s">
        <v>89</v>
      </c>
    </row>
    <row r="1842" spans="1:90">
      <c r="A1842" s="2" t="s">
        <v>71</v>
      </c>
      <c r="B1842" s="2" t="s">
        <v>72</v>
      </c>
      <c r="C1842" s="2" t="s">
        <v>73</v>
      </c>
      <c r="E1842" s="2" t="str">
        <f>"FES1162595446"</f>
        <v>FES1162595446</v>
      </c>
      <c r="F1842" s="3">
        <v>43082</v>
      </c>
      <c r="G1842" s="2">
        <v>201806</v>
      </c>
      <c r="H1842" s="2" t="s">
        <v>74</v>
      </c>
      <c r="I1842" s="2" t="s">
        <v>75</v>
      </c>
      <c r="J1842" s="2" t="s">
        <v>97</v>
      </c>
      <c r="K1842" s="2" t="s">
        <v>77</v>
      </c>
      <c r="L1842" s="2" t="s">
        <v>551</v>
      </c>
      <c r="M1842" s="2" t="s">
        <v>552</v>
      </c>
      <c r="N1842" s="2" t="s">
        <v>1501</v>
      </c>
      <c r="O1842" s="2" t="s">
        <v>101</v>
      </c>
      <c r="P1842" s="2" t="str">
        <f>"2170607304                    "</f>
        <v xml:space="preserve">2170607304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6.43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</v>
      </c>
      <c r="BJ1842" s="2">
        <v>0.2</v>
      </c>
      <c r="BK1842" s="2">
        <v>1</v>
      </c>
      <c r="BL1842" s="2">
        <v>45.93</v>
      </c>
      <c r="BM1842" s="2">
        <v>6.43</v>
      </c>
      <c r="BN1842" s="2">
        <v>52.36</v>
      </c>
      <c r="BO1842" s="2">
        <v>52.36</v>
      </c>
      <c r="BQ1842" s="2" t="s">
        <v>128</v>
      </c>
      <c r="BR1842" s="2" t="s">
        <v>103</v>
      </c>
      <c r="BS1842" s="3">
        <v>43083</v>
      </c>
      <c r="BT1842" s="4">
        <v>0.54861111111111105</v>
      </c>
      <c r="BU1842" s="2" t="s">
        <v>2225</v>
      </c>
      <c r="BV1842" s="2" t="s">
        <v>85</v>
      </c>
      <c r="BY1842" s="2">
        <v>1200</v>
      </c>
      <c r="CA1842" s="2" t="s">
        <v>2226</v>
      </c>
      <c r="CC1842" s="2" t="s">
        <v>552</v>
      </c>
      <c r="CD1842" s="2">
        <v>3310</v>
      </c>
      <c r="CE1842" s="2" t="s">
        <v>120</v>
      </c>
      <c r="CF1842" s="3">
        <v>43084</v>
      </c>
      <c r="CI1842" s="2">
        <v>1</v>
      </c>
      <c r="CJ1842" s="2">
        <v>1</v>
      </c>
      <c r="CK1842" s="2">
        <v>21</v>
      </c>
      <c r="CL1842" s="2" t="s">
        <v>89</v>
      </c>
    </row>
    <row r="1843" spans="1:90">
      <c r="A1843" s="2" t="s">
        <v>71</v>
      </c>
      <c r="B1843" s="2" t="s">
        <v>72</v>
      </c>
      <c r="C1843" s="2" t="s">
        <v>73</v>
      </c>
      <c r="E1843" s="2" t="str">
        <f>"FES1162595074"</f>
        <v>FES1162595074</v>
      </c>
      <c r="F1843" s="3">
        <v>43082</v>
      </c>
      <c r="G1843" s="2">
        <v>201806</v>
      </c>
      <c r="H1843" s="2" t="s">
        <v>74</v>
      </c>
      <c r="I1843" s="2" t="s">
        <v>75</v>
      </c>
      <c r="J1843" s="2" t="s">
        <v>97</v>
      </c>
      <c r="K1843" s="2" t="s">
        <v>77</v>
      </c>
      <c r="L1843" s="2" t="s">
        <v>125</v>
      </c>
      <c r="M1843" s="2" t="s">
        <v>126</v>
      </c>
      <c r="N1843" s="2" t="s">
        <v>127</v>
      </c>
      <c r="O1843" s="2" t="s">
        <v>101</v>
      </c>
      <c r="P1843" s="2" t="str">
        <f>"2170601791                    "</f>
        <v xml:space="preserve">2170601791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41.81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5</v>
      </c>
      <c r="BJ1843" s="2">
        <v>13</v>
      </c>
      <c r="BK1843" s="2">
        <v>13</v>
      </c>
      <c r="BL1843" s="2">
        <v>298.45</v>
      </c>
      <c r="BM1843" s="2">
        <v>41.78</v>
      </c>
      <c r="BN1843" s="2">
        <v>340.23</v>
      </c>
      <c r="BO1843" s="2">
        <v>340.23</v>
      </c>
      <c r="BQ1843" s="2" t="s">
        <v>128</v>
      </c>
      <c r="BR1843" s="2" t="s">
        <v>103</v>
      </c>
      <c r="BS1843" s="3">
        <v>43083</v>
      </c>
      <c r="BT1843" s="4">
        <v>0.41111111111111115</v>
      </c>
      <c r="BU1843" s="2" t="s">
        <v>129</v>
      </c>
      <c r="BV1843" s="2" t="s">
        <v>85</v>
      </c>
      <c r="BY1843" s="2">
        <v>64919.61</v>
      </c>
      <c r="CA1843" s="2" t="s">
        <v>130</v>
      </c>
      <c r="CC1843" s="2" t="s">
        <v>126</v>
      </c>
      <c r="CD1843" s="2">
        <v>4001</v>
      </c>
      <c r="CE1843" s="2" t="s">
        <v>95</v>
      </c>
      <c r="CF1843" s="3">
        <v>43084</v>
      </c>
      <c r="CI1843" s="2">
        <v>1</v>
      </c>
      <c r="CJ1843" s="2">
        <v>1</v>
      </c>
      <c r="CK1843" s="2">
        <v>21</v>
      </c>
      <c r="CL1843" s="2" t="s">
        <v>89</v>
      </c>
    </row>
    <row r="1844" spans="1:90">
      <c r="A1844" s="2" t="s">
        <v>71</v>
      </c>
      <c r="B1844" s="2" t="s">
        <v>72</v>
      </c>
      <c r="C1844" s="2" t="s">
        <v>73</v>
      </c>
      <c r="E1844" s="2" t="str">
        <f>"FES1162595320"</f>
        <v>FES1162595320</v>
      </c>
      <c r="F1844" s="3">
        <v>43082</v>
      </c>
      <c r="G1844" s="2">
        <v>201806</v>
      </c>
      <c r="H1844" s="2" t="s">
        <v>74</v>
      </c>
      <c r="I1844" s="2" t="s">
        <v>75</v>
      </c>
      <c r="J1844" s="2" t="s">
        <v>97</v>
      </c>
      <c r="K1844" s="2" t="s">
        <v>77</v>
      </c>
      <c r="L1844" s="2" t="s">
        <v>1051</v>
      </c>
      <c r="M1844" s="2" t="s">
        <v>1052</v>
      </c>
      <c r="N1844" s="2" t="s">
        <v>1053</v>
      </c>
      <c r="O1844" s="2" t="s">
        <v>101</v>
      </c>
      <c r="P1844" s="2" t="str">
        <f>"2170607191                    "</f>
        <v xml:space="preserve">2170607191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108.17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8.8000000000000007</v>
      </c>
      <c r="BJ1844" s="2">
        <v>18.7</v>
      </c>
      <c r="BK1844" s="2">
        <v>19</v>
      </c>
      <c r="BL1844" s="2">
        <v>772.22</v>
      </c>
      <c r="BM1844" s="2">
        <v>108.11</v>
      </c>
      <c r="BN1844" s="2">
        <v>880.33</v>
      </c>
      <c r="BO1844" s="2">
        <v>880.33</v>
      </c>
      <c r="BQ1844" s="2" t="s">
        <v>82</v>
      </c>
      <c r="BR1844" s="2" t="s">
        <v>103</v>
      </c>
      <c r="BS1844" s="3">
        <v>43083</v>
      </c>
      <c r="BT1844" s="4">
        <v>0.58472222222222225</v>
      </c>
      <c r="BU1844" s="2" t="s">
        <v>1054</v>
      </c>
      <c r="BV1844" s="2" t="s">
        <v>85</v>
      </c>
      <c r="BY1844" s="2">
        <v>93691.73</v>
      </c>
      <c r="CA1844" s="2" t="s">
        <v>1351</v>
      </c>
      <c r="CC1844" s="2" t="s">
        <v>1052</v>
      </c>
      <c r="CD1844" s="2">
        <v>3370</v>
      </c>
      <c r="CE1844" s="2" t="s">
        <v>95</v>
      </c>
      <c r="CF1844" s="3">
        <v>43088</v>
      </c>
      <c r="CI1844" s="2">
        <v>3</v>
      </c>
      <c r="CJ1844" s="2">
        <v>1</v>
      </c>
      <c r="CK1844" s="2">
        <v>23</v>
      </c>
      <c r="CL1844" s="2" t="s">
        <v>89</v>
      </c>
    </row>
    <row r="1845" spans="1:90">
      <c r="A1845" s="2" t="s">
        <v>71</v>
      </c>
      <c r="B1845" s="2" t="s">
        <v>72</v>
      </c>
      <c r="C1845" s="2" t="s">
        <v>73</v>
      </c>
      <c r="E1845" s="2" t="str">
        <f>"FES1162594842"</f>
        <v>FES1162594842</v>
      </c>
      <c r="F1845" s="3">
        <v>43082</v>
      </c>
      <c r="G1845" s="2">
        <v>201806</v>
      </c>
      <c r="H1845" s="2" t="s">
        <v>74</v>
      </c>
      <c r="I1845" s="2" t="s">
        <v>75</v>
      </c>
      <c r="J1845" s="2" t="s">
        <v>97</v>
      </c>
      <c r="K1845" s="2" t="s">
        <v>77</v>
      </c>
      <c r="L1845" s="2" t="s">
        <v>1051</v>
      </c>
      <c r="M1845" s="2" t="s">
        <v>1052</v>
      </c>
      <c r="N1845" s="2" t="s">
        <v>1053</v>
      </c>
      <c r="O1845" s="2" t="s">
        <v>101</v>
      </c>
      <c r="P1845" s="2" t="str">
        <f>"2170606734                    "</f>
        <v xml:space="preserve">2170606734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18.100000000000001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3</v>
      </c>
      <c r="BJ1845" s="2">
        <v>2</v>
      </c>
      <c r="BK1845" s="2">
        <v>3</v>
      </c>
      <c r="BL1845" s="2">
        <v>129.19</v>
      </c>
      <c r="BM1845" s="2">
        <v>18.09</v>
      </c>
      <c r="BN1845" s="2">
        <v>147.28</v>
      </c>
      <c r="BO1845" s="2">
        <v>147.28</v>
      </c>
      <c r="BQ1845" s="2" t="s">
        <v>82</v>
      </c>
      <c r="BR1845" s="2" t="s">
        <v>103</v>
      </c>
      <c r="BS1845" s="3">
        <v>43083</v>
      </c>
      <c r="BT1845" s="4">
        <v>0.58472222222222225</v>
      </c>
      <c r="BU1845" s="2" t="s">
        <v>1054</v>
      </c>
      <c r="BV1845" s="2" t="s">
        <v>85</v>
      </c>
      <c r="BY1845" s="2">
        <v>9900</v>
      </c>
      <c r="CA1845" s="2" t="s">
        <v>1351</v>
      </c>
      <c r="CC1845" s="2" t="s">
        <v>1052</v>
      </c>
      <c r="CD1845" s="2">
        <v>3370</v>
      </c>
      <c r="CE1845" s="2" t="s">
        <v>95</v>
      </c>
      <c r="CF1845" s="3">
        <v>43088</v>
      </c>
      <c r="CI1845" s="2">
        <v>3</v>
      </c>
      <c r="CJ1845" s="2">
        <v>1</v>
      </c>
      <c r="CK1845" s="2">
        <v>23</v>
      </c>
      <c r="CL1845" s="2" t="s">
        <v>89</v>
      </c>
    </row>
    <row r="1846" spans="1:90">
      <c r="A1846" s="2" t="s">
        <v>71</v>
      </c>
      <c r="B1846" s="2" t="s">
        <v>72</v>
      </c>
      <c r="C1846" s="2" t="s">
        <v>73</v>
      </c>
      <c r="E1846" s="2" t="str">
        <f>"FES1162594832"</f>
        <v>FES1162594832</v>
      </c>
      <c r="F1846" s="3">
        <v>43082</v>
      </c>
      <c r="G1846" s="2">
        <v>201806</v>
      </c>
      <c r="H1846" s="2" t="s">
        <v>74</v>
      </c>
      <c r="I1846" s="2" t="s">
        <v>75</v>
      </c>
      <c r="J1846" s="2" t="s">
        <v>97</v>
      </c>
      <c r="K1846" s="2" t="s">
        <v>77</v>
      </c>
      <c r="L1846" s="2" t="s">
        <v>125</v>
      </c>
      <c r="M1846" s="2" t="s">
        <v>126</v>
      </c>
      <c r="N1846" s="2" t="s">
        <v>2227</v>
      </c>
      <c r="O1846" s="2" t="s">
        <v>101</v>
      </c>
      <c r="P1846" s="2" t="str">
        <f>"2170606722                    "</f>
        <v xml:space="preserve">2170606722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6.43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1</v>
      </c>
      <c r="BJ1846" s="2">
        <v>0.2</v>
      </c>
      <c r="BK1846" s="2">
        <v>1</v>
      </c>
      <c r="BL1846" s="2">
        <v>45.93</v>
      </c>
      <c r="BM1846" s="2">
        <v>6.43</v>
      </c>
      <c r="BN1846" s="2">
        <v>52.36</v>
      </c>
      <c r="BO1846" s="2">
        <v>52.36</v>
      </c>
      <c r="BQ1846" s="2" t="s">
        <v>82</v>
      </c>
      <c r="BR1846" s="2" t="s">
        <v>103</v>
      </c>
      <c r="BS1846" s="3">
        <v>43084</v>
      </c>
      <c r="BT1846" s="4">
        <v>0.4375</v>
      </c>
      <c r="BU1846" s="2" t="s">
        <v>1227</v>
      </c>
      <c r="BV1846" s="2" t="s">
        <v>89</v>
      </c>
      <c r="BY1846" s="2">
        <v>1200</v>
      </c>
      <c r="CA1846" s="2" t="s">
        <v>110</v>
      </c>
      <c r="CC1846" s="2" t="s">
        <v>126</v>
      </c>
      <c r="CD1846" s="2">
        <v>4051</v>
      </c>
      <c r="CE1846" s="2" t="s">
        <v>120</v>
      </c>
      <c r="CF1846" s="3">
        <v>43087</v>
      </c>
      <c r="CI1846" s="2">
        <v>1</v>
      </c>
      <c r="CJ1846" s="2">
        <v>2</v>
      </c>
      <c r="CK1846" s="2">
        <v>21</v>
      </c>
      <c r="CL1846" s="2" t="s">
        <v>89</v>
      </c>
    </row>
    <row r="1847" spans="1:90">
      <c r="A1847" s="2" t="s">
        <v>71</v>
      </c>
      <c r="B1847" s="2" t="s">
        <v>72</v>
      </c>
      <c r="C1847" s="2" t="s">
        <v>73</v>
      </c>
      <c r="E1847" s="2" t="str">
        <f>"FES1162595379"</f>
        <v>FES1162595379</v>
      </c>
      <c r="F1847" s="3">
        <v>43082</v>
      </c>
      <c r="G1847" s="2">
        <v>201806</v>
      </c>
      <c r="H1847" s="2" t="s">
        <v>74</v>
      </c>
      <c r="I1847" s="2" t="s">
        <v>75</v>
      </c>
      <c r="J1847" s="2" t="s">
        <v>97</v>
      </c>
      <c r="K1847" s="2" t="s">
        <v>77</v>
      </c>
      <c r="L1847" s="2" t="s">
        <v>168</v>
      </c>
      <c r="M1847" s="2" t="s">
        <v>169</v>
      </c>
      <c r="N1847" s="2" t="s">
        <v>2192</v>
      </c>
      <c r="O1847" s="2" t="s">
        <v>101</v>
      </c>
      <c r="P1847" s="2" t="str">
        <f>"2170607232                    "</f>
        <v xml:space="preserve">2170607232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6.43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1</v>
      </c>
      <c r="BJ1847" s="2">
        <v>0.2</v>
      </c>
      <c r="BK1847" s="2">
        <v>1</v>
      </c>
      <c r="BL1847" s="2">
        <v>45.93</v>
      </c>
      <c r="BM1847" s="2">
        <v>6.43</v>
      </c>
      <c r="BN1847" s="2">
        <v>52.36</v>
      </c>
      <c r="BO1847" s="2">
        <v>52.36</v>
      </c>
      <c r="BQ1847" s="2" t="s">
        <v>102</v>
      </c>
      <c r="BR1847" s="2" t="s">
        <v>103</v>
      </c>
      <c r="BS1847" s="3">
        <v>43083</v>
      </c>
      <c r="BT1847" s="4">
        <v>0.40277777777777773</v>
      </c>
      <c r="BU1847" s="2" t="s">
        <v>2193</v>
      </c>
      <c r="BV1847" s="2" t="s">
        <v>85</v>
      </c>
      <c r="BY1847" s="2">
        <v>1200</v>
      </c>
      <c r="CA1847" s="2" t="s">
        <v>172</v>
      </c>
      <c r="CC1847" s="2" t="s">
        <v>169</v>
      </c>
      <c r="CD1847" s="2">
        <v>3610</v>
      </c>
      <c r="CE1847" s="2" t="s">
        <v>120</v>
      </c>
      <c r="CF1847" s="3">
        <v>43084</v>
      </c>
      <c r="CI1847" s="2">
        <v>1</v>
      </c>
      <c r="CJ1847" s="2">
        <v>1</v>
      </c>
      <c r="CK1847" s="2">
        <v>21</v>
      </c>
      <c r="CL1847" s="2" t="s">
        <v>89</v>
      </c>
    </row>
    <row r="1848" spans="1:90">
      <c r="A1848" s="2" t="s">
        <v>71</v>
      </c>
      <c r="B1848" s="2" t="s">
        <v>72</v>
      </c>
      <c r="C1848" s="2" t="s">
        <v>73</v>
      </c>
      <c r="E1848" s="2" t="str">
        <f>"FES1162594772"</f>
        <v>FES1162594772</v>
      </c>
      <c r="F1848" s="3">
        <v>43082</v>
      </c>
      <c r="G1848" s="2">
        <v>201806</v>
      </c>
      <c r="H1848" s="2" t="s">
        <v>74</v>
      </c>
      <c r="I1848" s="2" t="s">
        <v>75</v>
      </c>
      <c r="J1848" s="2" t="s">
        <v>97</v>
      </c>
      <c r="K1848" s="2" t="s">
        <v>77</v>
      </c>
      <c r="L1848" s="2" t="s">
        <v>115</v>
      </c>
      <c r="M1848" s="2" t="s">
        <v>116</v>
      </c>
      <c r="N1848" s="2" t="s">
        <v>2228</v>
      </c>
      <c r="O1848" s="2" t="s">
        <v>101</v>
      </c>
      <c r="P1848" s="2" t="str">
        <f>"2170606677                    "</f>
        <v xml:space="preserve">2170606677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5.03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1</v>
      </c>
      <c r="BJ1848" s="2">
        <v>0.2</v>
      </c>
      <c r="BK1848" s="2">
        <v>1</v>
      </c>
      <c r="BL1848" s="2">
        <v>35.89</v>
      </c>
      <c r="BM1848" s="2">
        <v>5.0199999999999996</v>
      </c>
      <c r="BN1848" s="2">
        <v>40.909999999999997</v>
      </c>
      <c r="BO1848" s="2">
        <v>40.909999999999997</v>
      </c>
      <c r="BQ1848" s="2" t="s">
        <v>128</v>
      </c>
      <c r="BR1848" s="2" t="s">
        <v>103</v>
      </c>
      <c r="BS1848" s="3">
        <v>43083</v>
      </c>
      <c r="BT1848" s="4">
        <v>0.3520833333333333</v>
      </c>
      <c r="BU1848" s="2" t="s">
        <v>2229</v>
      </c>
      <c r="BV1848" s="2" t="s">
        <v>85</v>
      </c>
      <c r="BY1848" s="2">
        <v>1200</v>
      </c>
      <c r="CA1848" s="2" t="s">
        <v>386</v>
      </c>
      <c r="CC1848" s="2" t="s">
        <v>116</v>
      </c>
      <c r="CD1848" s="2">
        <v>1459</v>
      </c>
      <c r="CE1848" s="2" t="s">
        <v>120</v>
      </c>
      <c r="CF1848" s="3">
        <v>43084</v>
      </c>
      <c r="CI1848" s="2">
        <v>1</v>
      </c>
      <c r="CJ1848" s="2">
        <v>1</v>
      </c>
      <c r="CK1848" s="2">
        <v>22</v>
      </c>
      <c r="CL1848" s="2" t="s">
        <v>89</v>
      </c>
    </row>
    <row r="1849" spans="1:90">
      <c r="A1849" s="2" t="s">
        <v>71</v>
      </c>
      <c r="B1849" s="2" t="s">
        <v>72</v>
      </c>
      <c r="C1849" s="2" t="s">
        <v>73</v>
      </c>
      <c r="E1849" s="2" t="str">
        <f>"FES1162595512"</f>
        <v>FES1162595512</v>
      </c>
      <c r="F1849" s="3">
        <v>43082</v>
      </c>
      <c r="G1849" s="2">
        <v>201806</v>
      </c>
      <c r="H1849" s="2" t="s">
        <v>74</v>
      </c>
      <c r="I1849" s="2" t="s">
        <v>75</v>
      </c>
      <c r="J1849" s="2" t="s">
        <v>97</v>
      </c>
      <c r="K1849" s="2" t="s">
        <v>77</v>
      </c>
      <c r="L1849" s="2" t="s">
        <v>125</v>
      </c>
      <c r="M1849" s="2" t="s">
        <v>126</v>
      </c>
      <c r="N1849" s="2" t="s">
        <v>858</v>
      </c>
      <c r="O1849" s="2" t="s">
        <v>101</v>
      </c>
      <c r="P1849" s="2" t="str">
        <f>"2170607370                    "</f>
        <v xml:space="preserve">2170607370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6.43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1</v>
      </c>
      <c r="BJ1849" s="2">
        <v>0.2</v>
      </c>
      <c r="BK1849" s="2">
        <v>1</v>
      </c>
      <c r="BL1849" s="2">
        <v>45.93</v>
      </c>
      <c r="BM1849" s="2">
        <v>6.43</v>
      </c>
      <c r="BN1849" s="2">
        <v>52.36</v>
      </c>
      <c r="BO1849" s="2">
        <v>52.36</v>
      </c>
      <c r="BQ1849" s="2" t="s">
        <v>82</v>
      </c>
      <c r="BR1849" s="2" t="s">
        <v>103</v>
      </c>
      <c r="BS1849" s="3">
        <v>43083</v>
      </c>
      <c r="BT1849" s="4">
        <v>0.44305555555555554</v>
      </c>
      <c r="BU1849" s="2" t="s">
        <v>859</v>
      </c>
      <c r="BV1849" s="2" t="s">
        <v>85</v>
      </c>
      <c r="BY1849" s="2">
        <v>1200</v>
      </c>
      <c r="CA1849" s="2" t="s">
        <v>666</v>
      </c>
      <c r="CC1849" s="2" t="s">
        <v>126</v>
      </c>
      <c r="CD1849" s="2">
        <v>4001</v>
      </c>
      <c r="CE1849" s="2" t="s">
        <v>120</v>
      </c>
      <c r="CF1849" s="3">
        <v>43084</v>
      </c>
      <c r="CI1849" s="2">
        <v>1</v>
      </c>
      <c r="CJ1849" s="2">
        <v>1</v>
      </c>
      <c r="CK1849" s="2">
        <v>21</v>
      </c>
      <c r="CL1849" s="2" t="s">
        <v>89</v>
      </c>
    </row>
    <row r="1850" spans="1:90">
      <c r="A1850" s="2" t="s">
        <v>71</v>
      </c>
      <c r="B1850" s="2" t="s">
        <v>72</v>
      </c>
      <c r="C1850" s="2" t="s">
        <v>73</v>
      </c>
      <c r="E1850" s="2" t="str">
        <f>"009936868871"</f>
        <v>009936868871</v>
      </c>
      <c r="F1850" s="3">
        <v>43073</v>
      </c>
      <c r="G1850" s="2">
        <v>201806</v>
      </c>
      <c r="H1850" s="2" t="s">
        <v>2230</v>
      </c>
      <c r="I1850" s="2" t="s">
        <v>2231</v>
      </c>
      <c r="J1850" s="2" t="s">
        <v>2232</v>
      </c>
      <c r="K1850" s="2" t="s">
        <v>77</v>
      </c>
      <c r="L1850" s="2" t="s">
        <v>106</v>
      </c>
      <c r="M1850" s="2" t="s">
        <v>107</v>
      </c>
      <c r="N1850" s="2" t="s">
        <v>76</v>
      </c>
      <c r="O1850" s="2" t="s">
        <v>2233</v>
      </c>
      <c r="P1850" s="2" t="str">
        <f>"                              "</f>
        <v xml:space="preserve">          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20</v>
      </c>
      <c r="BI1850" s="2">
        <v>216</v>
      </c>
      <c r="BJ1850" s="2">
        <v>432</v>
      </c>
      <c r="BK1850" s="2">
        <v>432</v>
      </c>
      <c r="BL1850" s="2">
        <v>3026.22</v>
      </c>
      <c r="BM1850" s="2">
        <v>423.67</v>
      </c>
      <c r="BN1850" s="2">
        <v>3449.89</v>
      </c>
      <c r="BO1850" s="2">
        <v>3449.89</v>
      </c>
      <c r="BS1850" s="3">
        <v>43074</v>
      </c>
      <c r="BT1850" s="4">
        <v>0.47916666666666669</v>
      </c>
      <c r="BU1850" s="2" t="s">
        <v>2234</v>
      </c>
      <c r="BV1850" s="2" t="s">
        <v>85</v>
      </c>
      <c r="BY1850" s="2">
        <v>429050</v>
      </c>
      <c r="BZ1850" s="2" t="s">
        <v>1734</v>
      </c>
      <c r="CC1850" s="2" t="s">
        <v>107</v>
      </c>
      <c r="CD1850" s="2">
        <v>2000</v>
      </c>
      <c r="CE1850" s="2" t="s">
        <v>1721</v>
      </c>
      <c r="CF1850" s="3">
        <v>43075</v>
      </c>
      <c r="CI1850" s="2">
        <v>1</v>
      </c>
      <c r="CJ1850" s="2">
        <v>1</v>
      </c>
      <c r="CK1850" s="2">
        <v>-1</v>
      </c>
      <c r="CL1850" s="2" t="s">
        <v>89</v>
      </c>
    </row>
    <row r="1851" spans="1:90">
      <c r="A1851" s="2" t="s">
        <v>71</v>
      </c>
      <c r="B1851" s="2" t="s">
        <v>72</v>
      </c>
      <c r="C1851" s="2" t="s">
        <v>73</v>
      </c>
      <c r="E1851" s="2" t="str">
        <f>"FES1162595563"</f>
        <v>FES1162595563</v>
      </c>
      <c r="F1851" s="3">
        <v>43082</v>
      </c>
      <c r="G1851" s="2">
        <v>201806</v>
      </c>
      <c r="H1851" s="2" t="s">
        <v>74</v>
      </c>
      <c r="I1851" s="2" t="s">
        <v>75</v>
      </c>
      <c r="J1851" s="2" t="s">
        <v>97</v>
      </c>
      <c r="K1851" s="2" t="s">
        <v>77</v>
      </c>
      <c r="L1851" s="2" t="s">
        <v>145</v>
      </c>
      <c r="M1851" s="2" t="s">
        <v>146</v>
      </c>
      <c r="N1851" s="2" t="s">
        <v>2235</v>
      </c>
      <c r="O1851" s="2" t="s">
        <v>101</v>
      </c>
      <c r="P1851" s="2" t="str">
        <f>"2170607359                    "</f>
        <v xml:space="preserve">2170607359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16.079999999999998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4.5999999999999996</v>
      </c>
      <c r="BJ1851" s="2">
        <v>4.4000000000000004</v>
      </c>
      <c r="BK1851" s="2">
        <v>5</v>
      </c>
      <c r="BL1851" s="2">
        <v>114.8</v>
      </c>
      <c r="BM1851" s="2">
        <v>16.07</v>
      </c>
      <c r="BN1851" s="2">
        <v>130.87</v>
      </c>
      <c r="BO1851" s="2">
        <v>130.87</v>
      </c>
      <c r="BQ1851" s="2" t="s">
        <v>128</v>
      </c>
      <c r="BR1851" s="2" t="s">
        <v>103</v>
      </c>
      <c r="BS1851" s="3">
        <v>43083</v>
      </c>
      <c r="BT1851" s="4">
        <v>0.58402777777777781</v>
      </c>
      <c r="BU1851" s="2" t="s">
        <v>2236</v>
      </c>
      <c r="BV1851" s="2" t="s">
        <v>89</v>
      </c>
      <c r="BW1851" s="2" t="s">
        <v>149</v>
      </c>
      <c r="BX1851" s="2" t="s">
        <v>150</v>
      </c>
      <c r="BY1851" s="2">
        <v>22074.05</v>
      </c>
      <c r="CA1851" s="2" t="s">
        <v>183</v>
      </c>
      <c r="CC1851" s="2" t="s">
        <v>146</v>
      </c>
      <c r="CD1851" s="2">
        <v>5218</v>
      </c>
      <c r="CE1851" s="2" t="s">
        <v>87</v>
      </c>
      <c r="CF1851" s="3">
        <v>43088</v>
      </c>
      <c r="CI1851" s="2">
        <v>1</v>
      </c>
      <c r="CJ1851" s="2">
        <v>1</v>
      </c>
      <c r="CK1851" s="2">
        <v>21</v>
      </c>
      <c r="CL1851" s="2" t="s">
        <v>89</v>
      </c>
    </row>
    <row r="1852" spans="1:90">
      <c r="A1852" s="2" t="s">
        <v>71</v>
      </c>
      <c r="B1852" s="2" t="s">
        <v>72</v>
      </c>
      <c r="C1852" s="2" t="s">
        <v>73</v>
      </c>
      <c r="E1852" s="2" t="str">
        <f>"FES1162595530"</f>
        <v>FES1162595530</v>
      </c>
      <c r="F1852" s="3">
        <v>43082</v>
      </c>
      <c r="G1852" s="2">
        <v>201806</v>
      </c>
      <c r="H1852" s="2" t="s">
        <v>74</v>
      </c>
      <c r="I1852" s="2" t="s">
        <v>75</v>
      </c>
      <c r="J1852" s="2" t="s">
        <v>97</v>
      </c>
      <c r="K1852" s="2" t="s">
        <v>77</v>
      </c>
      <c r="L1852" s="2" t="s">
        <v>136</v>
      </c>
      <c r="M1852" s="2" t="s">
        <v>137</v>
      </c>
      <c r="N1852" s="2" t="s">
        <v>2105</v>
      </c>
      <c r="O1852" s="2" t="s">
        <v>101</v>
      </c>
      <c r="P1852" s="2" t="str">
        <f>"2170607393                    "</f>
        <v xml:space="preserve">2170607393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6.43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45.93</v>
      </c>
      <c r="BM1852" s="2">
        <v>6.43</v>
      </c>
      <c r="BN1852" s="2">
        <v>52.36</v>
      </c>
      <c r="BO1852" s="2">
        <v>52.36</v>
      </c>
      <c r="BQ1852" s="2" t="s">
        <v>102</v>
      </c>
      <c r="BR1852" s="2" t="s">
        <v>103</v>
      </c>
      <c r="BS1852" s="3">
        <v>43083</v>
      </c>
      <c r="BT1852" s="4">
        <v>0.33333333333333331</v>
      </c>
      <c r="BU1852" s="2" t="s">
        <v>2237</v>
      </c>
      <c r="BV1852" s="2" t="s">
        <v>85</v>
      </c>
      <c r="BY1852" s="2">
        <v>1200</v>
      </c>
      <c r="CA1852" s="2" t="s">
        <v>140</v>
      </c>
      <c r="CC1852" s="2" t="s">
        <v>137</v>
      </c>
      <c r="CD1852" s="2">
        <v>6012</v>
      </c>
      <c r="CE1852" s="2" t="s">
        <v>120</v>
      </c>
      <c r="CF1852" s="3">
        <v>43084</v>
      </c>
      <c r="CI1852" s="2">
        <v>1</v>
      </c>
      <c r="CJ1852" s="2">
        <v>1</v>
      </c>
      <c r="CK1852" s="2">
        <v>21</v>
      </c>
      <c r="CL1852" s="2" t="s">
        <v>89</v>
      </c>
    </row>
    <row r="1853" spans="1:90">
      <c r="A1853" s="2" t="s">
        <v>71</v>
      </c>
      <c r="B1853" s="2" t="s">
        <v>72</v>
      </c>
      <c r="C1853" s="2" t="s">
        <v>73</v>
      </c>
      <c r="E1853" s="2" t="str">
        <f>"FES1162595609"</f>
        <v>FES1162595609</v>
      </c>
      <c r="F1853" s="3">
        <v>43082</v>
      </c>
      <c r="G1853" s="2">
        <v>201806</v>
      </c>
      <c r="H1853" s="2" t="s">
        <v>74</v>
      </c>
      <c r="I1853" s="2" t="s">
        <v>75</v>
      </c>
      <c r="J1853" s="2" t="s">
        <v>97</v>
      </c>
      <c r="K1853" s="2" t="s">
        <v>77</v>
      </c>
      <c r="L1853" s="2" t="s">
        <v>111</v>
      </c>
      <c r="M1853" s="2" t="s">
        <v>112</v>
      </c>
      <c r="N1853" s="2" t="s">
        <v>694</v>
      </c>
      <c r="O1853" s="2" t="s">
        <v>101</v>
      </c>
      <c r="P1853" s="2" t="str">
        <f>"2170605726                    "</f>
        <v xml:space="preserve">2170605726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11.26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3.5</v>
      </c>
      <c r="BJ1853" s="2">
        <v>1.7</v>
      </c>
      <c r="BK1853" s="2">
        <v>3.5</v>
      </c>
      <c r="BL1853" s="2">
        <v>80.37</v>
      </c>
      <c r="BM1853" s="2">
        <v>11.25</v>
      </c>
      <c r="BN1853" s="2">
        <v>91.62</v>
      </c>
      <c r="BO1853" s="2">
        <v>91.62</v>
      </c>
      <c r="BQ1853" s="2" t="s">
        <v>102</v>
      </c>
      <c r="BR1853" s="2" t="s">
        <v>103</v>
      </c>
      <c r="BS1853" s="3">
        <v>43083</v>
      </c>
      <c r="BT1853" s="4">
        <v>0.37777777777777777</v>
      </c>
      <c r="BU1853" s="2" t="s">
        <v>2238</v>
      </c>
      <c r="BV1853" s="2" t="s">
        <v>85</v>
      </c>
      <c r="BY1853" s="2">
        <v>8501.5499999999993</v>
      </c>
      <c r="CC1853" s="2" t="s">
        <v>112</v>
      </c>
      <c r="CD1853" s="2">
        <v>6220</v>
      </c>
      <c r="CE1853" s="2" t="s">
        <v>95</v>
      </c>
      <c r="CF1853" s="3">
        <v>43084</v>
      </c>
      <c r="CI1853" s="2">
        <v>1</v>
      </c>
      <c r="CJ1853" s="2">
        <v>1</v>
      </c>
      <c r="CK1853" s="2">
        <v>21</v>
      </c>
      <c r="CL1853" s="2" t="s">
        <v>89</v>
      </c>
    </row>
    <row r="1854" spans="1:90">
      <c r="A1854" s="2" t="s">
        <v>71</v>
      </c>
      <c r="B1854" s="2" t="s">
        <v>72</v>
      </c>
      <c r="C1854" s="2" t="s">
        <v>73</v>
      </c>
      <c r="E1854" s="2" t="str">
        <f>"FES1162596017"</f>
        <v>FES1162596017</v>
      </c>
      <c r="F1854" s="3">
        <v>43083</v>
      </c>
      <c r="G1854" s="2">
        <v>201806</v>
      </c>
      <c r="H1854" s="2" t="s">
        <v>74</v>
      </c>
      <c r="I1854" s="2" t="s">
        <v>75</v>
      </c>
      <c r="J1854" s="2" t="s">
        <v>97</v>
      </c>
      <c r="K1854" s="2" t="s">
        <v>77</v>
      </c>
      <c r="L1854" s="2" t="s">
        <v>115</v>
      </c>
      <c r="M1854" s="2" t="s">
        <v>116</v>
      </c>
      <c r="N1854" s="2" t="s">
        <v>724</v>
      </c>
      <c r="O1854" s="2" t="s">
        <v>101</v>
      </c>
      <c r="P1854" s="2" t="str">
        <f>"2170605192                    "</f>
        <v xml:space="preserve">2170605192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5.03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6.6</v>
      </c>
      <c r="BJ1854" s="2">
        <v>3.3</v>
      </c>
      <c r="BK1854" s="2">
        <v>7</v>
      </c>
      <c r="BL1854" s="2">
        <v>35.89</v>
      </c>
      <c r="BM1854" s="2">
        <v>5.0199999999999996</v>
      </c>
      <c r="BN1854" s="2">
        <v>40.909999999999997</v>
      </c>
      <c r="BO1854" s="2">
        <v>40.909999999999997</v>
      </c>
      <c r="BQ1854" s="2" t="s">
        <v>229</v>
      </c>
      <c r="BR1854" s="2" t="s">
        <v>103</v>
      </c>
      <c r="BS1854" s="3">
        <v>43084</v>
      </c>
      <c r="BT1854" s="4">
        <v>0.3520833333333333</v>
      </c>
      <c r="BU1854" s="2" t="s">
        <v>2239</v>
      </c>
      <c r="BV1854" s="2" t="s">
        <v>85</v>
      </c>
      <c r="BY1854" s="2">
        <v>16549.43</v>
      </c>
      <c r="CA1854" s="2" t="s">
        <v>119</v>
      </c>
      <c r="CC1854" s="2" t="s">
        <v>116</v>
      </c>
      <c r="CD1854" s="2">
        <v>1459</v>
      </c>
      <c r="CE1854" s="2" t="s">
        <v>95</v>
      </c>
      <c r="CF1854" s="3">
        <v>43087</v>
      </c>
      <c r="CI1854" s="2">
        <v>1</v>
      </c>
      <c r="CJ1854" s="2">
        <v>1</v>
      </c>
      <c r="CK1854" s="2">
        <v>22</v>
      </c>
      <c r="CL1854" s="2" t="s">
        <v>89</v>
      </c>
    </row>
    <row r="1855" spans="1:90">
      <c r="A1855" s="2" t="s">
        <v>71</v>
      </c>
      <c r="B1855" s="2" t="s">
        <v>72</v>
      </c>
      <c r="C1855" s="2" t="s">
        <v>73</v>
      </c>
      <c r="E1855" s="2" t="str">
        <f>"FES1162595643"</f>
        <v>FES1162595643</v>
      </c>
      <c r="F1855" s="3">
        <v>43082</v>
      </c>
      <c r="G1855" s="2">
        <v>201806</v>
      </c>
      <c r="H1855" s="2" t="s">
        <v>74</v>
      </c>
      <c r="I1855" s="2" t="s">
        <v>75</v>
      </c>
      <c r="J1855" s="2" t="s">
        <v>97</v>
      </c>
      <c r="K1855" s="2" t="s">
        <v>77</v>
      </c>
      <c r="L1855" s="2" t="s">
        <v>74</v>
      </c>
      <c r="M1855" s="2" t="s">
        <v>75</v>
      </c>
      <c r="N1855" s="2" t="s">
        <v>2240</v>
      </c>
      <c r="O1855" s="2" t="s">
        <v>101</v>
      </c>
      <c r="P1855" s="2" t="str">
        <f>"2170607469                    "</f>
        <v xml:space="preserve">2170607469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5.03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</v>
      </c>
      <c r="BJ1855" s="2">
        <v>0.2</v>
      </c>
      <c r="BK1855" s="2">
        <v>1</v>
      </c>
      <c r="BL1855" s="2">
        <v>35.89</v>
      </c>
      <c r="BM1855" s="2">
        <v>5.0199999999999996</v>
      </c>
      <c r="BN1855" s="2">
        <v>40.909999999999997</v>
      </c>
      <c r="BO1855" s="2">
        <v>40.909999999999997</v>
      </c>
      <c r="BQ1855" s="2" t="s">
        <v>102</v>
      </c>
      <c r="BR1855" s="2" t="s">
        <v>103</v>
      </c>
      <c r="BS1855" s="3">
        <v>43083</v>
      </c>
      <c r="BT1855" s="4">
        <v>0.36944444444444446</v>
      </c>
      <c r="BU1855" s="2" t="s">
        <v>2241</v>
      </c>
      <c r="BV1855" s="2" t="s">
        <v>85</v>
      </c>
      <c r="BY1855" s="2">
        <v>1200</v>
      </c>
      <c r="CA1855" s="2" t="s">
        <v>2242</v>
      </c>
      <c r="CC1855" s="2" t="s">
        <v>75</v>
      </c>
      <c r="CD1855" s="2">
        <v>1682</v>
      </c>
      <c r="CE1855" s="2" t="s">
        <v>120</v>
      </c>
      <c r="CF1855" s="3">
        <v>43087</v>
      </c>
      <c r="CI1855" s="2">
        <v>1</v>
      </c>
      <c r="CJ1855" s="2">
        <v>1</v>
      </c>
      <c r="CK1855" s="2">
        <v>22</v>
      </c>
      <c r="CL1855" s="2" t="s">
        <v>89</v>
      </c>
    </row>
    <row r="1856" spans="1:90">
      <c r="A1856" s="2" t="s">
        <v>71</v>
      </c>
      <c r="B1856" s="2" t="s">
        <v>72</v>
      </c>
      <c r="C1856" s="2" t="s">
        <v>73</v>
      </c>
      <c r="E1856" s="2" t="str">
        <f>"FES1162595554"</f>
        <v>FES1162595554</v>
      </c>
      <c r="F1856" s="3">
        <v>43082</v>
      </c>
      <c r="G1856" s="2">
        <v>201806</v>
      </c>
      <c r="H1856" s="2" t="s">
        <v>74</v>
      </c>
      <c r="I1856" s="2" t="s">
        <v>75</v>
      </c>
      <c r="J1856" s="2" t="s">
        <v>97</v>
      </c>
      <c r="K1856" s="2" t="s">
        <v>77</v>
      </c>
      <c r="L1856" s="2" t="s">
        <v>253</v>
      </c>
      <c r="M1856" s="2" t="s">
        <v>254</v>
      </c>
      <c r="N1856" s="2" t="s">
        <v>704</v>
      </c>
      <c r="O1856" s="2" t="s">
        <v>101</v>
      </c>
      <c r="P1856" s="2" t="str">
        <f>"2170606626                    "</f>
        <v xml:space="preserve">2170606626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6.43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1</v>
      </c>
      <c r="BJ1856" s="2">
        <v>0.2</v>
      </c>
      <c r="BK1856" s="2">
        <v>1</v>
      </c>
      <c r="BL1856" s="2">
        <v>45.93</v>
      </c>
      <c r="BM1856" s="2">
        <v>6.43</v>
      </c>
      <c r="BN1856" s="2">
        <v>52.36</v>
      </c>
      <c r="BO1856" s="2">
        <v>52.36</v>
      </c>
      <c r="BQ1856" s="2" t="s">
        <v>82</v>
      </c>
      <c r="BR1856" s="2" t="s">
        <v>103</v>
      </c>
      <c r="BS1856" s="3">
        <v>43083</v>
      </c>
      <c r="BT1856" s="4">
        <v>0.54999999999999993</v>
      </c>
      <c r="BU1856" s="2" t="s">
        <v>2243</v>
      </c>
      <c r="BV1856" s="2" t="s">
        <v>89</v>
      </c>
      <c r="BY1856" s="2">
        <v>1200</v>
      </c>
      <c r="CA1856" s="2" t="s">
        <v>257</v>
      </c>
      <c r="CC1856" s="2" t="s">
        <v>254</v>
      </c>
      <c r="CD1856" s="2">
        <v>1900</v>
      </c>
      <c r="CE1856" s="2" t="s">
        <v>120</v>
      </c>
      <c r="CF1856" s="3">
        <v>43088</v>
      </c>
      <c r="CI1856" s="2">
        <v>1</v>
      </c>
      <c r="CJ1856" s="2">
        <v>1</v>
      </c>
      <c r="CK1856" s="2">
        <v>21</v>
      </c>
      <c r="CL1856" s="2" t="s">
        <v>89</v>
      </c>
    </row>
    <row r="1857" spans="1:90">
      <c r="A1857" s="2" t="s">
        <v>71</v>
      </c>
      <c r="B1857" s="2" t="s">
        <v>72</v>
      </c>
      <c r="C1857" s="2" t="s">
        <v>73</v>
      </c>
      <c r="E1857" s="2" t="str">
        <f>"FES1162595574"</f>
        <v>FES1162595574</v>
      </c>
      <c r="F1857" s="3">
        <v>43082</v>
      </c>
      <c r="G1857" s="2">
        <v>201806</v>
      </c>
      <c r="H1857" s="2" t="s">
        <v>74</v>
      </c>
      <c r="I1857" s="2" t="s">
        <v>75</v>
      </c>
      <c r="J1857" s="2" t="s">
        <v>97</v>
      </c>
      <c r="K1857" s="2" t="s">
        <v>77</v>
      </c>
      <c r="L1857" s="2" t="s">
        <v>136</v>
      </c>
      <c r="M1857" s="2" t="s">
        <v>137</v>
      </c>
      <c r="N1857" s="2" t="s">
        <v>2105</v>
      </c>
      <c r="O1857" s="2" t="s">
        <v>101</v>
      </c>
      <c r="P1857" s="2" t="str">
        <f>"2170607419                    "</f>
        <v xml:space="preserve">2170607419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6.43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1</v>
      </c>
      <c r="BJ1857" s="2">
        <v>0.2</v>
      </c>
      <c r="BK1857" s="2">
        <v>1</v>
      </c>
      <c r="BL1857" s="2">
        <v>45.93</v>
      </c>
      <c r="BM1857" s="2">
        <v>6.43</v>
      </c>
      <c r="BN1857" s="2">
        <v>52.36</v>
      </c>
      <c r="BO1857" s="2">
        <v>52.36</v>
      </c>
      <c r="BQ1857" s="2" t="s">
        <v>102</v>
      </c>
      <c r="BR1857" s="2" t="s">
        <v>103</v>
      </c>
      <c r="BS1857" s="3">
        <v>43083</v>
      </c>
      <c r="BT1857" s="4">
        <v>0.33611111111111108</v>
      </c>
      <c r="BU1857" s="2" t="s">
        <v>2237</v>
      </c>
      <c r="BV1857" s="2" t="s">
        <v>85</v>
      </c>
      <c r="BY1857" s="2">
        <v>1200</v>
      </c>
      <c r="CA1857" s="2" t="s">
        <v>140</v>
      </c>
      <c r="CC1857" s="2" t="s">
        <v>137</v>
      </c>
      <c r="CD1857" s="2">
        <v>6012</v>
      </c>
      <c r="CE1857" s="2" t="s">
        <v>120</v>
      </c>
      <c r="CF1857" s="3">
        <v>43084</v>
      </c>
      <c r="CI1857" s="2">
        <v>1</v>
      </c>
      <c r="CJ1857" s="2">
        <v>1</v>
      </c>
      <c r="CK1857" s="2">
        <v>21</v>
      </c>
      <c r="CL1857" s="2" t="s">
        <v>89</v>
      </c>
    </row>
    <row r="1858" spans="1:90">
      <c r="A1858" s="2" t="s">
        <v>71</v>
      </c>
      <c r="B1858" s="2" t="s">
        <v>72</v>
      </c>
      <c r="C1858" s="2" t="s">
        <v>73</v>
      </c>
      <c r="E1858" s="2" t="str">
        <f>"FES1162595604"</f>
        <v>FES1162595604</v>
      </c>
      <c r="F1858" s="3">
        <v>43082</v>
      </c>
      <c r="G1858" s="2">
        <v>201806</v>
      </c>
      <c r="H1858" s="2" t="s">
        <v>74</v>
      </c>
      <c r="I1858" s="2" t="s">
        <v>75</v>
      </c>
      <c r="J1858" s="2" t="s">
        <v>97</v>
      </c>
      <c r="K1858" s="2" t="s">
        <v>77</v>
      </c>
      <c r="L1858" s="2" t="s">
        <v>74</v>
      </c>
      <c r="M1858" s="2" t="s">
        <v>75</v>
      </c>
      <c r="N1858" s="2" t="s">
        <v>695</v>
      </c>
      <c r="O1858" s="2" t="s">
        <v>101</v>
      </c>
      <c r="P1858" s="2" t="str">
        <f>"2170604299                    "</f>
        <v xml:space="preserve">2170604299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5.03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0.2</v>
      </c>
      <c r="BK1858" s="2">
        <v>1</v>
      </c>
      <c r="BL1858" s="2">
        <v>35.89</v>
      </c>
      <c r="BM1858" s="2">
        <v>5.0199999999999996</v>
      </c>
      <c r="BN1858" s="2">
        <v>40.909999999999997</v>
      </c>
      <c r="BO1858" s="2">
        <v>40.909999999999997</v>
      </c>
      <c r="BQ1858" s="2" t="s">
        <v>696</v>
      </c>
      <c r="BR1858" s="2" t="s">
        <v>103</v>
      </c>
      <c r="BS1858" s="3">
        <v>43083</v>
      </c>
      <c r="BT1858" s="4">
        <v>0.34236111111111112</v>
      </c>
      <c r="BU1858" s="2" t="s">
        <v>2244</v>
      </c>
      <c r="BV1858" s="2" t="s">
        <v>85</v>
      </c>
      <c r="BY1858" s="2">
        <v>1200</v>
      </c>
      <c r="CA1858" s="2" t="s">
        <v>366</v>
      </c>
      <c r="CC1858" s="2" t="s">
        <v>75</v>
      </c>
      <c r="CD1858" s="2">
        <v>1601</v>
      </c>
      <c r="CE1858" s="2" t="s">
        <v>120</v>
      </c>
      <c r="CF1858" s="3">
        <v>43084</v>
      </c>
      <c r="CI1858" s="2">
        <v>1</v>
      </c>
      <c r="CJ1858" s="2">
        <v>1</v>
      </c>
      <c r="CK1858" s="2">
        <v>22</v>
      </c>
      <c r="CL1858" s="2" t="s">
        <v>89</v>
      </c>
    </row>
    <row r="1859" spans="1:90">
      <c r="A1859" s="2" t="s">
        <v>71</v>
      </c>
      <c r="B1859" s="2" t="s">
        <v>72</v>
      </c>
      <c r="C1859" s="2" t="s">
        <v>73</v>
      </c>
      <c r="E1859" s="2" t="str">
        <f>"FES1162595623"</f>
        <v>FES1162595623</v>
      </c>
      <c r="F1859" s="3">
        <v>43082</v>
      </c>
      <c r="G1859" s="2">
        <v>201806</v>
      </c>
      <c r="H1859" s="2" t="s">
        <v>74</v>
      </c>
      <c r="I1859" s="2" t="s">
        <v>75</v>
      </c>
      <c r="J1859" s="2" t="s">
        <v>97</v>
      </c>
      <c r="K1859" s="2" t="s">
        <v>77</v>
      </c>
      <c r="L1859" s="2" t="s">
        <v>90</v>
      </c>
      <c r="M1859" s="2" t="s">
        <v>91</v>
      </c>
      <c r="N1859" s="2" t="s">
        <v>899</v>
      </c>
      <c r="O1859" s="2" t="s">
        <v>101</v>
      </c>
      <c r="P1859" s="2" t="str">
        <f>"2170607446                    "</f>
        <v xml:space="preserve">2170607446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5.03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2</v>
      </c>
      <c r="BJ1859" s="2">
        <v>0.2</v>
      </c>
      <c r="BK1859" s="2">
        <v>2</v>
      </c>
      <c r="BL1859" s="2">
        <v>35.89</v>
      </c>
      <c r="BM1859" s="2">
        <v>5.0199999999999996</v>
      </c>
      <c r="BN1859" s="2">
        <v>40.909999999999997</v>
      </c>
      <c r="BO1859" s="2">
        <v>40.909999999999997</v>
      </c>
      <c r="BQ1859" s="2" t="s">
        <v>82</v>
      </c>
      <c r="BR1859" s="2" t="s">
        <v>103</v>
      </c>
      <c r="BS1859" s="3">
        <v>43083</v>
      </c>
      <c r="BT1859" s="4">
        <v>0.46597222222222223</v>
      </c>
      <c r="BU1859" s="2" t="s">
        <v>114</v>
      </c>
      <c r="BV1859" s="2" t="s">
        <v>85</v>
      </c>
      <c r="BY1859" s="2">
        <v>1200</v>
      </c>
      <c r="CC1859" s="2" t="s">
        <v>91</v>
      </c>
      <c r="CD1859" s="2">
        <v>1510</v>
      </c>
      <c r="CE1859" s="2" t="s">
        <v>120</v>
      </c>
      <c r="CF1859" s="3">
        <v>43084</v>
      </c>
      <c r="CI1859" s="2">
        <v>1</v>
      </c>
      <c r="CJ1859" s="2">
        <v>1</v>
      </c>
      <c r="CK1859" s="2">
        <v>22</v>
      </c>
      <c r="CL1859" s="2" t="s">
        <v>89</v>
      </c>
    </row>
    <row r="1860" spans="1:90">
      <c r="A1860" s="2" t="s">
        <v>71</v>
      </c>
      <c r="B1860" s="2" t="s">
        <v>72</v>
      </c>
      <c r="C1860" s="2" t="s">
        <v>73</v>
      </c>
      <c r="E1860" s="2" t="str">
        <f>"FES1162595553"</f>
        <v>FES1162595553</v>
      </c>
      <c r="F1860" s="3">
        <v>43082</v>
      </c>
      <c r="G1860" s="2">
        <v>201806</v>
      </c>
      <c r="H1860" s="2" t="s">
        <v>74</v>
      </c>
      <c r="I1860" s="2" t="s">
        <v>75</v>
      </c>
      <c r="J1860" s="2" t="s">
        <v>97</v>
      </c>
      <c r="K1860" s="2" t="s">
        <v>77</v>
      </c>
      <c r="L1860" s="2" t="s">
        <v>547</v>
      </c>
      <c r="M1860" s="2" t="s">
        <v>548</v>
      </c>
      <c r="N1860" s="2" t="s">
        <v>691</v>
      </c>
      <c r="O1860" s="2" t="s">
        <v>101</v>
      </c>
      <c r="P1860" s="2" t="str">
        <f>"2170606567                    "</f>
        <v xml:space="preserve">2170606567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5.03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</v>
      </c>
      <c r="BJ1860" s="2">
        <v>0.2</v>
      </c>
      <c r="BK1860" s="2">
        <v>1</v>
      </c>
      <c r="BL1860" s="2">
        <v>35.89</v>
      </c>
      <c r="BM1860" s="2">
        <v>5.0199999999999996</v>
      </c>
      <c r="BN1860" s="2">
        <v>40.909999999999997</v>
      </c>
      <c r="BO1860" s="2">
        <v>40.909999999999997</v>
      </c>
      <c r="BQ1860" s="2" t="s">
        <v>142</v>
      </c>
      <c r="BR1860" s="2" t="s">
        <v>103</v>
      </c>
      <c r="BS1860" s="3">
        <v>43083</v>
      </c>
      <c r="BT1860" s="4">
        <v>0.42222222222222222</v>
      </c>
      <c r="BU1860" s="2" t="s">
        <v>2245</v>
      </c>
      <c r="BV1860" s="2" t="s">
        <v>85</v>
      </c>
      <c r="BY1860" s="2">
        <v>1200</v>
      </c>
      <c r="CA1860" s="2" t="s">
        <v>693</v>
      </c>
      <c r="CC1860" s="2" t="s">
        <v>548</v>
      </c>
      <c r="CD1860" s="2">
        <v>1501</v>
      </c>
      <c r="CE1860" s="2" t="s">
        <v>120</v>
      </c>
      <c r="CF1860" s="3">
        <v>43083</v>
      </c>
      <c r="CI1860" s="2">
        <v>1</v>
      </c>
      <c r="CJ1860" s="2">
        <v>1</v>
      </c>
      <c r="CK1860" s="2">
        <v>22</v>
      </c>
      <c r="CL1860" s="2" t="s">
        <v>89</v>
      </c>
    </row>
    <row r="1861" spans="1:90">
      <c r="A1861" s="2" t="s">
        <v>71</v>
      </c>
      <c r="B1861" s="2" t="s">
        <v>72</v>
      </c>
      <c r="C1861" s="2" t="s">
        <v>73</v>
      </c>
      <c r="E1861" s="2" t="str">
        <f>"FES1162595599"</f>
        <v>FES1162595599</v>
      </c>
      <c r="F1861" s="3">
        <v>43082</v>
      </c>
      <c r="G1861" s="2">
        <v>201806</v>
      </c>
      <c r="H1861" s="2" t="s">
        <v>74</v>
      </c>
      <c r="I1861" s="2" t="s">
        <v>75</v>
      </c>
      <c r="J1861" s="2" t="s">
        <v>97</v>
      </c>
      <c r="K1861" s="2" t="s">
        <v>77</v>
      </c>
      <c r="L1861" s="2" t="s">
        <v>325</v>
      </c>
      <c r="M1861" s="2" t="s">
        <v>326</v>
      </c>
      <c r="N1861" s="2" t="s">
        <v>2246</v>
      </c>
      <c r="O1861" s="2" t="s">
        <v>101</v>
      </c>
      <c r="P1861" s="2" t="str">
        <f>"2170601987                    "</f>
        <v xml:space="preserve">2170601987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6.43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1</v>
      </c>
      <c r="BJ1861" s="2">
        <v>0.2</v>
      </c>
      <c r="BK1861" s="2">
        <v>1</v>
      </c>
      <c r="BL1861" s="2">
        <v>45.93</v>
      </c>
      <c r="BM1861" s="2">
        <v>6.43</v>
      </c>
      <c r="BN1861" s="2">
        <v>52.36</v>
      </c>
      <c r="BO1861" s="2">
        <v>52.36</v>
      </c>
      <c r="BQ1861" s="2" t="s">
        <v>102</v>
      </c>
      <c r="BR1861" s="2" t="s">
        <v>103</v>
      </c>
      <c r="BS1861" s="3">
        <v>43083</v>
      </c>
      <c r="BT1861" s="4">
        <v>0.51736111111111105</v>
      </c>
      <c r="BU1861" s="2" t="s">
        <v>2247</v>
      </c>
      <c r="BV1861" s="2" t="s">
        <v>89</v>
      </c>
      <c r="BY1861" s="2">
        <v>1200</v>
      </c>
      <c r="CA1861" s="2" t="s">
        <v>329</v>
      </c>
      <c r="CC1861" s="2" t="s">
        <v>326</v>
      </c>
      <c r="CD1861" s="2">
        <v>1961</v>
      </c>
      <c r="CE1861" s="2" t="s">
        <v>120</v>
      </c>
      <c r="CF1861" s="3">
        <v>43088</v>
      </c>
      <c r="CI1861" s="2">
        <v>1</v>
      </c>
      <c r="CJ1861" s="2">
        <v>1</v>
      </c>
      <c r="CK1861" s="2">
        <v>21</v>
      </c>
      <c r="CL1861" s="2" t="s">
        <v>89</v>
      </c>
    </row>
    <row r="1862" spans="1:90">
      <c r="A1862" s="2" t="s">
        <v>71</v>
      </c>
      <c r="B1862" s="2" t="s">
        <v>72</v>
      </c>
      <c r="C1862" s="2" t="s">
        <v>73</v>
      </c>
      <c r="E1862" s="2" t="str">
        <f>"FES1162595556"</f>
        <v>FES1162595556</v>
      </c>
      <c r="F1862" s="3">
        <v>43082</v>
      </c>
      <c r="G1862" s="2">
        <v>201806</v>
      </c>
      <c r="H1862" s="2" t="s">
        <v>74</v>
      </c>
      <c r="I1862" s="2" t="s">
        <v>75</v>
      </c>
      <c r="J1862" s="2" t="s">
        <v>97</v>
      </c>
      <c r="K1862" s="2" t="s">
        <v>77</v>
      </c>
      <c r="L1862" s="2" t="s">
        <v>115</v>
      </c>
      <c r="M1862" s="2" t="s">
        <v>116</v>
      </c>
      <c r="N1862" s="2" t="s">
        <v>1612</v>
      </c>
      <c r="O1862" s="2" t="s">
        <v>101</v>
      </c>
      <c r="P1862" s="2" t="str">
        <f>"2170606842                    "</f>
        <v xml:space="preserve">2170606842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5.03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1</v>
      </c>
      <c r="BJ1862" s="2">
        <v>0.2</v>
      </c>
      <c r="BK1862" s="2">
        <v>1</v>
      </c>
      <c r="BL1862" s="2">
        <v>35.89</v>
      </c>
      <c r="BM1862" s="2">
        <v>5.0199999999999996</v>
      </c>
      <c r="BN1862" s="2">
        <v>40.909999999999997</v>
      </c>
      <c r="BO1862" s="2">
        <v>40.909999999999997</v>
      </c>
      <c r="BQ1862" s="2" t="s">
        <v>102</v>
      </c>
      <c r="BR1862" s="2" t="s">
        <v>103</v>
      </c>
      <c r="BS1862" s="3">
        <v>43083</v>
      </c>
      <c r="BT1862" s="4">
        <v>0.35000000000000003</v>
      </c>
      <c r="BU1862" s="2" t="s">
        <v>2248</v>
      </c>
      <c r="BV1862" s="2" t="s">
        <v>85</v>
      </c>
      <c r="BY1862" s="2">
        <v>1200</v>
      </c>
      <c r="CA1862" s="2" t="s">
        <v>119</v>
      </c>
      <c r="CC1862" s="2" t="s">
        <v>116</v>
      </c>
      <c r="CD1862" s="2">
        <v>1460</v>
      </c>
      <c r="CE1862" s="2" t="s">
        <v>120</v>
      </c>
      <c r="CF1862" s="3">
        <v>43084</v>
      </c>
      <c r="CI1862" s="2">
        <v>1</v>
      </c>
      <c r="CJ1862" s="2">
        <v>1</v>
      </c>
      <c r="CK1862" s="2">
        <v>22</v>
      </c>
      <c r="CL1862" s="2" t="s">
        <v>89</v>
      </c>
    </row>
    <row r="1863" spans="1:90">
      <c r="A1863" s="2" t="s">
        <v>71</v>
      </c>
      <c r="B1863" s="2" t="s">
        <v>72</v>
      </c>
      <c r="C1863" s="2" t="s">
        <v>73</v>
      </c>
      <c r="E1863" s="2" t="str">
        <f>"FES1162595578"</f>
        <v>FES1162595578</v>
      </c>
      <c r="F1863" s="3">
        <v>43082</v>
      </c>
      <c r="G1863" s="2">
        <v>201806</v>
      </c>
      <c r="H1863" s="2" t="s">
        <v>74</v>
      </c>
      <c r="I1863" s="2" t="s">
        <v>75</v>
      </c>
      <c r="J1863" s="2" t="s">
        <v>97</v>
      </c>
      <c r="K1863" s="2" t="s">
        <v>77</v>
      </c>
      <c r="L1863" s="2" t="s">
        <v>106</v>
      </c>
      <c r="M1863" s="2" t="s">
        <v>107</v>
      </c>
      <c r="N1863" s="2" t="s">
        <v>2249</v>
      </c>
      <c r="O1863" s="2" t="s">
        <v>101</v>
      </c>
      <c r="P1863" s="2" t="str">
        <f>"2170607426                    "</f>
        <v xml:space="preserve">2170607426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5.03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35.89</v>
      </c>
      <c r="BM1863" s="2">
        <v>5.0199999999999996</v>
      </c>
      <c r="BN1863" s="2">
        <v>40.909999999999997</v>
      </c>
      <c r="BO1863" s="2">
        <v>40.909999999999997</v>
      </c>
      <c r="BQ1863" s="2" t="s">
        <v>102</v>
      </c>
      <c r="BR1863" s="2" t="s">
        <v>103</v>
      </c>
      <c r="BS1863" s="3">
        <v>43083</v>
      </c>
      <c r="BT1863" s="4">
        <v>0.3888888888888889</v>
      </c>
      <c r="BU1863" s="2" t="s">
        <v>2250</v>
      </c>
      <c r="BV1863" s="2" t="s">
        <v>85</v>
      </c>
      <c r="BY1863" s="2">
        <v>1200</v>
      </c>
      <c r="CA1863" s="2" t="s">
        <v>2251</v>
      </c>
      <c r="CC1863" s="2" t="s">
        <v>107</v>
      </c>
      <c r="CD1863" s="2">
        <v>2053</v>
      </c>
      <c r="CE1863" s="2" t="s">
        <v>120</v>
      </c>
      <c r="CF1863" s="3">
        <v>43083</v>
      </c>
      <c r="CI1863" s="2">
        <v>1</v>
      </c>
      <c r="CJ1863" s="2">
        <v>1</v>
      </c>
      <c r="CK1863" s="2">
        <v>22</v>
      </c>
      <c r="CL1863" s="2" t="s">
        <v>89</v>
      </c>
    </row>
    <row r="1864" spans="1:90">
      <c r="A1864" s="2" t="s">
        <v>71</v>
      </c>
      <c r="B1864" s="2" t="s">
        <v>72</v>
      </c>
      <c r="C1864" s="2" t="s">
        <v>73</v>
      </c>
      <c r="E1864" s="2" t="str">
        <f>"FES1162595626"</f>
        <v>FES1162595626</v>
      </c>
      <c r="F1864" s="3">
        <v>43082</v>
      </c>
      <c r="G1864" s="2">
        <v>201806</v>
      </c>
      <c r="H1864" s="2" t="s">
        <v>74</v>
      </c>
      <c r="I1864" s="2" t="s">
        <v>75</v>
      </c>
      <c r="J1864" s="2" t="s">
        <v>97</v>
      </c>
      <c r="K1864" s="2" t="s">
        <v>77</v>
      </c>
      <c r="L1864" s="2" t="s">
        <v>106</v>
      </c>
      <c r="M1864" s="2" t="s">
        <v>107</v>
      </c>
      <c r="N1864" s="2" t="s">
        <v>108</v>
      </c>
      <c r="O1864" s="2" t="s">
        <v>101</v>
      </c>
      <c r="P1864" s="2" t="str">
        <f>"2170607458                    "</f>
        <v xml:space="preserve">2170607458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5.03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35.89</v>
      </c>
      <c r="BM1864" s="2">
        <v>5.0199999999999996</v>
      </c>
      <c r="BN1864" s="2">
        <v>40.909999999999997</v>
      </c>
      <c r="BO1864" s="2">
        <v>40.909999999999997</v>
      </c>
      <c r="BQ1864" s="2" t="s">
        <v>82</v>
      </c>
      <c r="BR1864" s="2" t="s">
        <v>103</v>
      </c>
      <c r="BS1864" s="3">
        <v>43083</v>
      </c>
      <c r="BT1864" s="4">
        <v>0.40277777777777773</v>
      </c>
      <c r="BU1864" s="2" t="s">
        <v>109</v>
      </c>
      <c r="BV1864" s="2" t="s">
        <v>85</v>
      </c>
      <c r="BY1864" s="2">
        <v>1200</v>
      </c>
      <c r="CA1864" s="2" t="s">
        <v>110</v>
      </c>
      <c r="CC1864" s="2" t="s">
        <v>107</v>
      </c>
      <c r="CD1864" s="2">
        <v>2094</v>
      </c>
      <c r="CE1864" s="2" t="s">
        <v>120</v>
      </c>
      <c r="CF1864" s="3">
        <v>43084</v>
      </c>
      <c r="CI1864" s="2">
        <v>1</v>
      </c>
      <c r="CJ1864" s="2">
        <v>1</v>
      </c>
      <c r="CK1864" s="2">
        <v>22</v>
      </c>
      <c r="CL1864" s="2" t="s">
        <v>89</v>
      </c>
    </row>
    <row r="1865" spans="1:90">
      <c r="A1865" s="2" t="s">
        <v>71</v>
      </c>
      <c r="B1865" s="2" t="s">
        <v>72</v>
      </c>
      <c r="C1865" s="2" t="s">
        <v>73</v>
      </c>
      <c r="E1865" s="2" t="str">
        <f>"FES1162595527"</f>
        <v>FES1162595527</v>
      </c>
      <c r="F1865" s="3">
        <v>43082</v>
      </c>
      <c r="G1865" s="2">
        <v>201806</v>
      </c>
      <c r="H1865" s="2" t="s">
        <v>74</v>
      </c>
      <c r="I1865" s="2" t="s">
        <v>75</v>
      </c>
      <c r="J1865" s="2" t="s">
        <v>97</v>
      </c>
      <c r="K1865" s="2" t="s">
        <v>77</v>
      </c>
      <c r="L1865" s="2" t="s">
        <v>173</v>
      </c>
      <c r="M1865" s="2" t="s">
        <v>174</v>
      </c>
      <c r="N1865" s="2" t="s">
        <v>2252</v>
      </c>
      <c r="O1865" s="2" t="s">
        <v>101</v>
      </c>
      <c r="P1865" s="2" t="str">
        <f>"2170607389                    "</f>
        <v xml:space="preserve">2170607389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6.43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</v>
      </c>
      <c r="BJ1865" s="2">
        <v>0.2</v>
      </c>
      <c r="BK1865" s="2">
        <v>1</v>
      </c>
      <c r="BL1865" s="2">
        <v>45.93</v>
      </c>
      <c r="BM1865" s="2">
        <v>6.43</v>
      </c>
      <c r="BN1865" s="2">
        <v>52.36</v>
      </c>
      <c r="BO1865" s="2">
        <v>52.36</v>
      </c>
      <c r="BQ1865" s="2" t="s">
        <v>82</v>
      </c>
      <c r="BR1865" s="2" t="s">
        <v>103</v>
      </c>
      <c r="BS1865" s="3">
        <v>43083</v>
      </c>
      <c r="BT1865" s="4">
        <v>0.47638888888888892</v>
      </c>
      <c r="BU1865" s="2" t="s">
        <v>744</v>
      </c>
      <c r="BV1865" s="2" t="s">
        <v>89</v>
      </c>
      <c r="BW1865" s="2" t="s">
        <v>156</v>
      </c>
      <c r="BX1865" s="2" t="s">
        <v>839</v>
      </c>
      <c r="BY1865" s="2">
        <v>1200</v>
      </c>
      <c r="CA1865" s="2" t="s">
        <v>1389</v>
      </c>
      <c r="CC1865" s="2" t="s">
        <v>174</v>
      </c>
      <c r="CD1865" s="2">
        <v>7460</v>
      </c>
      <c r="CE1865" s="2" t="s">
        <v>120</v>
      </c>
      <c r="CF1865" s="3">
        <v>43084</v>
      </c>
      <c r="CI1865" s="2">
        <v>1</v>
      </c>
      <c r="CJ1865" s="2">
        <v>1</v>
      </c>
      <c r="CK1865" s="2">
        <v>21</v>
      </c>
      <c r="CL1865" s="2" t="s">
        <v>89</v>
      </c>
    </row>
    <row r="1866" spans="1:90">
      <c r="A1866" s="2" t="s">
        <v>71</v>
      </c>
      <c r="B1866" s="2" t="s">
        <v>72</v>
      </c>
      <c r="C1866" s="2" t="s">
        <v>73</v>
      </c>
      <c r="E1866" s="2" t="str">
        <f>"FES1162595526"</f>
        <v>FES1162595526</v>
      </c>
      <c r="F1866" s="3">
        <v>43082</v>
      </c>
      <c r="G1866" s="2">
        <v>201806</v>
      </c>
      <c r="H1866" s="2" t="s">
        <v>74</v>
      </c>
      <c r="I1866" s="2" t="s">
        <v>75</v>
      </c>
      <c r="J1866" s="2" t="s">
        <v>97</v>
      </c>
      <c r="K1866" s="2" t="s">
        <v>77</v>
      </c>
      <c r="L1866" s="2" t="s">
        <v>173</v>
      </c>
      <c r="M1866" s="2" t="s">
        <v>174</v>
      </c>
      <c r="N1866" s="2" t="s">
        <v>802</v>
      </c>
      <c r="O1866" s="2" t="s">
        <v>101</v>
      </c>
      <c r="P1866" s="2" t="str">
        <f>"2170607388                    "</f>
        <v xml:space="preserve">2170607388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8.0399999999999991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2.2000000000000002</v>
      </c>
      <c r="BJ1866" s="2">
        <v>1.7</v>
      </c>
      <c r="BK1866" s="2">
        <v>2.5</v>
      </c>
      <c r="BL1866" s="2">
        <v>57.41</v>
      </c>
      <c r="BM1866" s="2">
        <v>8.0399999999999991</v>
      </c>
      <c r="BN1866" s="2">
        <v>65.45</v>
      </c>
      <c r="BO1866" s="2">
        <v>65.45</v>
      </c>
      <c r="BQ1866" s="2" t="s">
        <v>102</v>
      </c>
      <c r="BR1866" s="2" t="s">
        <v>103</v>
      </c>
      <c r="BS1866" s="3">
        <v>43083</v>
      </c>
      <c r="BT1866" s="4">
        <v>0.44027777777777777</v>
      </c>
      <c r="BU1866" s="2" t="s">
        <v>2253</v>
      </c>
      <c r="BV1866" s="2" t="s">
        <v>85</v>
      </c>
      <c r="BY1866" s="2">
        <v>8288.26</v>
      </c>
      <c r="CA1866" s="2" t="s">
        <v>395</v>
      </c>
      <c r="CC1866" s="2" t="s">
        <v>174</v>
      </c>
      <c r="CD1866" s="2">
        <v>7441</v>
      </c>
      <c r="CE1866" s="2" t="s">
        <v>95</v>
      </c>
      <c r="CF1866" s="3">
        <v>43084</v>
      </c>
      <c r="CI1866" s="2">
        <v>1</v>
      </c>
      <c r="CJ1866" s="2">
        <v>1</v>
      </c>
      <c r="CK1866" s="2">
        <v>21</v>
      </c>
      <c r="CL1866" s="2" t="s">
        <v>89</v>
      </c>
    </row>
    <row r="1867" spans="1:90">
      <c r="A1867" s="2" t="s">
        <v>71</v>
      </c>
      <c r="B1867" s="2" t="s">
        <v>72</v>
      </c>
      <c r="C1867" s="2" t="s">
        <v>73</v>
      </c>
      <c r="E1867" s="2" t="str">
        <f>"FES1162595555"</f>
        <v>FES1162595555</v>
      </c>
      <c r="F1867" s="3">
        <v>43082</v>
      </c>
      <c r="G1867" s="2">
        <v>201806</v>
      </c>
      <c r="H1867" s="2" t="s">
        <v>74</v>
      </c>
      <c r="I1867" s="2" t="s">
        <v>75</v>
      </c>
      <c r="J1867" s="2" t="s">
        <v>97</v>
      </c>
      <c r="K1867" s="2" t="s">
        <v>77</v>
      </c>
      <c r="L1867" s="2" t="s">
        <v>136</v>
      </c>
      <c r="M1867" s="2" t="s">
        <v>137</v>
      </c>
      <c r="N1867" s="2" t="s">
        <v>178</v>
      </c>
      <c r="O1867" s="2" t="s">
        <v>101</v>
      </c>
      <c r="P1867" s="2" t="str">
        <f>"217060785                     "</f>
        <v xml:space="preserve">217060785 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6.43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</v>
      </c>
      <c r="BJ1867" s="2">
        <v>0.2</v>
      </c>
      <c r="BK1867" s="2">
        <v>1</v>
      </c>
      <c r="BL1867" s="2">
        <v>45.93</v>
      </c>
      <c r="BM1867" s="2">
        <v>6.43</v>
      </c>
      <c r="BN1867" s="2">
        <v>52.36</v>
      </c>
      <c r="BO1867" s="2">
        <v>52.36</v>
      </c>
      <c r="BQ1867" s="2" t="s">
        <v>102</v>
      </c>
      <c r="BR1867" s="2" t="s">
        <v>103</v>
      </c>
      <c r="BS1867" s="3">
        <v>43083</v>
      </c>
      <c r="BT1867" s="4">
        <v>0.4375</v>
      </c>
      <c r="BU1867" s="2" t="s">
        <v>179</v>
      </c>
      <c r="BV1867" s="2" t="s">
        <v>85</v>
      </c>
      <c r="BY1867" s="2">
        <v>1200</v>
      </c>
      <c r="CA1867" s="2" t="s">
        <v>180</v>
      </c>
      <c r="CC1867" s="2" t="s">
        <v>137</v>
      </c>
      <c r="CD1867" s="2">
        <v>6001</v>
      </c>
      <c r="CE1867" s="2" t="s">
        <v>120</v>
      </c>
      <c r="CF1867" s="3">
        <v>43084</v>
      </c>
      <c r="CI1867" s="2">
        <v>1</v>
      </c>
      <c r="CJ1867" s="2">
        <v>1</v>
      </c>
      <c r="CK1867" s="2">
        <v>21</v>
      </c>
      <c r="CL1867" s="2" t="s">
        <v>89</v>
      </c>
    </row>
    <row r="1868" spans="1:90">
      <c r="A1868" s="2" t="s">
        <v>71</v>
      </c>
      <c r="B1868" s="2" t="s">
        <v>72</v>
      </c>
      <c r="C1868" s="2" t="s">
        <v>73</v>
      </c>
      <c r="E1868" s="2" t="str">
        <f>"FES1162595612"</f>
        <v>FES1162595612</v>
      </c>
      <c r="F1868" s="3">
        <v>43082</v>
      </c>
      <c r="G1868" s="2">
        <v>201806</v>
      </c>
      <c r="H1868" s="2" t="s">
        <v>74</v>
      </c>
      <c r="I1868" s="2" t="s">
        <v>75</v>
      </c>
      <c r="J1868" s="2" t="s">
        <v>97</v>
      </c>
      <c r="K1868" s="2" t="s">
        <v>77</v>
      </c>
      <c r="L1868" s="2" t="s">
        <v>212</v>
      </c>
      <c r="M1868" s="2" t="s">
        <v>212</v>
      </c>
      <c r="N1868" s="2" t="s">
        <v>370</v>
      </c>
      <c r="O1868" s="2" t="s">
        <v>101</v>
      </c>
      <c r="P1868" s="2" t="str">
        <f>"2170606229                    "</f>
        <v xml:space="preserve">2170606229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6.43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</v>
      </c>
      <c r="BJ1868" s="2">
        <v>0.2</v>
      </c>
      <c r="BK1868" s="2">
        <v>1</v>
      </c>
      <c r="BL1868" s="2">
        <v>45.93</v>
      </c>
      <c r="BM1868" s="2">
        <v>6.43</v>
      </c>
      <c r="BN1868" s="2">
        <v>52.36</v>
      </c>
      <c r="BO1868" s="2">
        <v>52.36</v>
      </c>
      <c r="BQ1868" s="2" t="s">
        <v>102</v>
      </c>
      <c r="BR1868" s="2" t="s">
        <v>103</v>
      </c>
      <c r="BS1868" s="3">
        <v>43083</v>
      </c>
      <c r="BT1868" s="4">
        <v>0.57986111111111105</v>
      </c>
      <c r="BU1868" s="2" t="s">
        <v>2254</v>
      </c>
      <c r="BV1868" s="2" t="s">
        <v>85</v>
      </c>
      <c r="BY1868" s="2">
        <v>1200</v>
      </c>
      <c r="CC1868" s="2" t="s">
        <v>212</v>
      </c>
      <c r="CD1868" s="2">
        <v>7646</v>
      </c>
      <c r="CE1868" s="2" t="s">
        <v>120</v>
      </c>
      <c r="CF1868" s="3">
        <v>43084</v>
      </c>
      <c r="CI1868" s="2">
        <v>1</v>
      </c>
      <c r="CJ1868" s="2">
        <v>1</v>
      </c>
      <c r="CK1868" s="2">
        <v>21</v>
      </c>
      <c r="CL1868" s="2" t="s">
        <v>89</v>
      </c>
    </row>
    <row r="1869" spans="1:90">
      <c r="A1869" s="2" t="s">
        <v>71</v>
      </c>
      <c r="B1869" s="2" t="s">
        <v>72</v>
      </c>
      <c r="C1869" s="2" t="s">
        <v>73</v>
      </c>
      <c r="E1869" s="2" t="str">
        <f>"FES1162595567"</f>
        <v>FES1162595567</v>
      </c>
      <c r="F1869" s="3">
        <v>43082</v>
      </c>
      <c r="G1869" s="2">
        <v>201806</v>
      </c>
      <c r="H1869" s="2" t="s">
        <v>74</v>
      </c>
      <c r="I1869" s="2" t="s">
        <v>75</v>
      </c>
      <c r="J1869" s="2" t="s">
        <v>97</v>
      </c>
      <c r="K1869" s="2" t="s">
        <v>77</v>
      </c>
      <c r="L1869" s="2" t="s">
        <v>521</v>
      </c>
      <c r="M1869" s="2" t="s">
        <v>522</v>
      </c>
      <c r="N1869" s="2" t="s">
        <v>523</v>
      </c>
      <c r="O1869" s="2" t="s">
        <v>101</v>
      </c>
      <c r="P1869" s="2" t="str">
        <f>"2170607411                    "</f>
        <v xml:space="preserve">2170607411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6.43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1</v>
      </c>
      <c r="BJ1869" s="2">
        <v>0.2</v>
      </c>
      <c r="BK1869" s="2">
        <v>1</v>
      </c>
      <c r="BL1869" s="2">
        <v>45.93</v>
      </c>
      <c r="BM1869" s="2">
        <v>6.43</v>
      </c>
      <c r="BN1869" s="2">
        <v>52.36</v>
      </c>
      <c r="BO1869" s="2">
        <v>52.36</v>
      </c>
      <c r="BQ1869" s="2" t="s">
        <v>102</v>
      </c>
      <c r="BR1869" s="2" t="s">
        <v>103</v>
      </c>
      <c r="BS1869" s="3">
        <v>43083</v>
      </c>
      <c r="BT1869" s="4">
        <v>0.44305555555555554</v>
      </c>
      <c r="BU1869" s="2" t="s">
        <v>1881</v>
      </c>
      <c r="BV1869" s="2" t="s">
        <v>85</v>
      </c>
      <c r="BY1869" s="2">
        <v>1200</v>
      </c>
      <c r="CA1869" s="2" t="s">
        <v>525</v>
      </c>
      <c r="CC1869" s="2" t="s">
        <v>522</v>
      </c>
      <c r="CD1869" s="2">
        <v>6536</v>
      </c>
      <c r="CE1869" s="2" t="s">
        <v>120</v>
      </c>
      <c r="CF1869" s="3">
        <v>43087</v>
      </c>
      <c r="CI1869" s="2">
        <v>1</v>
      </c>
      <c r="CJ1869" s="2">
        <v>1</v>
      </c>
      <c r="CK1869" s="2">
        <v>21</v>
      </c>
      <c r="CL1869" s="2" t="s">
        <v>89</v>
      </c>
    </row>
    <row r="1870" spans="1:90">
      <c r="A1870" s="2" t="s">
        <v>71</v>
      </c>
      <c r="B1870" s="2" t="s">
        <v>72</v>
      </c>
      <c r="C1870" s="2" t="s">
        <v>73</v>
      </c>
      <c r="E1870" s="2" t="str">
        <f>"FES1162595610"</f>
        <v>FES1162595610</v>
      </c>
      <c r="F1870" s="3">
        <v>43082</v>
      </c>
      <c r="G1870" s="2">
        <v>201806</v>
      </c>
      <c r="H1870" s="2" t="s">
        <v>74</v>
      </c>
      <c r="I1870" s="2" t="s">
        <v>75</v>
      </c>
      <c r="J1870" s="2" t="s">
        <v>97</v>
      </c>
      <c r="K1870" s="2" t="s">
        <v>77</v>
      </c>
      <c r="L1870" s="2" t="s">
        <v>883</v>
      </c>
      <c r="M1870" s="2" t="s">
        <v>884</v>
      </c>
      <c r="N1870" s="2" t="s">
        <v>1641</v>
      </c>
      <c r="O1870" s="2" t="s">
        <v>101</v>
      </c>
      <c r="P1870" s="2" t="str">
        <f>"2170605987                    "</f>
        <v xml:space="preserve">2170605987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6.43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45.93</v>
      </c>
      <c r="BM1870" s="2">
        <v>6.43</v>
      </c>
      <c r="BN1870" s="2">
        <v>52.36</v>
      </c>
      <c r="BO1870" s="2">
        <v>52.36</v>
      </c>
      <c r="BQ1870" s="2" t="s">
        <v>142</v>
      </c>
      <c r="BR1870" s="2" t="s">
        <v>103</v>
      </c>
      <c r="BS1870" s="3">
        <v>43083</v>
      </c>
      <c r="BT1870" s="4">
        <v>0.41666666666666669</v>
      </c>
      <c r="BU1870" s="2" t="s">
        <v>2255</v>
      </c>
      <c r="BV1870" s="2" t="s">
        <v>85</v>
      </c>
      <c r="BY1870" s="2">
        <v>1200</v>
      </c>
      <c r="CA1870" s="2" t="s">
        <v>887</v>
      </c>
      <c r="CC1870" s="2" t="s">
        <v>884</v>
      </c>
      <c r="CD1870" s="2">
        <v>7600</v>
      </c>
      <c r="CE1870" s="2" t="s">
        <v>120</v>
      </c>
      <c r="CF1870" s="3">
        <v>43084</v>
      </c>
      <c r="CI1870" s="2">
        <v>1</v>
      </c>
      <c r="CJ1870" s="2">
        <v>1</v>
      </c>
      <c r="CK1870" s="2">
        <v>21</v>
      </c>
      <c r="CL1870" s="2" t="s">
        <v>89</v>
      </c>
    </row>
    <row r="1871" spans="1:90">
      <c r="A1871" s="2" t="s">
        <v>71</v>
      </c>
      <c r="B1871" s="2" t="s">
        <v>72</v>
      </c>
      <c r="C1871" s="2" t="s">
        <v>73</v>
      </c>
      <c r="E1871" s="2" t="str">
        <f>"FES1162595552"</f>
        <v>FES1162595552</v>
      </c>
      <c r="F1871" s="3">
        <v>43082</v>
      </c>
      <c r="G1871" s="2">
        <v>201806</v>
      </c>
      <c r="H1871" s="2" t="s">
        <v>74</v>
      </c>
      <c r="I1871" s="2" t="s">
        <v>75</v>
      </c>
      <c r="J1871" s="2" t="s">
        <v>97</v>
      </c>
      <c r="K1871" s="2" t="s">
        <v>77</v>
      </c>
      <c r="L1871" s="2" t="s">
        <v>173</v>
      </c>
      <c r="M1871" s="2" t="s">
        <v>174</v>
      </c>
      <c r="N1871" s="2" t="s">
        <v>175</v>
      </c>
      <c r="O1871" s="2" t="s">
        <v>101</v>
      </c>
      <c r="P1871" s="2" t="str">
        <f>"2170606556                    "</f>
        <v xml:space="preserve">2170606556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6.43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</v>
      </c>
      <c r="BJ1871" s="2">
        <v>0.2</v>
      </c>
      <c r="BK1871" s="2">
        <v>1</v>
      </c>
      <c r="BL1871" s="2">
        <v>45.93</v>
      </c>
      <c r="BM1871" s="2">
        <v>6.43</v>
      </c>
      <c r="BN1871" s="2">
        <v>52.36</v>
      </c>
      <c r="BO1871" s="2">
        <v>52.36</v>
      </c>
      <c r="BQ1871" s="2" t="s">
        <v>102</v>
      </c>
      <c r="BR1871" s="2" t="s">
        <v>103</v>
      </c>
      <c r="BS1871" s="3">
        <v>43083</v>
      </c>
      <c r="BT1871" s="4">
        <v>0.40625</v>
      </c>
      <c r="BU1871" s="2" t="s">
        <v>176</v>
      </c>
      <c r="BV1871" s="2" t="s">
        <v>85</v>
      </c>
      <c r="BY1871" s="2">
        <v>1200</v>
      </c>
      <c r="CA1871" s="2" t="s">
        <v>177</v>
      </c>
      <c r="CC1871" s="2" t="s">
        <v>174</v>
      </c>
      <c r="CD1871" s="2">
        <v>7405</v>
      </c>
      <c r="CE1871" s="2" t="s">
        <v>120</v>
      </c>
      <c r="CF1871" s="3">
        <v>43084</v>
      </c>
      <c r="CI1871" s="2">
        <v>1</v>
      </c>
      <c r="CJ1871" s="2">
        <v>1</v>
      </c>
      <c r="CK1871" s="2">
        <v>21</v>
      </c>
      <c r="CL1871" s="2" t="s">
        <v>89</v>
      </c>
    </row>
    <row r="1872" spans="1:90">
      <c r="A1872" s="2" t="s">
        <v>71</v>
      </c>
      <c r="B1872" s="2" t="s">
        <v>72</v>
      </c>
      <c r="C1872" s="2" t="s">
        <v>73</v>
      </c>
      <c r="E1872" s="2" t="str">
        <f>"FES1162595619"</f>
        <v>FES1162595619</v>
      </c>
      <c r="F1872" s="3">
        <v>43082</v>
      </c>
      <c r="G1872" s="2">
        <v>201806</v>
      </c>
      <c r="H1872" s="2" t="s">
        <v>74</v>
      </c>
      <c r="I1872" s="2" t="s">
        <v>75</v>
      </c>
      <c r="J1872" s="2" t="s">
        <v>97</v>
      </c>
      <c r="K1872" s="2" t="s">
        <v>77</v>
      </c>
      <c r="L1872" s="2" t="s">
        <v>212</v>
      </c>
      <c r="M1872" s="2" t="s">
        <v>212</v>
      </c>
      <c r="N1872" s="2" t="s">
        <v>904</v>
      </c>
      <c r="O1872" s="2" t="s">
        <v>101</v>
      </c>
      <c r="P1872" s="2" t="str">
        <f>"2170607353                    "</f>
        <v xml:space="preserve">2170607353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6.43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45.93</v>
      </c>
      <c r="BM1872" s="2">
        <v>6.43</v>
      </c>
      <c r="BN1872" s="2">
        <v>52.36</v>
      </c>
      <c r="BO1872" s="2">
        <v>52.36</v>
      </c>
      <c r="BQ1872" s="2" t="s">
        <v>187</v>
      </c>
      <c r="BR1872" s="2" t="s">
        <v>103</v>
      </c>
      <c r="BS1872" s="3">
        <v>43083</v>
      </c>
      <c r="BT1872" s="4">
        <v>0.57638888888888895</v>
      </c>
      <c r="BU1872" s="2" t="s">
        <v>2256</v>
      </c>
      <c r="BV1872" s="2" t="s">
        <v>85</v>
      </c>
      <c r="BY1872" s="2">
        <v>1200</v>
      </c>
      <c r="CC1872" s="2" t="s">
        <v>212</v>
      </c>
      <c r="CD1872" s="2">
        <v>7646</v>
      </c>
      <c r="CE1872" s="2" t="s">
        <v>120</v>
      </c>
      <c r="CF1872" s="3">
        <v>43084</v>
      </c>
      <c r="CI1872" s="2">
        <v>1</v>
      </c>
      <c r="CJ1872" s="2">
        <v>1</v>
      </c>
      <c r="CK1872" s="2">
        <v>21</v>
      </c>
      <c r="CL1872" s="2" t="s">
        <v>89</v>
      </c>
    </row>
    <row r="1873" spans="1:90">
      <c r="A1873" s="2" t="s">
        <v>71</v>
      </c>
      <c r="B1873" s="2" t="s">
        <v>72</v>
      </c>
      <c r="C1873" s="2" t="s">
        <v>73</v>
      </c>
      <c r="E1873" s="2" t="str">
        <f>"FES1162595661"</f>
        <v>FES1162595661</v>
      </c>
      <c r="F1873" s="3">
        <v>43082</v>
      </c>
      <c r="G1873" s="2">
        <v>201806</v>
      </c>
      <c r="H1873" s="2" t="s">
        <v>74</v>
      </c>
      <c r="I1873" s="2" t="s">
        <v>75</v>
      </c>
      <c r="J1873" s="2" t="s">
        <v>97</v>
      </c>
      <c r="K1873" s="2" t="s">
        <v>77</v>
      </c>
      <c r="L1873" s="2" t="s">
        <v>145</v>
      </c>
      <c r="M1873" s="2" t="s">
        <v>146</v>
      </c>
      <c r="N1873" s="2" t="s">
        <v>147</v>
      </c>
      <c r="O1873" s="2" t="s">
        <v>101</v>
      </c>
      <c r="P1873" s="2" t="str">
        <f>"2170607493                    "</f>
        <v xml:space="preserve">2170607493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6.43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</v>
      </c>
      <c r="BJ1873" s="2">
        <v>0.2</v>
      </c>
      <c r="BK1873" s="2">
        <v>1</v>
      </c>
      <c r="BL1873" s="2">
        <v>45.93</v>
      </c>
      <c r="BM1873" s="2">
        <v>6.43</v>
      </c>
      <c r="BN1873" s="2">
        <v>52.36</v>
      </c>
      <c r="BO1873" s="2">
        <v>52.36</v>
      </c>
      <c r="BQ1873" s="2" t="s">
        <v>686</v>
      </c>
      <c r="BR1873" s="2" t="s">
        <v>103</v>
      </c>
      <c r="BS1873" s="3">
        <v>43083</v>
      </c>
      <c r="BT1873" s="4">
        <v>0.48055555555555557</v>
      </c>
      <c r="BU1873" s="2" t="s">
        <v>148</v>
      </c>
      <c r="BV1873" s="2" t="s">
        <v>89</v>
      </c>
      <c r="BW1873" s="2" t="s">
        <v>149</v>
      </c>
      <c r="BX1873" s="2" t="s">
        <v>150</v>
      </c>
      <c r="BY1873" s="2">
        <v>1200</v>
      </c>
      <c r="CA1873" s="2" t="s">
        <v>151</v>
      </c>
      <c r="CC1873" s="2" t="s">
        <v>146</v>
      </c>
      <c r="CD1873" s="2">
        <v>5201</v>
      </c>
      <c r="CE1873" s="2" t="s">
        <v>120</v>
      </c>
      <c r="CF1873" s="3">
        <v>43088</v>
      </c>
      <c r="CI1873" s="2">
        <v>1</v>
      </c>
      <c r="CJ1873" s="2">
        <v>1</v>
      </c>
      <c r="CK1873" s="2">
        <v>21</v>
      </c>
      <c r="CL1873" s="2" t="s">
        <v>89</v>
      </c>
    </row>
    <row r="1874" spans="1:90">
      <c r="A1874" s="2" t="s">
        <v>71</v>
      </c>
      <c r="B1874" s="2" t="s">
        <v>72</v>
      </c>
      <c r="C1874" s="2" t="s">
        <v>73</v>
      </c>
      <c r="E1874" s="2" t="str">
        <f>"FES1162595618"</f>
        <v>FES1162595618</v>
      </c>
      <c r="F1874" s="3">
        <v>43082</v>
      </c>
      <c r="G1874" s="2">
        <v>201806</v>
      </c>
      <c r="H1874" s="2" t="s">
        <v>74</v>
      </c>
      <c r="I1874" s="2" t="s">
        <v>75</v>
      </c>
      <c r="J1874" s="2" t="s">
        <v>97</v>
      </c>
      <c r="K1874" s="2" t="s">
        <v>77</v>
      </c>
      <c r="L1874" s="2" t="s">
        <v>521</v>
      </c>
      <c r="M1874" s="2" t="s">
        <v>522</v>
      </c>
      <c r="N1874" s="2" t="s">
        <v>523</v>
      </c>
      <c r="O1874" s="2" t="s">
        <v>101</v>
      </c>
      <c r="P1874" s="2" t="str">
        <f>"2170607339                    "</f>
        <v xml:space="preserve">2170607339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6.43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1</v>
      </c>
      <c r="BJ1874" s="2">
        <v>0.2</v>
      </c>
      <c r="BK1874" s="2">
        <v>1</v>
      </c>
      <c r="BL1874" s="2">
        <v>45.93</v>
      </c>
      <c r="BM1874" s="2">
        <v>6.43</v>
      </c>
      <c r="BN1874" s="2">
        <v>52.36</v>
      </c>
      <c r="BO1874" s="2">
        <v>52.36</v>
      </c>
      <c r="BQ1874" s="2" t="s">
        <v>102</v>
      </c>
      <c r="BR1874" s="2" t="s">
        <v>103</v>
      </c>
      <c r="BS1874" s="3">
        <v>43083</v>
      </c>
      <c r="BT1874" s="4">
        <v>0.44305555555555554</v>
      </c>
      <c r="BU1874" s="2" t="s">
        <v>1881</v>
      </c>
      <c r="BV1874" s="2" t="s">
        <v>85</v>
      </c>
      <c r="BY1874" s="2">
        <v>1200</v>
      </c>
      <c r="CA1874" s="2" t="s">
        <v>525</v>
      </c>
      <c r="CC1874" s="2" t="s">
        <v>522</v>
      </c>
      <c r="CD1874" s="2">
        <v>6536</v>
      </c>
      <c r="CE1874" s="2" t="s">
        <v>120</v>
      </c>
      <c r="CF1874" s="3">
        <v>43087</v>
      </c>
      <c r="CI1874" s="2">
        <v>1</v>
      </c>
      <c r="CJ1874" s="2">
        <v>1</v>
      </c>
      <c r="CK1874" s="2">
        <v>21</v>
      </c>
      <c r="CL1874" s="2" t="s">
        <v>89</v>
      </c>
    </row>
    <row r="1875" spans="1:90">
      <c r="A1875" s="2" t="s">
        <v>71</v>
      </c>
      <c r="B1875" s="2" t="s">
        <v>72</v>
      </c>
      <c r="C1875" s="2" t="s">
        <v>73</v>
      </c>
      <c r="E1875" s="2" t="str">
        <f>"FES1162595656"</f>
        <v>FES1162595656</v>
      </c>
      <c r="F1875" s="3">
        <v>43082</v>
      </c>
      <c r="G1875" s="2">
        <v>201806</v>
      </c>
      <c r="H1875" s="2" t="s">
        <v>74</v>
      </c>
      <c r="I1875" s="2" t="s">
        <v>75</v>
      </c>
      <c r="J1875" s="2" t="s">
        <v>97</v>
      </c>
      <c r="K1875" s="2" t="s">
        <v>77</v>
      </c>
      <c r="L1875" s="2" t="s">
        <v>98</v>
      </c>
      <c r="M1875" s="2" t="s">
        <v>99</v>
      </c>
      <c r="N1875" s="2" t="s">
        <v>100</v>
      </c>
      <c r="O1875" s="2" t="s">
        <v>101</v>
      </c>
      <c r="P1875" s="2" t="str">
        <f>"2170607483                    "</f>
        <v xml:space="preserve">2170607483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12.87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4</v>
      </c>
      <c r="BJ1875" s="2">
        <v>3.2</v>
      </c>
      <c r="BK1875" s="2">
        <v>4</v>
      </c>
      <c r="BL1875" s="2">
        <v>91.85</v>
      </c>
      <c r="BM1875" s="2">
        <v>12.86</v>
      </c>
      <c r="BN1875" s="2">
        <v>104.71</v>
      </c>
      <c r="BO1875" s="2">
        <v>104.71</v>
      </c>
      <c r="BQ1875" s="2" t="s">
        <v>102</v>
      </c>
      <c r="BR1875" s="2" t="s">
        <v>103</v>
      </c>
      <c r="BS1875" s="3">
        <v>43083</v>
      </c>
      <c r="BT1875" s="4">
        <v>0.39583333333333331</v>
      </c>
      <c r="BU1875" s="2" t="s">
        <v>104</v>
      </c>
      <c r="BV1875" s="2" t="s">
        <v>85</v>
      </c>
      <c r="BY1875" s="2">
        <v>16184</v>
      </c>
      <c r="CA1875" s="2" t="s">
        <v>105</v>
      </c>
      <c r="CC1875" s="2" t="s">
        <v>99</v>
      </c>
      <c r="CD1875" s="2">
        <v>3201</v>
      </c>
      <c r="CE1875" s="2" t="s">
        <v>95</v>
      </c>
      <c r="CF1875" s="3">
        <v>43084</v>
      </c>
      <c r="CI1875" s="2">
        <v>1</v>
      </c>
      <c r="CJ1875" s="2">
        <v>1</v>
      </c>
      <c r="CK1875" s="2">
        <v>21</v>
      </c>
      <c r="CL1875" s="2" t="s">
        <v>89</v>
      </c>
    </row>
    <row r="1876" spans="1:90">
      <c r="A1876" s="2" t="s">
        <v>71</v>
      </c>
      <c r="B1876" s="2" t="s">
        <v>72</v>
      </c>
      <c r="C1876" s="2" t="s">
        <v>73</v>
      </c>
      <c r="E1876" s="2" t="str">
        <f>"FES1162595593"</f>
        <v>FES1162595593</v>
      </c>
      <c r="F1876" s="3">
        <v>43082</v>
      </c>
      <c r="G1876" s="2">
        <v>201806</v>
      </c>
      <c r="H1876" s="2" t="s">
        <v>74</v>
      </c>
      <c r="I1876" s="2" t="s">
        <v>75</v>
      </c>
      <c r="J1876" s="2" t="s">
        <v>97</v>
      </c>
      <c r="K1876" s="2" t="s">
        <v>77</v>
      </c>
      <c r="L1876" s="2" t="s">
        <v>136</v>
      </c>
      <c r="M1876" s="2" t="s">
        <v>137</v>
      </c>
      <c r="N1876" s="2" t="s">
        <v>138</v>
      </c>
      <c r="O1876" s="2" t="s">
        <v>101</v>
      </c>
      <c r="P1876" s="2" t="str">
        <f>"21706097612                   "</f>
        <v xml:space="preserve">21706097612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6.43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1</v>
      </c>
      <c r="BJ1876" s="2">
        <v>0.2</v>
      </c>
      <c r="BK1876" s="2">
        <v>1</v>
      </c>
      <c r="BL1876" s="2">
        <v>45.93</v>
      </c>
      <c r="BM1876" s="2">
        <v>6.43</v>
      </c>
      <c r="BN1876" s="2">
        <v>52.36</v>
      </c>
      <c r="BO1876" s="2">
        <v>52.36</v>
      </c>
      <c r="BQ1876" s="2" t="s">
        <v>82</v>
      </c>
      <c r="BR1876" s="2" t="s">
        <v>103</v>
      </c>
      <c r="BS1876" s="3">
        <v>43083</v>
      </c>
      <c r="BT1876" s="4">
        <v>0.41666666666666669</v>
      </c>
      <c r="BU1876" s="2" t="s">
        <v>139</v>
      </c>
      <c r="BV1876" s="2" t="s">
        <v>85</v>
      </c>
      <c r="BY1876" s="2">
        <v>1200</v>
      </c>
      <c r="CA1876" s="2" t="s">
        <v>140</v>
      </c>
      <c r="CC1876" s="2" t="s">
        <v>137</v>
      </c>
      <c r="CD1876" s="2">
        <v>6001</v>
      </c>
      <c r="CE1876" s="2" t="s">
        <v>120</v>
      </c>
      <c r="CF1876" s="3">
        <v>43084</v>
      </c>
      <c r="CI1876" s="2">
        <v>1</v>
      </c>
      <c r="CJ1876" s="2">
        <v>1</v>
      </c>
      <c r="CK1876" s="2">
        <v>21</v>
      </c>
      <c r="CL1876" s="2" t="s">
        <v>89</v>
      </c>
    </row>
    <row r="1877" spans="1:90">
      <c r="A1877" s="2" t="s">
        <v>71</v>
      </c>
      <c r="B1877" s="2" t="s">
        <v>72</v>
      </c>
      <c r="C1877" s="2" t="s">
        <v>73</v>
      </c>
      <c r="E1877" s="2" t="str">
        <f>"FES1162595557"</f>
        <v>FES1162595557</v>
      </c>
      <c r="F1877" s="3">
        <v>43082</v>
      </c>
      <c r="G1877" s="2">
        <v>201806</v>
      </c>
      <c r="H1877" s="2" t="s">
        <v>74</v>
      </c>
      <c r="I1877" s="2" t="s">
        <v>75</v>
      </c>
      <c r="J1877" s="2" t="s">
        <v>97</v>
      </c>
      <c r="K1877" s="2" t="s">
        <v>77</v>
      </c>
      <c r="L1877" s="2" t="s">
        <v>173</v>
      </c>
      <c r="M1877" s="2" t="s">
        <v>174</v>
      </c>
      <c r="N1877" s="2" t="s">
        <v>376</v>
      </c>
      <c r="O1877" s="2" t="s">
        <v>101</v>
      </c>
      <c r="P1877" s="2" t="str">
        <f>"2170607071                    "</f>
        <v xml:space="preserve">2170607071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6.43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</v>
      </c>
      <c r="BJ1877" s="2">
        <v>0.2</v>
      </c>
      <c r="BK1877" s="2">
        <v>1</v>
      </c>
      <c r="BL1877" s="2">
        <v>45.93</v>
      </c>
      <c r="BM1877" s="2">
        <v>6.43</v>
      </c>
      <c r="BN1877" s="2">
        <v>52.36</v>
      </c>
      <c r="BO1877" s="2">
        <v>52.36</v>
      </c>
      <c r="BQ1877" s="2" t="s">
        <v>102</v>
      </c>
      <c r="BR1877" s="2" t="s">
        <v>103</v>
      </c>
      <c r="BS1877" s="3">
        <v>43084</v>
      </c>
      <c r="BT1877" s="4">
        <v>0.44444444444444442</v>
      </c>
      <c r="BU1877" s="2" t="s">
        <v>2257</v>
      </c>
      <c r="BV1877" s="2" t="s">
        <v>89</v>
      </c>
      <c r="BW1877" s="2" t="s">
        <v>471</v>
      </c>
      <c r="BX1877" s="2" t="s">
        <v>246</v>
      </c>
      <c r="BY1877" s="2">
        <v>1200</v>
      </c>
      <c r="CC1877" s="2" t="s">
        <v>174</v>
      </c>
      <c r="CD1877" s="2">
        <v>7490</v>
      </c>
      <c r="CE1877" s="2" t="s">
        <v>120</v>
      </c>
      <c r="CF1877" s="3">
        <v>43087</v>
      </c>
      <c r="CI1877" s="2">
        <v>1</v>
      </c>
      <c r="CJ1877" s="2">
        <v>2</v>
      </c>
      <c r="CK1877" s="2">
        <v>21</v>
      </c>
      <c r="CL1877" s="2" t="s">
        <v>89</v>
      </c>
    </row>
    <row r="1878" spans="1:90">
      <c r="A1878" s="2" t="s">
        <v>71</v>
      </c>
      <c r="B1878" s="2" t="s">
        <v>72</v>
      </c>
      <c r="C1878" s="2" t="s">
        <v>73</v>
      </c>
      <c r="E1878" s="2" t="str">
        <f>"FES1162595657"</f>
        <v>FES1162595657</v>
      </c>
      <c r="F1878" s="3">
        <v>43082</v>
      </c>
      <c r="G1878" s="2">
        <v>201806</v>
      </c>
      <c r="H1878" s="2" t="s">
        <v>74</v>
      </c>
      <c r="I1878" s="2" t="s">
        <v>75</v>
      </c>
      <c r="J1878" s="2" t="s">
        <v>97</v>
      </c>
      <c r="K1878" s="2" t="s">
        <v>77</v>
      </c>
      <c r="L1878" s="2" t="s">
        <v>136</v>
      </c>
      <c r="M1878" s="2" t="s">
        <v>137</v>
      </c>
      <c r="N1878" s="2" t="s">
        <v>138</v>
      </c>
      <c r="O1878" s="2" t="s">
        <v>101</v>
      </c>
      <c r="P1878" s="2" t="str">
        <f>"2170607486                    "</f>
        <v xml:space="preserve">2170607486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6.43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45.93</v>
      </c>
      <c r="BM1878" s="2">
        <v>6.43</v>
      </c>
      <c r="BN1878" s="2">
        <v>52.36</v>
      </c>
      <c r="BO1878" s="2">
        <v>52.36</v>
      </c>
      <c r="BQ1878" s="2" t="s">
        <v>82</v>
      </c>
      <c r="BR1878" s="2" t="s">
        <v>103</v>
      </c>
      <c r="BS1878" s="3">
        <v>43083</v>
      </c>
      <c r="BT1878" s="4">
        <v>0.41666666666666669</v>
      </c>
      <c r="BU1878" s="2" t="s">
        <v>139</v>
      </c>
      <c r="BV1878" s="2" t="s">
        <v>85</v>
      </c>
      <c r="BY1878" s="2">
        <v>1200</v>
      </c>
      <c r="CA1878" s="2" t="s">
        <v>140</v>
      </c>
      <c r="CC1878" s="2" t="s">
        <v>137</v>
      </c>
      <c r="CD1878" s="2">
        <v>6001</v>
      </c>
      <c r="CE1878" s="2" t="s">
        <v>120</v>
      </c>
      <c r="CF1878" s="3">
        <v>43084</v>
      </c>
      <c r="CI1878" s="2">
        <v>1</v>
      </c>
      <c r="CJ1878" s="2">
        <v>1</v>
      </c>
      <c r="CK1878" s="2">
        <v>21</v>
      </c>
      <c r="CL1878" s="2" t="s">
        <v>89</v>
      </c>
    </row>
    <row r="1879" spans="1:90">
      <c r="A1879" s="2" t="s">
        <v>71</v>
      </c>
      <c r="B1879" s="2" t="s">
        <v>72</v>
      </c>
      <c r="C1879" s="2" t="s">
        <v>73</v>
      </c>
      <c r="E1879" s="2" t="str">
        <f>"FES1162595602"</f>
        <v>FES1162595602</v>
      </c>
      <c r="F1879" s="3">
        <v>43082</v>
      </c>
      <c r="G1879" s="2">
        <v>201806</v>
      </c>
      <c r="H1879" s="2" t="s">
        <v>74</v>
      </c>
      <c r="I1879" s="2" t="s">
        <v>75</v>
      </c>
      <c r="J1879" s="2" t="s">
        <v>97</v>
      </c>
      <c r="K1879" s="2" t="s">
        <v>77</v>
      </c>
      <c r="L1879" s="2" t="s">
        <v>136</v>
      </c>
      <c r="M1879" s="2" t="s">
        <v>137</v>
      </c>
      <c r="N1879" s="2" t="s">
        <v>138</v>
      </c>
      <c r="O1879" s="2" t="s">
        <v>101</v>
      </c>
      <c r="P1879" s="2" t="str">
        <f>"2170603610                    "</f>
        <v xml:space="preserve">2170603610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6.43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</v>
      </c>
      <c r="BJ1879" s="2">
        <v>0.2</v>
      </c>
      <c r="BK1879" s="2">
        <v>1</v>
      </c>
      <c r="BL1879" s="2">
        <v>45.93</v>
      </c>
      <c r="BM1879" s="2">
        <v>6.43</v>
      </c>
      <c r="BN1879" s="2">
        <v>52.36</v>
      </c>
      <c r="BO1879" s="2">
        <v>52.36</v>
      </c>
      <c r="BQ1879" s="2" t="s">
        <v>82</v>
      </c>
      <c r="BR1879" s="2" t="s">
        <v>103</v>
      </c>
      <c r="BS1879" s="3">
        <v>43083</v>
      </c>
      <c r="BT1879" s="4">
        <v>0.4909722222222222</v>
      </c>
      <c r="BU1879" s="2" t="s">
        <v>139</v>
      </c>
      <c r="BV1879" s="2" t="s">
        <v>89</v>
      </c>
      <c r="BY1879" s="2">
        <v>1200</v>
      </c>
      <c r="CA1879" s="2" t="s">
        <v>140</v>
      </c>
      <c r="CC1879" s="2" t="s">
        <v>137</v>
      </c>
      <c r="CD1879" s="2">
        <v>6001</v>
      </c>
      <c r="CE1879" s="2" t="s">
        <v>120</v>
      </c>
      <c r="CF1879" s="3">
        <v>43084</v>
      </c>
      <c r="CI1879" s="2">
        <v>1</v>
      </c>
      <c r="CJ1879" s="2">
        <v>1</v>
      </c>
      <c r="CK1879" s="2">
        <v>21</v>
      </c>
      <c r="CL1879" s="2" t="s">
        <v>89</v>
      </c>
    </row>
    <row r="1880" spans="1:90">
      <c r="A1880" s="2" t="s">
        <v>71</v>
      </c>
      <c r="B1880" s="2" t="s">
        <v>72</v>
      </c>
      <c r="C1880" s="2" t="s">
        <v>73</v>
      </c>
      <c r="E1880" s="2" t="str">
        <f>"FES1162595550"</f>
        <v>FES1162595550</v>
      </c>
      <c r="F1880" s="3">
        <v>43082</v>
      </c>
      <c r="G1880" s="2">
        <v>201806</v>
      </c>
      <c r="H1880" s="2" t="s">
        <v>74</v>
      </c>
      <c r="I1880" s="2" t="s">
        <v>75</v>
      </c>
      <c r="J1880" s="2" t="s">
        <v>97</v>
      </c>
      <c r="K1880" s="2" t="s">
        <v>77</v>
      </c>
      <c r="L1880" s="2" t="s">
        <v>173</v>
      </c>
      <c r="M1880" s="2" t="s">
        <v>174</v>
      </c>
      <c r="N1880" s="2" t="s">
        <v>2258</v>
      </c>
      <c r="O1880" s="2" t="s">
        <v>101</v>
      </c>
      <c r="P1880" s="2" t="str">
        <f>"2170606215                    "</f>
        <v xml:space="preserve">2170606215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6.43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1</v>
      </c>
      <c r="BJ1880" s="2">
        <v>0.2</v>
      </c>
      <c r="BK1880" s="2">
        <v>1</v>
      </c>
      <c r="BL1880" s="2">
        <v>45.93</v>
      </c>
      <c r="BM1880" s="2">
        <v>6.43</v>
      </c>
      <c r="BN1880" s="2">
        <v>52.36</v>
      </c>
      <c r="BO1880" s="2">
        <v>52.36</v>
      </c>
      <c r="BQ1880" s="2" t="s">
        <v>82</v>
      </c>
      <c r="BR1880" s="2" t="s">
        <v>103</v>
      </c>
      <c r="BS1880" s="3">
        <v>43083</v>
      </c>
      <c r="BT1880" s="4">
        <v>0.53472222222222221</v>
      </c>
      <c r="BU1880" s="2" t="s">
        <v>2259</v>
      </c>
      <c r="BV1880" s="2" t="s">
        <v>89</v>
      </c>
      <c r="BW1880" s="2" t="s">
        <v>149</v>
      </c>
      <c r="BX1880" s="2" t="s">
        <v>368</v>
      </c>
      <c r="BY1880" s="2">
        <v>1200</v>
      </c>
      <c r="CA1880" s="2" t="s">
        <v>510</v>
      </c>
      <c r="CC1880" s="2" t="s">
        <v>174</v>
      </c>
      <c r="CD1880" s="2">
        <v>7500</v>
      </c>
      <c r="CE1880" s="2" t="s">
        <v>120</v>
      </c>
      <c r="CF1880" s="3">
        <v>43084</v>
      </c>
      <c r="CI1880" s="2">
        <v>1</v>
      </c>
      <c r="CJ1880" s="2">
        <v>1</v>
      </c>
      <c r="CK1880" s="2">
        <v>21</v>
      </c>
      <c r="CL1880" s="2" t="s">
        <v>89</v>
      </c>
    </row>
    <row r="1881" spans="1:90">
      <c r="A1881" s="2" t="s">
        <v>71</v>
      </c>
      <c r="B1881" s="2" t="s">
        <v>72</v>
      </c>
      <c r="C1881" s="2" t="s">
        <v>73</v>
      </c>
      <c r="E1881" s="2" t="str">
        <f>"FES1162595572"</f>
        <v>FES1162595572</v>
      </c>
      <c r="F1881" s="3">
        <v>43082</v>
      </c>
      <c r="G1881" s="2">
        <v>201806</v>
      </c>
      <c r="H1881" s="2" t="s">
        <v>74</v>
      </c>
      <c r="I1881" s="2" t="s">
        <v>75</v>
      </c>
      <c r="J1881" s="2" t="s">
        <v>97</v>
      </c>
      <c r="K1881" s="2" t="s">
        <v>77</v>
      </c>
      <c r="L1881" s="2" t="s">
        <v>168</v>
      </c>
      <c r="M1881" s="2" t="s">
        <v>169</v>
      </c>
      <c r="N1881" s="2" t="s">
        <v>1614</v>
      </c>
      <c r="O1881" s="2" t="s">
        <v>101</v>
      </c>
      <c r="P1881" s="2" t="str">
        <f>"2170607417                    "</f>
        <v xml:space="preserve">2170607417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6.43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</v>
      </c>
      <c r="BJ1881" s="2">
        <v>0.2</v>
      </c>
      <c r="BK1881" s="2">
        <v>1</v>
      </c>
      <c r="BL1881" s="2">
        <v>45.93</v>
      </c>
      <c r="BM1881" s="2">
        <v>6.43</v>
      </c>
      <c r="BN1881" s="2">
        <v>52.36</v>
      </c>
      <c r="BO1881" s="2">
        <v>52.36</v>
      </c>
      <c r="BQ1881" s="2" t="s">
        <v>102</v>
      </c>
      <c r="BR1881" s="2" t="s">
        <v>103</v>
      </c>
      <c r="BS1881" s="3">
        <v>43083</v>
      </c>
      <c r="BT1881" s="4">
        <v>0.38750000000000001</v>
      </c>
      <c r="BU1881" s="2" t="s">
        <v>2260</v>
      </c>
      <c r="BV1881" s="2" t="s">
        <v>85</v>
      </c>
      <c r="BY1881" s="2">
        <v>1200</v>
      </c>
      <c r="CA1881" s="2" t="s">
        <v>220</v>
      </c>
      <c r="CC1881" s="2" t="s">
        <v>169</v>
      </c>
      <c r="CD1881" s="2">
        <v>3610</v>
      </c>
      <c r="CE1881" s="2" t="s">
        <v>120</v>
      </c>
      <c r="CF1881" s="3">
        <v>43084</v>
      </c>
      <c r="CI1881" s="2">
        <v>1</v>
      </c>
      <c r="CJ1881" s="2">
        <v>1</v>
      </c>
      <c r="CK1881" s="2">
        <v>21</v>
      </c>
      <c r="CL1881" s="2" t="s">
        <v>89</v>
      </c>
    </row>
    <row r="1882" spans="1:90">
      <c r="A1882" s="2" t="s">
        <v>71</v>
      </c>
      <c r="B1882" s="2" t="s">
        <v>72</v>
      </c>
      <c r="C1882" s="2" t="s">
        <v>73</v>
      </c>
      <c r="E1882" s="2" t="str">
        <f>"FES1162595583"</f>
        <v>FES1162595583</v>
      </c>
      <c r="F1882" s="3">
        <v>43082</v>
      </c>
      <c r="G1882" s="2">
        <v>201806</v>
      </c>
      <c r="H1882" s="2" t="s">
        <v>74</v>
      </c>
      <c r="I1882" s="2" t="s">
        <v>75</v>
      </c>
      <c r="J1882" s="2" t="s">
        <v>97</v>
      </c>
      <c r="K1882" s="2" t="s">
        <v>77</v>
      </c>
      <c r="L1882" s="2" t="s">
        <v>173</v>
      </c>
      <c r="M1882" s="2" t="s">
        <v>174</v>
      </c>
      <c r="N1882" s="2" t="s">
        <v>1188</v>
      </c>
      <c r="O1882" s="2" t="s">
        <v>101</v>
      </c>
      <c r="P1882" s="2" t="str">
        <f>"2170607427                    "</f>
        <v xml:space="preserve">2170607427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6.43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45.93</v>
      </c>
      <c r="BM1882" s="2">
        <v>6.43</v>
      </c>
      <c r="BN1882" s="2">
        <v>52.36</v>
      </c>
      <c r="BO1882" s="2">
        <v>52.36</v>
      </c>
      <c r="BQ1882" s="2" t="s">
        <v>128</v>
      </c>
      <c r="BR1882" s="2" t="s">
        <v>103</v>
      </c>
      <c r="BS1882" s="3">
        <v>43083</v>
      </c>
      <c r="BT1882" s="4">
        <v>0.41666666666666669</v>
      </c>
      <c r="BU1882" s="2" t="s">
        <v>2261</v>
      </c>
      <c r="BV1882" s="2" t="s">
        <v>85</v>
      </c>
      <c r="BY1882" s="2">
        <v>1200</v>
      </c>
      <c r="CA1882" s="2" t="s">
        <v>1713</v>
      </c>
      <c r="CC1882" s="2" t="s">
        <v>174</v>
      </c>
      <c r="CD1882" s="2">
        <v>7800</v>
      </c>
      <c r="CE1882" s="2" t="s">
        <v>120</v>
      </c>
      <c r="CF1882" s="3">
        <v>43084</v>
      </c>
      <c r="CI1882" s="2">
        <v>1</v>
      </c>
      <c r="CJ1882" s="2">
        <v>1</v>
      </c>
      <c r="CK1882" s="2">
        <v>21</v>
      </c>
      <c r="CL1882" s="2" t="s">
        <v>89</v>
      </c>
    </row>
    <row r="1883" spans="1:90">
      <c r="A1883" s="2" t="s">
        <v>71</v>
      </c>
      <c r="B1883" s="2" t="s">
        <v>72</v>
      </c>
      <c r="C1883" s="2" t="s">
        <v>73</v>
      </c>
      <c r="E1883" s="2" t="str">
        <f>"FES1162595644"</f>
        <v>FES1162595644</v>
      </c>
      <c r="F1883" s="3">
        <v>43082</v>
      </c>
      <c r="G1883" s="2">
        <v>201806</v>
      </c>
      <c r="H1883" s="2" t="s">
        <v>74</v>
      </c>
      <c r="I1883" s="2" t="s">
        <v>75</v>
      </c>
      <c r="J1883" s="2" t="s">
        <v>97</v>
      </c>
      <c r="K1883" s="2" t="s">
        <v>77</v>
      </c>
      <c r="L1883" s="2" t="s">
        <v>173</v>
      </c>
      <c r="M1883" s="2" t="s">
        <v>174</v>
      </c>
      <c r="N1883" s="2" t="s">
        <v>175</v>
      </c>
      <c r="O1883" s="2" t="s">
        <v>101</v>
      </c>
      <c r="P1883" s="2" t="str">
        <f>"2170607471                    "</f>
        <v xml:space="preserve">2170607471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6.43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1</v>
      </c>
      <c r="BJ1883" s="2">
        <v>0.2</v>
      </c>
      <c r="BK1883" s="2">
        <v>1</v>
      </c>
      <c r="BL1883" s="2">
        <v>45.93</v>
      </c>
      <c r="BM1883" s="2">
        <v>6.43</v>
      </c>
      <c r="BN1883" s="2">
        <v>52.36</v>
      </c>
      <c r="BO1883" s="2">
        <v>52.36</v>
      </c>
      <c r="BQ1883" s="2" t="s">
        <v>102</v>
      </c>
      <c r="BR1883" s="2" t="s">
        <v>103</v>
      </c>
      <c r="BS1883" s="3">
        <v>43083</v>
      </c>
      <c r="BT1883" s="4">
        <v>0.4069444444444445</v>
      </c>
      <c r="BU1883" s="2" t="s">
        <v>176</v>
      </c>
      <c r="BV1883" s="2" t="s">
        <v>85</v>
      </c>
      <c r="BY1883" s="2">
        <v>1200</v>
      </c>
      <c r="CA1883" s="2" t="s">
        <v>177</v>
      </c>
      <c r="CC1883" s="2" t="s">
        <v>174</v>
      </c>
      <c r="CD1883" s="2">
        <v>7405</v>
      </c>
      <c r="CE1883" s="2" t="s">
        <v>120</v>
      </c>
      <c r="CF1883" s="3">
        <v>43084</v>
      </c>
      <c r="CI1883" s="2">
        <v>1</v>
      </c>
      <c r="CJ1883" s="2">
        <v>1</v>
      </c>
      <c r="CK1883" s="2">
        <v>21</v>
      </c>
      <c r="CL1883" s="2" t="s">
        <v>89</v>
      </c>
    </row>
    <row r="1884" spans="1:90">
      <c r="A1884" s="2" t="s">
        <v>71</v>
      </c>
      <c r="B1884" s="2" t="s">
        <v>72</v>
      </c>
      <c r="C1884" s="2" t="s">
        <v>73</v>
      </c>
      <c r="E1884" s="2" t="str">
        <f>"FES1162595630"</f>
        <v>FES1162595630</v>
      </c>
      <c r="F1884" s="3">
        <v>43082</v>
      </c>
      <c r="G1884" s="2">
        <v>201806</v>
      </c>
      <c r="H1884" s="2" t="s">
        <v>74</v>
      </c>
      <c r="I1884" s="2" t="s">
        <v>75</v>
      </c>
      <c r="J1884" s="2" t="s">
        <v>97</v>
      </c>
      <c r="K1884" s="2" t="s">
        <v>77</v>
      </c>
      <c r="L1884" s="2" t="s">
        <v>136</v>
      </c>
      <c r="M1884" s="2" t="s">
        <v>137</v>
      </c>
      <c r="N1884" s="2" t="s">
        <v>138</v>
      </c>
      <c r="O1884" s="2" t="s">
        <v>101</v>
      </c>
      <c r="P1884" s="2" t="str">
        <f>"2170607452                    "</f>
        <v xml:space="preserve">2170607452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6.43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45.93</v>
      </c>
      <c r="BM1884" s="2">
        <v>6.43</v>
      </c>
      <c r="BN1884" s="2">
        <v>52.36</v>
      </c>
      <c r="BO1884" s="2">
        <v>52.36</v>
      </c>
      <c r="BQ1884" s="2" t="s">
        <v>82</v>
      </c>
      <c r="BR1884" s="2" t="s">
        <v>103</v>
      </c>
      <c r="BS1884" s="3">
        <v>43083</v>
      </c>
      <c r="BT1884" s="4">
        <v>0.41666666666666669</v>
      </c>
      <c r="BU1884" s="2" t="s">
        <v>139</v>
      </c>
      <c r="BV1884" s="2" t="s">
        <v>85</v>
      </c>
      <c r="BY1884" s="2">
        <v>1200</v>
      </c>
      <c r="CA1884" s="2" t="s">
        <v>140</v>
      </c>
      <c r="CC1884" s="2" t="s">
        <v>137</v>
      </c>
      <c r="CD1884" s="2">
        <v>6001</v>
      </c>
      <c r="CE1884" s="2" t="s">
        <v>120</v>
      </c>
      <c r="CF1884" s="3">
        <v>43084</v>
      </c>
      <c r="CI1884" s="2">
        <v>1</v>
      </c>
      <c r="CJ1884" s="2">
        <v>1</v>
      </c>
      <c r="CK1884" s="2">
        <v>21</v>
      </c>
      <c r="CL1884" s="2" t="s">
        <v>89</v>
      </c>
    </row>
    <row r="1885" spans="1:90">
      <c r="A1885" s="2" t="s">
        <v>71</v>
      </c>
      <c r="B1885" s="2" t="s">
        <v>72</v>
      </c>
      <c r="C1885" s="2" t="s">
        <v>73</v>
      </c>
      <c r="E1885" s="2" t="str">
        <f>"FES1162595614"</f>
        <v>FES1162595614</v>
      </c>
      <c r="F1885" s="3">
        <v>43082</v>
      </c>
      <c r="G1885" s="2">
        <v>201806</v>
      </c>
      <c r="H1885" s="2" t="s">
        <v>74</v>
      </c>
      <c r="I1885" s="2" t="s">
        <v>75</v>
      </c>
      <c r="J1885" s="2" t="s">
        <v>97</v>
      </c>
      <c r="K1885" s="2" t="s">
        <v>77</v>
      </c>
      <c r="L1885" s="2" t="s">
        <v>136</v>
      </c>
      <c r="M1885" s="2" t="s">
        <v>137</v>
      </c>
      <c r="N1885" s="2" t="s">
        <v>178</v>
      </c>
      <c r="O1885" s="2" t="s">
        <v>101</v>
      </c>
      <c r="P1885" s="2" t="str">
        <f>"2170606785                    "</f>
        <v xml:space="preserve">2170606785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6.43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1</v>
      </c>
      <c r="BJ1885" s="2">
        <v>0.2</v>
      </c>
      <c r="BK1885" s="2">
        <v>1</v>
      </c>
      <c r="BL1885" s="2">
        <v>45.93</v>
      </c>
      <c r="BM1885" s="2">
        <v>6.43</v>
      </c>
      <c r="BN1885" s="2">
        <v>52.36</v>
      </c>
      <c r="BO1885" s="2">
        <v>52.36</v>
      </c>
      <c r="BQ1885" s="2" t="s">
        <v>102</v>
      </c>
      <c r="BR1885" s="2" t="s">
        <v>103</v>
      </c>
      <c r="BS1885" s="3">
        <v>43083</v>
      </c>
      <c r="BT1885" s="4">
        <v>0.4375</v>
      </c>
      <c r="BU1885" s="2" t="s">
        <v>179</v>
      </c>
      <c r="BV1885" s="2" t="s">
        <v>85</v>
      </c>
      <c r="BY1885" s="2">
        <v>1200</v>
      </c>
      <c r="CA1885" s="2" t="s">
        <v>180</v>
      </c>
      <c r="CC1885" s="2" t="s">
        <v>137</v>
      </c>
      <c r="CD1885" s="2">
        <v>6001</v>
      </c>
      <c r="CE1885" s="2" t="s">
        <v>120</v>
      </c>
      <c r="CF1885" s="3">
        <v>43084</v>
      </c>
      <c r="CI1885" s="2">
        <v>1</v>
      </c>
      <c r="CJ1885" s="2">
        <v>1</v>
      </c>
      <c r="CK1885" s="2">
        <v>21</v>
      </c>
      <c r="CL1885" s="2" t="s">
        <v>89</v>
      </c>
    </row>
    <row r="1886" spans="1:90">
      <c r="A1886" s="2" t="s">
        <v>71</v>
      </c>
      <c r="B1886" s="2" t="s">
        <v>72</v>
      </c>
      <c r="C1886" s="2" t="s">
        <v>73</v>
      </c>
      <c r="E1886" s="2" t="str">
        <f>"FES1162595620"</f>
        <v>FES1162595620</v>
      </c>
      <c r="F1886" s="3">
        <v>43082</v>
      </c>
      <c r="G1886" s="2">
        <v>201806</v>
      </c>
      <c r="H1886" s="2" t="s">
        <v>74</v>
      </c>
      <c r="I1886" s="2" t="s">
        <v>75</v>
      </c>
      <c r="J1886" s="2" t="s">
        <v>97</v>
      </c>
      <c r="K1886" s="2" t="s">
        <v>77</v>
      </c>
      <c r="L1886" s="2" t="s">
        <v>136</v>
      </c>
      <c r="M1886" s="2" t="s">
        <v>137</v>
      </c>
      <c r="N1886" s="2" t="s">
        <v>1385</v>
      </c>
      <c r="O1886" s="2" t="s">
        <v>101</v>
      </c>
      <c r="P1886" s="2" t="str">
        <f>"2170607413                    "</f>
        <v xml:space="preserve">2170607413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6.43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</v>
      </c>
      <c r="BJ1886" s="2">
        <v>0.2</v>
      </c>
      <c r="BK1886" s="2">
        <v>1</v>
      </c>
      <c r="BL1886" s="2">
        <v>45.93</v>
      </c>
      <c r="BM1886" s="2">
        <v>6.43</v>
      </c>
      <c r="BN1886" s="2">
        <v>52.36</v>
      </c>
      <c r="BO1886" s="2">
        <v>52.36</v>
      </c>
      <c r="BQ1886" s="2" t="s">
        <v>1386</v>
      </c>
      <c r="BR1886" s="2" t="s">
        <v>103</v>
      </c>
      <c r="BS1886" s="3">
        <v>43089</v>
      </c>
      <c r="BT1886" s="4">
        <v>0.625</v>
      </c>
      <c r="BU1886" s="2" t="s">
        <v>2262</v>
      </c>
      <c r="BV1886" s="2" t="s">
        <v>89</v>
      </c>
      <c r="BW1886" s="2" t="s">
        <v>1517</v>
      </c>
      <c r="BX1886" s="2" t="s">
        <v>314</v>
      </c>
      <c r="BY1886" s="2">
        <v>1200</v>
      </c>
      <c r="CA1886" s="2" t="s">
        <v>1050</v>
      </c>
      <c r="CC1886" s="2" t="s">
        <v>137</v>
      </c>
      <c r="CD1886" s="2">
        <v>6001</v>
      </c>
      <c r="CE1886" s="2" t="s">
        <v>120</v>
      </c>
      <c r="CF1886" s="3">
        <v>43090</v>
      </c>
      <c r="CI1886" s="2">
        <v>1</v>
      </c>
      <c r="CJ1886" s="2">
        <v>5</v>
      </c>
      <c r="CK1886" s="2">
        <v>21</v>
      </c>
      <c r="CL1886" s="2" t="s">
        <v>89</v>
      </c>
    </row>
    <row r="1887" spans="1:90">
      <c r="A1887" s="2" t="s">
        <v>71</v>
      </c>
      <c r="B1887" s="2" t="s">
        <v>72</v>
      </c>
      <c r="C1887" s="2" t="s">
        <v>73</v>
      </c>
      <c r="E1887" s="2" t="str">
        <f>"FES1162595569"</f>
        <v>FES1162595569</v>
      </c>
      <c r="F1887" s="3">
        <v>43082</v>
      </c>
      <c r="G1887" s="2">
        <v>201806</v>
      </c>
      <c r="H1887" s="2" t="s">
        <v>74</v>
      </c>
      <c r="I1887" s="2" t="s">
        <v>75</v>
      </c>
      <c r="J1887" s="2" t="s">
        <v>97</v>
      </c>
      <c r="K1887" s="2" t="s">
        <v>77</v>
      </c>
      <c r="L1887" s="2" t="s">
        <v>158</v>
      </c>
      <c r="M1887" s="2" t="s">
        <v>159</v>
      </c>
      <c r="N1887" s="2" t="s">
        <v>1212</v>
      </c>
      <c r="O1887" s="2" t="s">
        <v>101</v>
      </c>
      <c r="P1887" s="2" t="str">
        <f>"2170607416                    "</f>
        <v xml:space="preserve">2170607416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6.43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1</v>
      </c>
      <c r="BJ1887" s="2">
        <v>0.2</v>
      </c>
      <c r="BK1887" s="2">
        <v>1</v>
      </c>
      <c r="BL1887" s="2">
        <v>45.93</v>
      </c>
      <c r="BM1887" s="2">
        <v>6.43</v>
      </c>
      <c r="BN1887" s="2">
        <v>52.36</v>
      </c>
      <c r="BO1887" s="2">
        <v>52.36</v>
      </c>
      <c r="BQ1887" s="2" t="s">
        <v>82</v>
      </c>
      <c r="BR1887" s="2" t="s">
        <v>103</v>
      </c>
      <c r="BS1887" s="3">
        <v>43083</v>
      </c>
      <c r="BT1887" s="4">
        <v>0.43055555555555558</v>
      </c>
      <c r="BU1887" s="2" t="s">
        <v>345</v>
      </c>
      <c r="BV1887" s="2" t="s">
        <v>85</v>
      </c>
      <c r="BY1887" s="2">
        <v>1200</v>
      </c>
      <c r="CC1887" s="2" t="s">
        <v>159</v>
      </c>
      <c r="CD1887" s="2">
        <v>200</v>
      </c>
      <c r="CE1887" s="2" t="s">
        <v>120</v>
      </c>
      <c r="CF1887" s="3">
        <v>43087</v>
      </c>
      <c r="CI1887" s="2">
        <v>1</v>
      </c>
      <c r="CJ1887" s="2">
        <v>1</v>
      </c>
      <c r="CK1887" s="2">
        <v>21</v>
      </c>
      <c r="CL1887" s="2" t="s">
        <v>89</v>
      </c>
    </row>
    <row r="1888" spans="1:90">
      <c r="A1888" s="2" t="s">
        <v>71</v>
      </c>
      <c r="B1888" s="2" t="s">
        <v>72</v>
      </c>
      <c r="C1888" s="2" t="s">
        <v>73</v>
      </c>
      <c r="E1888" s="2" t="str">
        <f>"FES1162595543"</f>
        <v>FES1162595543</v>
      </c>
      <c r="F1888" s="3">
        <v>43082</v>
      </c>
      <c r="G1888" s="2">
        <v>201806</v>
      </c>
      <c r="H1888" s="2" t="s">
        <v>74</v>
      </c>
      <c r="I1888" s="2" t="s">
        <v>75</v>
      </c>
      <c r="J1888" s="2" t="s">
        <v>97</v>
      </c>
      <c r="K1888" s="2" t="s">
        <v>77</v>
      </c>
      <c r="L1888" s="2" t="s">
        <v>212</v>
      </c>
      <c r="M1888" s="2" t="s">
        <v>212</v>
      </c>
      <c r="N1888" s="2" t="s">
        <v>213</v>
      </c>
      <c r="O1888" s="2" t="s">
        <v>101</v>
      </c>
      <c r="P1888" s="2" t="str">
        <f>"2170603548                    "</f>
        <v xml:space="preserve">2170603548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6.43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1</v>
      </c>
      <c r="BJ1888" s="2">
        <v>0.2</v>
      </c>
      <c r="BK1888" s="2">
        <v>1</v>
      </c>
      <c r="BL1888" s="2">
        <v>45.93</v>
      </c>
      <c r="BM1888" s="2">
        <v>6.43</v>
      </c>
      <c r="BN1888" s="2">
        <v>52.36</v>
      </c>
      <c r="BO1888" s="2">
        <v>52.36</v>
      </c>
      <c r="BQ1888" s="2" t="s">
        <v>102</v>
      </c>
      <c r="BR1888" s="2" t="s">
        <v>103</v>
      </c>
      <c r="BS1888" s="3">
        <v>43083</v>
      </c>
      <c r="BT1888" s="4">
        <v>0.56944444444444442</v>
      </c>
      <c r="BU1888" s="2" t="s">
        <v>161</v>
      </c>
      <c r="BV1888" s="2" t="s">
        <v>85</v>
      </c>
      <c r="BY1888" s="2">
        <v>1200</v>
      </c>
      <c r="CC1888" s="2" t="s">
        <v>212</v>
      </c>
      <c r="CD1888" s="2">
        <v>7646</v>
      </c>
      <c r="CE1888" s="2" t="s">
        <v>120</v>
      </c>
      <c r="CF1888" s="3">
        <v>43084</v>
      </c>
      <c r="CI1888" s="2">
        <v>1</v>
      </c>
      <c r="CJ1888" s="2">
        <v>1</v>
      </c>
      <c r="CK1888" s="2">
        <v>21</v>
      </c>
      <c r="CL1888" s="2" t="s">
        <v>89</v>
      </c>
    </row>
    <row r="1889" spans="1:90">
      <c r="A1889" s="2" t="s">
        <v>71</v>
      </c>
      <c r="B1889" s="2" t="s">
        <v>72</v>
      </c>
      <c r="C1889" s="2" t="s">
        <v>73</v>
      </c>
      <c r="E1889" s="2" t="str">
        <f>"FES1162595546"</f>
        <v>FES1162595546</v>
      </c>
      <c r="F1889" s="3">
        <v>43082</v>
      </c>
      <c r="G1889" s="2">
        <v>201806</v>
      </c>
      <c r="H1889" s="2" t="s">
        <v>74</v>
      </c>
      <c r="I1889" s="2" t="s">
        <v>75</v>
      </c>
      <c r="J1889" s="2" t="s">
        <v>97</v>
      </c>
      <c r="K1889" s="2" t="s">
        <v>77</v>
      </c>
      <c r="L1889" s="2" t="s">
        <v>168</v>
      </c>
      <c r="M1889" s="2" t="s">
        <v>169</v>
      </c>
      <c r="N1889" s="2" t="s">
        <v>2263</v>
      </c>
      <c r="O1889" s="2" t="s">
        <v>101</v>
      </c>
      <c r="P1889" s="2" t="str">
        <f>"2170605620                    "</f>
        <v xml:space="preserve">2170605620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6.43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</v>
      </c>
      <c r="BJ1889" s="2">
        <v>0.2</v>
      </c>
      <c r="BK1889" s="2">
        <v>1</v>
      </c>
      <c r="BL1889" s="2">
        <v>45.93</v>
      </c>
      <c r="BM1889" s="2">
        <v>6.43</v>
      </c>
      <c r="BN1889" s="2">
        <v>52.36</v>
      </c>
      <c r="BO1889" s="2">
        <v>52.36</v>
      </c>
      <c r="BQ1889" s="2" t="s">
        <v>82</v>
      </c>
      <c r="BR1889" s="2" t="s">
        <v>103</v>
      </c>
      <c r="BS1889" s="3">
        <v>43083</v>
      </c>
      <c r="BT1889" s="4">
        <v>0.43055555555555558</v>
      </c>
      <c r="BU1889" s="2" t="s">
        <v>819</v>
      </c>
      <c r="BV1889" s="2" t="s">
        <v>85</v>
      </c>
      <c r="BY1889" s="2">
        <v>1200</v>
      </c>
      <c r="CA1889" s="2" t="s">
        <v>220</v>
      </c>
      <c r="CC1889" s="2" t="s">
        <v>169</v>
      </c>
      <c r="CD1889" s="2">
        <v>3610</v>
      </c>
      <c r="CE1889" s="2" t="s">
        <v>120</v>
      </c>
      <c r="CF1889" s="3">
        <v>43084</v>
      </c>
      <c r="CI1889" s="2">
        <v>1</v>
      </c>
      <c r="CJ1889" s="2">
        <v>1</v>
      </c>
      <c r="CK1889" s="2">
        <v>21</v>
      </c>
      <c r="CL1889" s="2" t="s">
        <v>89</v>
      </c>
    </row>
    <row r="1890" spans="1:90">
      <c r="A1890" s="2" t="s">
        <v>71</v>
      </c>
      <c r="B1890" s="2" t="s">
        <v>72</v>
      </c>
      <c r="C1890" s="2" t="s">
        <v>73</v>
      </c>
      <c r="E1890" s="2" t="str">
        <f>"FES1162595558"</f>
        <v>FES1162595558</v>
      </c>
      <c r="F1890" s="3">
        <v>43082</v>
      </c>
      <c r="G1890" s="2">
        <v>201806</v>
      </c>
      <c r="H1890" s="2" t="s">
        <v>74</v>
      </c>
      <c r="I1890" s="2" t="s">
        <v>75</v>
      </c>
      <c r="J1890" s="2" t="s">
        <v>97</v>
      </c>
      <c r="K1890" s="2" t="s">
        <v>77</v>
      </c>
      <c r="L1890" s="2" t="s">
        <v>125</v>
      </c>
      <c r="M1890" s="2" t="s">
        <v>126</v>
      </c>
      <c r="N1890" s="2" t="s">
        <v>955</v>
      </c>
      <c r="O1890" s="2" t="s">
        <v>101</v>
      </c>
      <c r="P1890" s="2" t="str">
        <f>"2170607183                    "</f>
        <v xml:space="preserve">2170607183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6.43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1</v>
      </c>
      <c r="BJ1890" s="2">
        <v>0.2</v>
      </c>
      <c r="BK1890" s="2">
        <v>1</v>
      </c>
      <c r="BL1890" s="2">
        <v>45.93</v>
      </c>
      <c r="BM1890" s="2">
        <v>6.43</v>
      </c>
      <c r="BN1890" s="2">
        <v>52.36</v>
      </c>
      <c r="BO1890" s="2">
        <v>52.36</v>
      </c>
      <c r="BQ1890" s="2" t="s">
        <v>102</v>
      </c>
      <c r="BR1890" s="2" t="s">
        <v>103</v>
      </c>
      <c r="BS1890" s="3">
        <v>43083</v>
      </c>
      <c r="BT1890" s="4">
        <v>0.41111111111111115</v>
      </c>
      <c r="BU1890" s="2" t="s">
        <v>2264</v>
      </c>
      <c r="BV1890" s="2" t="s">
        <v>85</v>
      </c>
      <c r="BY1890" s="2">
        <v>1200</v>
      </c>
      <c r="CA1890" s="2" t="s">
        <v>130</v>
      </c>
      <c r="CC1890" s="2" t="s">
        <v>126</v>
      </c>
      <c r="CD1890" s="2">
        <v>4001</v>
      </c>
      <c r="CE1890" s="2" t="s">
        <v>120</v>
      </c>
      <c r="CF1890" s="3">
        <v>43084</v>
      </c>
      <c r="CI1890" s="2">
        <v>1</v>
      </c>
      <c r="CJ1890" s="2">
        <v>1</v>
      </c>
      <c r="CK1890" s="2">
        <v>21</v>
      </c>
      <c r="CL1890" s="2" t="s">
        <v>89</v>
      </c>
    </row>
    <row r="1891" spans="1:90">
      <c r="A1891" s="2" t="s">
        <v>71</v>
      </c>
      <c r="B1891" s="2" t="s">
        <v>72</v>
      </c>
      <c r="C1891" s="2" t="s">
        <v>73</v>
      </c>
      <c r="E1891" s="2" t="str">
        <f>"009935791693"</f>
        <v>009935791693</v>
      </c>
      <c r="F1891" s="3">
        <v>43082</v>
      </c>
      <c r="G1891" s="2">
        <v>201806</v>
      </c>
      <c r="H1891" s="2" t="s">
        <v>74</v>
      </c>
      <c r="I1891" s="2" t="s">
        <v>75</v>
      </c>
      <c r="J1891" s="2" t="s">
        <v>97</v>
      </c>
      <c r="K1891" s="2" t="s">
        <v>77</v>
      </c>
      <c r="L1891" s="2" t="s">
        <v>168</v>
      </c>
      <c r="M1891" s="2" t="s">
        <v>169</v>
      </c>
      <c r="N1891" s="2" t="s">
        <v>170</v>
      </c>
      <c r="O1891" s="2" t="s">
        <v>101</v>
      </c>
      <c r="P1891" s="2" t="str">
        <f>"1162595343                    "</f>
        <v xml:space="preserve">1162595343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6.43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2</v>
      </c>
      <c r="BJ1891" s="2">
        <v>0.2</v>
      </c>
      <c r="BK1891" s="2">
        <v>2</v>
      </c>
      <c r="BL1891" s="2">
        <v>45.93</v>
      </c>
      <c r="BM1891" s="2">
        <v>6.43</v>
      </c>
      <c r="BN1891" s="2">
        <v>52.36</v>
      </c>
      <c r="BO1891" s="2">
        <v>52.36</v>
      </c>
      <c r="BP1891" s="2" t="s">
        <v>2265</v>
      </c>
      <c r="BQ1891" s="2" t="s">
        <v>128</v>
      </c>
      <c r="BR1891" s="2" t="s">
        <v>103</v>
      </c>
      <c r="BS1891" s="3">
        <v>43083</v>
      </c>
      <c r="BT1891" s="4">
        <v>0.38541666666666669</v>
      </c>
      <c r="BU1891" s="2" t="s">
        <v>171</v>
      </c>
      <c r="BV1891" s="2" t="s">
        <v>85</v>
      </c>
      <c r="BY1891" s="2">
        <v>1200</v>
      </c>
      <c r="CA1891" s="2" t="s">
        <v>172</v>
      </c>
      <c r="CC1891" s="2" t="s">
        <v>169</v>
      </c>
      <c r="CD1891" s="2">
        <v>3610</v>
      </c>
      <c r="CE1891" s="2" t="s">
        <v>120</v>
      </c>
      <c r="CF1891" s="3">
        <v>43084</v>
      </c>
      <c r="CI1891" s="2">
        <v>1</v>
      </c>
      <c r="CJ1891" s="2">
        <v>1</v>
      </c>
      <c r="CK1891" s="2">
        <v>21</v>
      </c>
      <c r="CL1891" s="2" t="s">
        <v>89</v>
      </c>
    </row>
    <row r="1892" spans="1:90">
      <c r="A1892" s="2" t="s">
        <v>71</v>
      </c>
      <c r="B1892" s="2" t="s">
        <v>72</v>
      </c>
      <c r="C1892" s="2" t="s">
        <v>73</v>
      </c>
      <c r="E1892" s="2" t="str">
        <f>"FES1162595718"</f>
        <v>FES1162595718</v>
      </c>
      <c r="F1892" s="3">
        <v>43082</v>
      </c>
      <c r="G1892" s="2">
        <v>201806</v>
      </c>
      <c r="H1892" s="2" t="s">
        <v>74</v>
      </c>
      <c r="I1892" s="2" t="s">
        <v>75</v>
      </c>
      <c r="J1892" s="2" t="s">
        <v>97</v>
      </c>
      <c r="K1892" s="2" t="s">
        <v>77</v>
      </c>
      <c r="L1892" s="2" t="s">
        <v>152</v>
      </c>
      <c r="M1892" s="2" t="s">
        <v>153</v>
      </c>
      <c r="N1892" s="2" t="s">
        <v>771</v>
      </c>
      <c r="O1892" s="2" t="s">
        <v>101</v>
      </c>
      <c r="P1892" s="2" t="str">
        <f>"2170602531                    "</f>
        <v xml:space="preserve">2170602531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5.03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3.6</v>
      </c>
      <c r="BJ1892" s="2">
        <v>6.6</v>
      </c>
      <c r="BK1892" s="2">
        <v>7</v>
      </c>
      <c r="BL1892" s="2">
        <v>35.89</v>
      </c>
      <c r="BM1892" s="2">
        <v>5.0199999999999996</v>
      </c>
      <c r="BN1892" s="2">
        <v>40.909999999999997</v>
      </c>
      <c r="BO1892" s="2">
        <v>40.909999999999997</v>
      </c>
      <c r="BQ1892" s="2" t="s">
        <v>2266</v>
      </c>
      <c r="BR1892" s="2" t="s">
        <v>103</v>
      </c>
      <c r="BS1892" s="3">
        <v>43083</v>
      </c>
      <c r="BT1892" s="4">
        <v>0.39861111111111108</v>
      </c>
      <c r="BU1892" s="2" t="s">
        <v>2267</v>
      </c>
      <c r="BV1892" s="2" t="s">
        <v>85</v>
      </c>
      <c r="BY1892" s="2">
        <v>32774.339999999997</v>
      </c>
      <c r="CA1892" s="2" t="s">
        <v>439</v>
      </c>
      <c r="CC1892" s="2" t="s">
        <v>153</v>
      </c>
      <c r="CD1892" s="2">
        <v>1428</v>
      </c>
      <c r="CE1892" s="2" t="s">
        <v>87</v>
      </c>
      <c r="CF1892" s="3">
        <v>43087</v>
      </c>
      <c r="CI1892" s="2">
        <v>1</v>
      </c>
      <c r="CJ1892" s="2">
        <v>1</v>
      </c>
      <c r="CK1892" s="2">
        <v>22</v>
      </c>
      <c r="CL1892" s="2" t="s">
        <v>89</v>
      </c>
    </row>
    <row r="1893" spans="1:90">
      <c r="A1893" s="2" t="s">
        <v>71</v>
      </c>
      <c r="B1893" s="2" t="s">
        <v>72</v>
      </c>
      <c r="C1893" s="2" t="s">
        <v>73</v>
      </c>
      <c r="E1893" s="2" t="str">
        <f>"FES1162595663"</f>
        <v>FES1162595663</v>
      </c>
      <c r="F1893" s="3">
        <v>43082</v>
      </c>
      <c r="G1893" s="2">
        <v>201806</v>
      </c>
      <c r="H1893" s="2" t="s">
        <v>74</v>
      </c>
      <c r="I1893" s="2" t="s">
        <v>75</v>
      </c>
      <c r="J1893" s="2" t="s">
        <v>97</v>
      </c>
      <c r="K1893" s="2" t="s">
        <v>77</v>
      </c>
      <c r="L1893" s="2" t="s">
        <v>98</v>
      </c>
      <c r="M1893" s="2" t="s">
        <v>99</v>
      </c>
      <c r="N1893" s="2" t="s">
        <v>795</v>
      </c>
      <c r="O1893" s="2" t="s">
        <v>101</v>
      </c>
      <c r="P1893" s="2" t="str">
        <f>"2170607496                    "</f>
        <v xml:space="preserve">2170607496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9.65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2.8</v>
      </c>
      <c r="BJ1893" s="2">
        <v>1.4</v>
      </c>
      <c r="BK1893" s="2">
        <v>3</v>
      </c>
      <c r="BL1893" s="2">
        <v>68.89</v>
      </c>
      <c r="BM1893" s="2">
        <v>9.64</v>
      </c>
      <c r="BN1893" s="2">
        <v>78.53</v>
      </c>
      <c r="BO1893" s="2">
        <v>78.53</v>
      </c>
      <c r="BQ1893" s="2" t="s">
        <v>102</v>
      </c>
      <c r="BR1893" s="2" t="s">
        <v>103</v>
      </c>
      <c r="BS1893" s="3">
        <v>43083</v>
      </c>
      <c r="BT1893" s="4">
        <v>0.39583333333333331</v>
      </c>
      <c r="BU1893" s="2" t="s">
        <v>2191</v>
      </c>
      <c r="BV1893" s="2" t="s">
        <v>85</v>
      </c>
      <c r="BY1893" s="2">
        <v>6883.17</v>
      </c>
      <c r="CA1893" s="2" t="s">
        <v>105</v>
      </c>
      <c r="CC1893" s="2" t="s">
        <v>99</v>
      </c>
      <c r="CD1893" s="2">
        <v>3201</v>
      </c>
      <c r="CE1893" s="2" t="s">
        <v>95</v>
      </c>
      <c r="CF1893" s="3">
        <v>43084</v>
      </c>
      <c r="CI1893" s="2">
        <v>1</v>
      </c>
      <c r="CJ1893" s="2">
        <v>1</v>
      </c>
      <c r="CK1893" s="2">
        <v>21</v>
      </c>
      <c r="CL1893" s="2" t="s">
        <v>89</v>
      </c>
    </row>
    <row r="1894" spans="1:90">
      <c r="A1894" s="2" t="s">
        <v>71</v>
      </c>
      <c r="B1894" s="2" t="s">
        <v>72</v>
      </c>
      <c r="C1894" s="2" t="s">
        <v>73</v>
      </c>
      <c r="E1894" s="2" t="str">
        <f>"FES1162595676"</f>
        <v>FES1162595676</v>
      </c>
      <c r="F1894" s="3">
        <v>43082</v>
      </c>
      <c r="G1894" s="2">
        <v>201806</v>
      </c>
      <c r="H1894" s="2" t="s">
        <v>74</v>
      </c>
      <c r="I1894" s="2" t="s">
        <v>75</v>
      </c>
      <c r="J1894" s="2" t="s">
        <v>97</v>
      </c>
      <c r="K1894" s="2" t="s">
        <v>77</v>
      </c>
      <c r="L1894" s="2" t="s">
        <v>98</v>
      </c>
      <c r="M1894" s="2" t="s">
        <v>99</v>
      </c>
      <c r="N1894" s="2" t="s">
        <v>1104</v>
      </c>
      <c r="O1894" s="2" t="s">
        <v>101</v>
      </c>
      <c r="P1894" s="2" t="str">
        <f>"2170607479                    "</f>
        <v xml:space="preserve">2170607479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6.43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45.93</v>
      </c>
      <c r="BM1894" s="2">
        <v>6.43</v>
      </c>
      <c r="BN1894" s="2">
        <v>52.36</v>
      </c>
      <c r="BO1894" s="2">
        <v>52.36</v>
      </c>
      <c r="BQ1894" s="2" t="s">
        <v>82</v>
      </c>
      <c r="BR1894" s="2" t="s">
        <v>103</v>
      </c>
      <c r="BS1894" s="3">
        <v>43083</v>
      </c>
      <c r="BT1894" s="4">
        <v>0.4236111111111111</v>
      </c>
      <c r="BU1894" s="2" t="s">
        <v>1106</v>
      </c>
      <c r="BV1894" s="2" t="s">
        <v>85</v>
      </c>
      <c r="BY1894" s="2">
        <v>1200</v>
      </c>
      <c r="CA1894" s="2" t="s">
        <v>497</v>
      </c>
      <c r="CC1894" s="2" t="s">
        <v>99</v>
      </c>
      <c r="CD1894" s="2">
        <v>3201</v>
      </c>
      <c r="CE1894" s="2" t="s">
        <v>120</v>
      </c>
      <c r="CF1894" s="3">
        <v>43084</v>
      </c>
      <c r="CI1894" s="2">
        <v>1</v>
      </c>
      <c r="CJ1894" s="2">
        <v>1</v>
      </c>
      <c r="CK1894" s="2">
        <v>21</v>
      </c>
      <c r="CL1894" s="2" t="s">
        <v>89</v>
      </c>
    </row>
    <row r="1895" spans="1:90">
      <c r="A1895" s="2" t="s">
        <v>71</v>
      </c>
      <c r="B1895" s="2" t="s">
        <v>72</v>
      </c>
      <c r="C1895" s="2" t="s">
        <v>73</v>
      </c>
      <c r="E1895" s="2" t="str">
        <f>"FES1162595672"</f>
        <v>FES1162595672</v>
      </c>
      <c r="F1895" s="3">
        <v>43082</v>
      </c>
      <c r="G1895" s="2">
        <v>201806</v>
      </c>
      <c r="H1895" s="2" t="s">
        <v>74</v>
      </c>
      <c r="I1895" s="2" t="s">
        <v>75</v>
      </c>
      <c r="J1895" s="2" t="s">
        <v>97</v>
      </c>
      <c r="K1895" s="2" t="s">
        <v>77</v>
      </c>
      <c r="L1895" s="2" t="s">
        <v>125</v>
      </c>
      <c r="M1895" s="2" t="s">
        <v>126</v>
      </c>
      <c r="N1895" s="2" t="s">
        <v>1034</v>
      </c>
      <c r="O1895" s="2" t="s">
        <v>101</v>
      </c>
      <c r="P1895" s="2" t="str">
        <f>"2170607506                    "</f>
        <v xml:space="preserve">2170607506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6.43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45.93</v>
      </c>
      <c r="BM1895" s="2">
        <v>6.43</v>
      </c>
      <c r="BN1895" s="2">
        <v>52.36</v>
      </c>
      <c r="BO1895" s="2">
        <v>52.36</v>
      </c>
      <c r="BQ1895" s="2" t="s">
        <v>128</v>
      </c>
      <c r="BR1895" s="2" t="s">
        <v>103</v>
      </c>
      <c r="BS1895" s="3">
        <v>43083</v>
      </c>
      <c r="BT1895" s="4">
        <v>0.4375</v>
      </c>
      <c r="BU1895" s="2" t="s">
        <v>2214</v>
      </c>
      <c r="BV1895" s="2" t="s">
        <v>85</v>
      </c>
      <c r="BY1895" s="2">
        <v>1200</v>
      </c>
      <c r="CA1895" s="2" t="s">
        <v>225</v>
      </c>
      <c r="CC1895" s="2" t="s">
        <v>126</v>
      </c>
      <c r="CD1895" s="2">
        <v>4001</v>
      </c>
      <c r="CE1895" s="2" t="s">
        <v>120</v>
      </c>
      <c r="CF1895" s="3">
        <v>43084</v>
      </c>
      <c r="CI1895" s="2">
        <v>1</v>
      </c>
      <c r="CJ1895" s="2">
        <v>1</v>
      </c>
      <c r="CK1895" s="2">
        <v>21</v>
      </c>
      <c r="CL1895" s="2" t="s">
        <v>89</v>
      </c>
    </row>
    <row r="1896" spans="1:90">
      <c r="A1896" s="2" t="s">
        <v>71</v>
      </c>
      <c r="B1896" s="2" t="s">
        <v>72</v>
      </c>
      <c r="C1896" s="2" t="s">
        <v>73</v>
      </c>
      <c r="E1896" s="2" t="str">
        <f>"FES1162595532"</f>
        <v>FES1162595532</v>
      </c>
      <c r="F1896" s="3">
        <v>43082</v>
      </c>
      <c r="G1896" s="2">
        <v>201806</v>
      </c>
      <c r="H1896" s="2" t="s">
        <v>74</v>
      </c>
      <c r="I1896" s="2" t="s">
        <v>75</v>
      </c>
      <c r="J1896" s="2" t="s">
        <v>97</v>
      </c>
      <c r="K1896" s="2" t="s">
        <v>77</v>
      </c>
      <c r="L1896" s="2" t="s">
        <v>277</v>
      </c>
      <c r="M1896" s="2" t="s">
        <v>278</v>
      </c>
      <c r="N1896" s="2" t="s">
        <v>1699</v>
      </c>
      <c r="O1896" s="2" t="s">
        <v>101</v>
      </c>
      <c r="P1896" s="2" t="str">
        <f>"2170607397                    "</f>
        <v xml:space="preserve">2170607397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5.03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</v>
      </c>
      <c r="BJ1896" s="2">
        <v>0.2</v>
      </c>
      <c r="BK1896" s="2">
        <v>1</v>
      </c>
      <c r="BL1896" s="2">
        <v>35.89</v>
      </c>
      <c r="BM1896" s="2">
        <v>5.0199999999999996</v>
      </c>
      <c r="BN1896" s="2">
        <v>40.909999999999997</v>
      </c>
      <c r="BO1896" s="2">
        <v>40.909999999999997</v>
      </c>
      <c r="BQ1896" s="2" t="s">
        <v>1700</v>
      </c>
      <c r="BR1896" s="2" t="s">
        <v>103</v>
      </c>
      <c r="BS1896" s="3">
        <v>43083</v>
      </c>
      <c r="BT1896" s="4">
        <v>0.66666666666666663</v>
      </c>
      <c r="BU1896" s="2" t="s">
        <v>2268</v>
      </c>
      <c r="BV1896" s="2" t="s">
        <v>89</v>
      </c>
      <c r="BW1896" s="2" t="s">
        <v>149</v>
      </c>
      <c r="BX1896" s="2" t="s">
        <v>513</v>
      </c>
      <c r="BY1896" s="2">
        <v>1200</v>
      </c>
      <c r="CC1896" s="2" t="s">
        <v>278</v>
      </c>
      <c r="CD1896" s="2">
        <v>2163</v>
      </c>
      <c r="CE1896" s="2" t="s">
        <v>120</v>
      </c>
      <c r="CF1896" s="3">
        <v>43088</v>
      </c>
      <c r="CI1896" s="2">
        <v>1</v>
      </c>
      <c r="CJ1896" s="2">
        <v>1</v>
      </c>
      <c r="CK1896" s="2">
        <v>22</v>
      </c>
      <c r="CL1896" s="2" t="s">
        <v>89</v>
      </c>
    </row>
    <row r="1897" spans="1:90">
      <c r="A1897" s="2" t="s">
        <v>71</v>
      </c>
      <c r="B1897" s="2" t="s">
        <v>72</v>
      </c>
      <c r="C1897" s="2" t="s">
        <v>73</v>
      </c>
      <c r="E1897" s="2" t="str">
        <f>"FES1162595594"</f>
        <v>FES1162595594</v>
      </c>
      <c r="F1897" s="3">
        <v>43082</v>
      </c>
      <c r="G1897" s="2">
        <v>201806</v>
      </c>
      <c r="H1897" s="2" t="s">
        <v>74</v>
      </c>
      <c r="I1897" s="2" t="s">
        <v>75</v>
      </c>
      <c r="J1897" s="2" t="s">
        <v>97</v>
      </c>
      <c r="K1897" s="2" t="s">
        <v>77</v>
      </c>
      <c r="L1897" s="2" t="s">
        <v>136</v>
      </c>
      <c r="M1897" s="2" t="s">
        <v>137</v>
      </c>
      <c r="N1897" s="2" t="s">
        <v>138</v>
      </c>
      <c r="O1897" s="2" t="s">
        <v>101</v>
      </c>
      <c r="P1897" s="2" t="str">
        <f>"2170598524                    "</f>
        <v xml:space="preserve">2170598524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6.43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0.2</v>
      </c>
      <c r="BK1897" s="2">
        <v>1</v>
      </c>
      <c r="BL1897" s="2">
        <v>45.93</v>
      </c>
      <c r="BM1897" s="2">
        <v>6.43</v>
      </c>
      <c r="BN1897" s="2">
        <v>52.36</v>
      </c>
      <c r="BO1897" s="2">
        <v>52.36</v>
      </c>
      <c r="BQ1897" s="2" t="s">
        <v>82</v>
      </c>
      <c r="BR1897" s="2" t="s">
        <v>103</v>
      </c>
      <c r="BS1897" s="3">
        <v>43083</v>
      </c>
      <c r="BT1897" s="4">
        <v>0.41666666666666669</v>
      </c>
      <c r="BU1897" s="2" t="s">
        <v>139</v>
      </c>
      <c r="BV1897" s="2" t="s">
        <v>85</v>
      </c>
      <c r="BY1897" s="2">
        <v>1200</v>
      </c>
      <c r="CA1897" s="2" t="s">
        <v>140</v>
      </c>
      <c r="CC1897" s="2" t="s">
        <v>137</v>
      </c>
      <c r="CD1897" s="2">
        <v>6001</v>
      </c>
      <c r="CE1897" s="2" t="s">
        <v>120</v>
      </c>
      <c r="CF1897" s="3">
        <v>43084</v>
      </c>
      <c r="CI1897" s="2">
        <v>1</v>
      </c>
      <c r="CJ1897" s="2">
        <v>1</v>
      </c>
      <c r="CK1897" s="2">
        <v>21</v>
      </c>
      <c r="CL1897" s="2" t="s">
        <v>89</v>
      </c>
    </row>
    <row r="1898" spans="1:90">
      <c r="A1898" s="2" t="s">
        <v>71</v>
      </c>
      <c r="B1898" s="2" t="s">
        <v>72</v>
      </c>
      <c r="C1898" s="2" t="s">
        <v>73</v>
      </c>
      <c r="E1898" s="2" t="str">
        <f>"FES1162595573"</f>
        <v>FES1162595573</v>
      </c>
      <c r="F1898" s="3">
        <v>43082</v>
      </c>
      <c r="G1898" s="2">
        <v>201806</v>
      </c>
      <c r="H1898" s="2" t="s">
        <v>74</v>
      </c>
      <c r="I1898" s="2" t="s">
        <v>75</v>
      </c>
      <c r="J1898" s="2" t="s">
        <v>97</v>
      </c>
      <c r="K1898" s="2" t="s">
        <v>77</v>
      </c>
      <c r="L1898" s="2" t="s">
        <v>212</v>
      </c>
      <c r="M1898" s="2" t="s">
        <v>212</v>
      </c>
      <c r="N1898" s="2" t="s">
        <v>1263</v>
      </c>
      <c r="O1898" s="2" t="s">
        <v>101</v>
      </c>
      <c r="P1898" s="2" t="str">
        <f>"2170607418                    "</f>
        <v xml:space="preserve">2170607418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20.9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2</v>
      </c>
      <c r="BI1898" s="2">
        <v>6.2</v>
      </c>
      <c r="BJ1898" s="2">
        <v>1.9</v>
      </c>
      <c r="BK1898" s="2">
        <v>6.5</v>
      </c>
      <c r="BL1898" s="2">
        <v>149.22999999999999</v>
      </c>
      <c r="BM1898" s="2">
        <v>20.89</v>
      </c>
      <c r="BN1898" s="2">
        <v>170.12</v>
      </c>
      <c r="BO1898" s="2">
        <v>170.12</v>
      </c>
      <c r="BQ1898" s="2" t="s">
        <v>82</v>
      </c>
      <c r="BR1898" s="2" t="s">
        <v>103</v>
      </c>
      <c r="BS1898" s="3">
        <v>43083</v>
      </c>
      <c r="BT1898" s="4">
        <v>0.57291666666666663</v>
      </c>
      <c r="BU1898" s="2" t="s">
        <v>2269</v>
      </c>
      <c r="BV1898" s="2" t="s">
        <v>85</v>
      </c>
      <c r="BY1898" s="2">
        <v>9691.56</v>
      </c>
      <c r="CC1898" s="2" t="s">
        <v>212</v>
      </c>
      <c r="CD1898" s="2">
        <v>7646</v>
      </c>
      <c r="CE1898" s="2" t="s">
        <v>120</v>
      </c>
      <c r="CF1898" s="3">
        <v>43084</v>
      </c>
      <c r="CI1898" s="2">
        <v>1</v>
      </c>
      <c r="CJ1898" s="2">
        <v>1</v>
      </c>
      <c r="CK1898" s="2">
        <v>21</v>
      </c>
      <c r="CL1898" s="2" t="s">
        <v>89</v>
      </c>
    </row>
    <row r="1899" spans="1:90">
      <c r="A1899" s="2" t="s">
        <v>71</v>
      </c>
      <c r="B1899" s="2" t="s">
        <v>72</v>
      </c>
      <c r="C1899" s="2" t="s">
        <v>73</v>
      </c>
      <c r="E1899" s="2" t="str">
        <f>"FES1162595743"</f>
        <v>FES1162595743</v>
      </c>
      <c r="F1899" s="3">
        <v>43082</v>
      </c>
      <c r="G1899" s="2">
        <v>201806</v>
      </c>
      <c r="H1899" s="2" t="s">
        <v>74</v>
      </c>
      <c r="I1899" s="2" t="s">
        <v>75</v>
      </c>
      <c r="J1899" s="2" t="s">
        <v>97</v>
      </c>
      <c r="K1899" s="2" t="s">
        <v>77</v>
      </c>
      <c r="L1899" s="2" t="s">
        <v>173</v>
      </c>
      <c r="M1899" s="2" t="s">
        <v>174</v>
      </c>
      <c r="N1899" s="2" t="s">
        <v>2270</v>
      </c>
      <c r="O1899" s="2" t="s">
        <v>101</v>
      </c>
      <c r="P1899" s="2" t="str">
        <f>"2170607558                    "</f>
        <v xml:space="preserve">2170607558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6.43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0.8</v>
      </c>
      <c r="BJ1899" s="2">
        <v>1.6</v>
      </c>
      <c r="BK1899" s="2">
        <v>2</v>
      </c>
      <c r="BL1899" s="2">
        <v>45.93</v>
      </c>
      <c r="BM1899" s="2">
        <v>6.43</v>
      </c>
      <c r="BN1899" s="2">
        <v>52.36</v>
      </c>
      <c r="BO1899" s="2">
        <v>52.36</v>
      </c>
      <c r="BQ1899" s="2" t="s">
        <v>82</v>
      </c>
      <c r="BR1899" s="2" t="s">
        <v>103</v>
      </c>
      <c r="BS1899" s="3">
        <v>43083</v>
      </c>
      <c r="BT1899" s="4">
        <v>0.41666666666666669</v>
      </c>
      <c r="BU1899" s="2" t="s">
        <v>2271</v>
      </c>
      <c r="BV1899" s="2" t="s">
        <v>85</v>
      </c>
      <c r="BY1899" s="2">
        <v>8044.53</v>
      </c>
      <c r="CA1899" s="2" t="s">
        <v>360</v>
      </c>
      <c r="CC1899" s="2" t="s">
        <v>174</v>
      </c>
      <c r="CD1899" s="2">
        <v>7405</v>
      </c>
      <c r="CE1899" s="2" t="s">
        <v>95</v>
      </c>
      <c r="CF1899" s="3">
        <v>43084</v>
      </c>
      <c r="CI1899" s="2">
        <v>1</v>
      </c>
      <c r="CJ1899" s="2">
        <v>1</v>
      </c>
      <c r="CK1899" s="2">
        <v>21</v>
      </c>
      <c r="CL1899" s="2" t="s">
        <v>89</v>
      </c>
    </row>
    <row r="1900" spans="1:90">
      <c r="A1900" s="2" t="s">
        <v>71</v>
      </c>
      <c r="B1900" s="2" t="s">
        <v>72</v>
      </c>
      <c r="C1900" s="2" t="s">
        <v>73</v>
      </c>
      <c r="E1900" s="2" t="str">
        <f>"FES1162595677"</f>
        <v>FES1162595677</v>
      </c>
      <c r="F1900" s="3">
        <v>43082</v>
      </c>
      <c r="G1900" s="2">
        <v>201806</v>
      </c>
      <c r="H1900" s="2" t="s">
        <v>74</v>
      </c>
      <c r="I1900" s="2" t="s">
        <v>75</v>
      </c>
      <c r="J1900" s="2" t="s">
        <v>97</v>
      </c>
      <c r="K1900" s="2" t="s">
        <v>77</v>
      </c>
      <c r="L1900" s="2" t="s">
        <v>189</v>
      </c>
      <c r="M1900" s="2" t="s">
        <v>190</v>
      </c>
      <c r="N1900" s="2" t="s">
        <v>959</v>
      </c>
      <c r="O1900" s="2" t="s">
        <v>101</v>
      </c>
      <c r="P1900" s="2" t="str">
        <f>"2170606648                    "</f>
        <v xml:space="preserve">2170606648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6.43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45.93</v>
      </c>
      <c r="BM1900" s="2">
        <v>6.43</v>
      </c>
      <c r="BN1900" s="2">
        <v>52.36</v>
      </c>
      <c r="BO1900" s="2">
        <v>52.36</v>
      </c>
      <c r="BQ1900" s="2" t="s">
        <v>229</v>
      </c>
      <c r="BR1900" s="2" t="s">
        <v>103</v>
      </c>
      <c r="BS1900" s="3">
        <v>43087</v>
      </c>
      <c r="BT1900" s="4">
        <v>0.66666666666666663</v>
      </c>
      <c r="BU1900" s="2" t="s">
        <v>200</v>
      </c>
      <c r="BV1900" s="2" t="s">
        <v>89</v>
      </c>
      <c r="BY1900" s="2">
        <v>1200</v>
      </c>
      <c r="CC1900" s="2" t="s">
        <v>190</v>
      </c>
      <c r="CD1900" s="2">
        <v>157</v>
      </c>
      <c r="CE1900" s="2" t="s">
        <v>120</v>
      </c>
      <c r="CF1900" s="3">
        <v>43088</v>
      </c>
      <c r="CI1900" s="2">
        <v>1</v>
      </c>
      <c r="CJ1900" s="2">
        <v>3</v>
      </c>
      <c r="CK1900" s="2">
        <v>21</v>
      </c>
      <c r="CL1900" s="2" t="s">
        <v>89</v>
      </c>
    </row>
    <row r="1901" spans="1:90">
      <c r="A1901" s="2" t="s">
        <v>71</v>
      </c>
      <c r="B1901" s="2" t="s">
        <v>72</v>
      </c>
      <c r="C1901" s="2" t="s">
        <v>73</v>
      </c>
      <c r="E1901" s="2" t="str">
        <f>"FES1162595613"</f>
        <v>FES1162595613</v>
      </c>
      <c r="F1901" s="3">
        <v>43082</v>
      </c>
      <c r="G1901" s="2">
        <v>201806</v>
      </c>
      <c r="H1901" s="2" t="s">
        <v>74</v>
      </c>
      <c r="I1901" s="2" t="s">
        <v>75</v>
      </c>
      <c r="J1901" s="2" t="s">
        <v>97</v>
      </c>
      <c r="K1901" s="2" t="s">
        <v>77</v>
      </c>
      <c r="L1901" s="2" t="s">
        <v>158</v>
      </c>
      <c r="M1901" s="2" t="s">
        <v>159</v>
      </c>
      <c r="N1901" s="2" t="s">
        <v>164</v>
      </c>
      <c r="O1901" s="2" t="s">
        <v>101</v>
      </c>
      <c r="P1901" s="2" t="str">
        <f>"2170606581                    "</f>
        <v xml:space="preserve">2170606581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6.43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45.93</v>
      </c>
      <c r="BM1901" s="2">
        <v>6.43</v>
      </c>
      <c r="BN1901" s="2">
        <v>52.36</v>
      </c>
      <c r="BO1901" s="2">
        <v>52.36</v>
      </c>
      <c r="BQ1901" s="2" t="s">
        <v>102</v>
      </c>
      <c r="BR1901" s="2" t="s">
        <v>103</v>
      </c>
      <c r="BS1901" s="3">
        <v>43083</v>
      </c>
      <c r="BT1901" s="4">
        <v>0.48194444444444445</v>
      </c>
      <c r="BU1901" s="2" t="s">
        <v>114</v>
      </c>
      <c r="BV1901" s="2" t="s">
        <v>89</v>
      </c>
      <c r="BW1901" s="2" t="s">
        <v>156</v>
      </c>
      <c r="BX1901" s="2" t="s">
        <v>565</v>
      </c>
      <c r="BY1901" s="2">
        <v>1200</v>
      </c>
      <c r="CC1901" s="2" t="s">
        <v>159</v>
      </c>
      <c r="CD1901" s="2">
        <v>200</v>
      </c>
      <c r="CE1901" s="2" t="s">
        <v>120</v>
      </c>
      <c r="CF1901" s="3">
        <v>43087</v>
      </c>
      <c r="CI1901" s="2">
        <v>1</v>
      </c>
      <c r="CJ1901" s="2">
        <v>1</v>
      </c>
      <c r="CK1901" s="2">
        <v>21</v>
      </c>
      <c r="CL1901" s="2" t="s">
        <v>89</v>
      </c>
    </row>
    <row r="1902" spans="1:90">
      <c r="A1902" s="2" t="s">
        <v>71</v>
      </c>
      <c r="B1902" s="2" t="s">
        <v>72</v>
      </c>
      <c r="C1902" s="2" t="s">
        <v>73</v>
      </c>
      <c r="E1902" s="2" t="str">
        <f>"FES1162595705"</f>
        <v>FES1162595705</v>
      </c>
      <c r="F1902" s="3">
        <v>43082</v>
      </c>
      <c r="G1902" s="2">
        <v>201806</v>
      </c>
      <c r="H1902" s="2" t="s">
        <v>74</v>
      </c>
      <c r="I1902" s="2" t="s">
        <v>75</v>
      </c>
      <c r="J1902" s="2" t="s">
        <v>97</v>
      </c>
      <c r="K1902" s="2" t="s">
        <v>77</v>
      </c>
      <c r="L1902" s="2" t="s">
        <v>136</v>
      </c>
      <c r="M1902" s="2" t="s">
        <v>137</v>
      </c>
      <c r="N1902" s="2" t="s">
        <v>138</v>
      </c>
      <c r="O1902" s="2" t="s">
        <v>101</v>
      </c>
      <c r="P1902" s="2" t="str">
        <f>"2170597612                    "</f>
        <v xml:space="preserve">2170597612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25.73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5</v>
      </c>
      <c r="BJ1902" s="2">
        <v>7.7</v>
      </c>
      <c r="BK1902" s="2">
        <v>8</v>
      </c>
      <c r="BL1902" s="2">
        <v>183.67</v>
      </c>
      <c r="BM1902" s="2">
        <v>25.71</v>
      </c>
      <c r="BN1902" s="2">
        <v>209.38</v>
      </c>
      <c r="BO1902" s="2">
        <v>209.38</v>
      </c>
      <c r="BQ1902" s="2" t="s">
        <v>82</v>
      </c>
      <c r="BR1902" s="2" t="s">
        <v>103</v>
      </c>
      <c r="BS1902" s="3">
        <v>43083</v>
      </c>
      <c r="BT1902" s="4">
        <v>0.41666666666666669</v>
      </c>
      <c r="BU1902" s="2" t="s">
        <v>139</v>
      </c>
      <c r="BV1902" s="2" t="s">
        <v>85</v>
      </c>
      <c r="BY1902" s="2">
        <v>38398.53</v>
      </c>
      <c r="CA1902" s="2" t="s">
        <v>140</v>
      </c>
      <c r="CC1902" s="2" t="s">
        <v>137</v>
      </c>
      <c r="CD1902" s="2">
        <v>6001</v>
      </c>
      <c r="CE1902" s="2" t="s">
        <v>87</v>
      </c>
      <c r="CF1902" s="3">
        <v>43084</v>
      </c>
      <c r="CI1902" s="2">
        <v>1</v>
      </c>
      <c r="CJ1902" s="2">
        <v>1</v>
      </c>
      <c r="CK1902" s="2">
        <v>21</v>
      </c>
      <c r="CL1902" s="2" t="s">
        <v>89</v>
      </c>
    </row>
    <row r="1903" spans="1:90">
      <c r="A1903" s="2" t="s">
        <v>71</v>
      </c>
      <c r="B1903" s="2" t="s">
        <v>72</v>
      </c>
      <c r="C1903" s="2" t="s">
        <v>73</v>
      </c>
      <c r="E1903" s="2" t="str">
        <f>"FES1162595706"</f>
        <v>FES1162595706</v>
      </c>
      <c r="F1903" s="3">
        <v>43082</v>
      </c>
      <c r="G1903" s="2">
        <v>201806</v>
      </c>
      <c r="H1903" s="2" t="s">
        <v>74</v>
      </c>
      <c r="I1903" s="2" t="s">
        <v>75</v>
      </c>
      <c r="J1903" s="2" t="s">
        <v>97</v>
      </c>
      <c r="K1903" s="2" t="s">
        <v>77</v>
      </c>
      <c r="L1903" s="2" t="s">
        <v>136</v>
      </c>
      <c r="M1903" s="2" t="s">
        <v>137</v>
      </c>
      <c r="N1903" s="2" t="s">
        <v>138</v>
      </c>
      <c r="O1903" s="2" t="s">
        <v>101</v>
      </c>
      <c r="P1903" s="2" t="str">
        <f>"21706097924                   "</f>
        <v xml:space="preserve">21706097924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57.88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7.3</v>
      </c>
      <c r="BJ1903" s="2">
        <v>17.600000000000001</v>
      </c>
      <c r="BK1903" s="2">
        <v>18</v>
      </c>
      <c r="BL1903" s="2">
        <v>413.22</v>
      </c>
      <c r="BM1903" s="2">
        <v>57.85</v>
      </c>
      <c r="BN1903" s="2">
        <v>471.07</v>
      </c>
      <c r="BO1903" s="2">
        <v>471.07</v>
      </c>
      <c r="BQ1903" s="2" t="s">
        <v>82</v>
      </c>
      <c r="BR1903" s="2" t="s">
        <v>103</v>
      </c>
      <c r="BS1903" s="3">
        <v>43083</v>
      </c>
      <c r="BT1903" s="4">
        <v>0.41666666666666669</v>
      </c>
      <c r="BU1903" s="2" t="s">
        <v>139</v>
      </c>
      <c r="BV1903" s="2" t="s">
        <v>85</v>
      </c>
      <c r="BY1903" s="2">
        <v>87832.68</v>
      </c>
      <c r="CA1903" s="2" t="s">
        <v>140</v>
      </c>
      <c r="CC1903" s="2" t="s">
        <v>137</v>
      </c>
      <c r="CD1903" s="2">
        <v>6001</v>
      </c>
      <c r="CE1903" s="2" t="s">
        <v>87</v>
      </c>
      <c r="CF1903" s="3">
        <v>43084</v>
      </c>
      <c r="CI1903" s="2">
        <v>1</v>
      </c>
      <c r="CJ1903" s="2">
        <v>1</v>
      </c>
      <c r="CK1903" s="2">
        <v>21</v>
      </c>
      <c r="CL1903" s="2" t="s">
        <v>89</v>
      </c>
    </row>
    <row r="1904" spans="1:90">
      <c r="A1904" s="2" t="s">
        <v>71</v>
      </c>
      <c r="B1904" s="2" t="s">
        <v>72</v>
      </c>
      <c r="C1904" s="2" t="s">
        <v>73</v>
      </c>
      <c r="E1904" s="2" t="str">
        <f>"FES1162595726"</f>
        <v>FES1162595726</v>
      </c>
      <c r="F1904" s="3">
        <v>43082</v>
      </c>
      <c r="G1904" s="2">
        <v>201806</v>
      </c>
      <c r="H1904" s="2" t="s">
        <v>74</v>
      </c>
      <c r="I1904" s="2" t="s">
        <v>75</v>
      </c>
      <c r="J1904" s="2" t="s">
        <v>97</v>
      </c>
      <c r="K1904" s="2" t="s">
        <v>77</v>
      </c>
      <c r="L1904" s="2" t="s">
        <v>125</v>
      </c>
      <c r="M1904" s="2" t="s">
        <v>126</v>
      </c>
      <c r="N1904" s="2" t="s">
        <v>2272</v>
      </c>
      <c r="O1904" s="2" t="s">
        <v>101</v>
      </c>
      <c r="P1904" s="2" t="str">
        <f>"2170607546                    "</f>
        <v xml:space="preserve">2170607546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27.34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7.2</v>
      </c>
      <c r="BJ1904" s="2">
        <v>8.4</v>
      </c>
      <c r="BK1904" s="2">
        <v>8.5</v>
      </c>
      <c r="BL1904" s="2">
        <v>195.15</v>
      </c>
      <c r="BM1904" s="2">
        <v>27.32</v>
      </c>
      <c r="BN1904" s="2">
        <v>222.47</v>
      </c>
      <c r="BO1904" s="2">
        <v>222.47</v>
      </c>
      <c r="BQ1904" s="2" t="s">
        <v>102</v>
      </c>
      <c r="BR1904" s="2" t="s">
        <v>103</v>
      </c>
      <c r="BS1904" s="3">
        <v>43089</v>
      </c>
      <c r="BT1904" s="4">
        <v>0.375</v>
      </c>
      <c r="BU1904" s="2" t="s">
        <v>2273</v>
      </c>
      <c r="BV1904" s="2" t="s">
        <v>89</v>
      </c>
      <c r="BY1904" s="2">
        <v>42225.97</v>
      </c>
      <c r="CA1904" s="2" t="s">
        <v>1050</v>
      </c>
      <c r="CC1904" s="2" t="s">
        <v>126</v>
      </c>
      <c r="CD1904" s="2">
        <v>4051</v>
      </c>
      <c r="CE1904" s="2" t="s">
        <v>95</v>
      </c>
      <c r="CF1904" s="3">
        <v>43091</v>
      </c>
      <c r="CI1904" s="2">
        <v>1</v>
      </c>
      <c r="CJ1904" s="2">
        <v>5</v>
      </c>
      <c r="CK1904" s="2">
        <v>21</v>
      </c>
      <c r="CL1904" s="2" t="s">
        <v>89</v>
      </c>
    </row>
    <row r="1905" spans="1:90">
      <c r="A1905" s="2" t="s">
        <v>71</v>
      </c>
      <c r="B1905" s="2" t="s">
        <v>72</v>
      </c>
      <c r="C1905" s="2" t="s">
        <v>73</v>
      </c>
      <c r="E1905" s="2" t="str">
        <f>"FES1162595704"</f>
        <v>FES1162595704</v>
      </c>
      <c r="F1905" s="3">
        <v>43082</v>
      </c>
      <c r="G1905" s="2">
        <v>201806</v>
      </c>
      <c r="H1905" s="2" t="s">
        <v>74</v>
      </c>
      <c r="I1905" s="2" t="s">
        <v>75</v>
      </c>
      <c r="J1905" s="2" t="s">
        <v>97</v>
      </c>
      <c r="K1905" s="2" t="s">
        <v>77</v>
      </c>
      <c r="L1905" s="2" t="s">
        <v>158</v>
      </c>
      <c r="M1905" s="2" t="s">
        <v>159</v>
      </c>
      <c r="N1905" s="2" t="s">
        <v>615</v>
      </c>
      <c r="O1905" s="2" t="s">
        <v>101</v>
      </c>
      <c r="P1905" s="2" t="str">
        <f>"2170596807                    "</f>
        <v xml:space="preserve">2170596807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9.65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2.8</v>
      </c>
      <c r="BJ1905" s="2">
        <v>2.9</v>
      </c>
      <c r="BK1905" s="2">
        <v>3</v>
      </c>
      <c r="BL1905" s="2">
        <v>68.89</v>
      </c>
      <c r="BM1905" s="2">
        <v>9.64</v>
      </c>
      <c r="BN1905" s="2">
        <v>78.53</v>
      </c>
      <c r="BO1905" s="2">
        <v>78.53</v>
      </c>
      <c r="BQ1905" s="2" t="s">
        <v>102</v>
      </c>
      <c r="BR1905" s="2" t="s">
        <v>103</v>
      </c>
      <c r="BS1905" s="3">
        <v>43083</v>
      </c>
      <c r="BT1905" s="4">
        <v>0.41666666666666669</v>
      </c>
      <c r="BU1905" s="2" t="s">
        <v>114</v>
      </c>
      <c r="BV1905" s="2" t="s">
        <v>85</v>
      </c>
      <c r="BY1905" s="2">
        <v>14552.78</v>
      </c>
      <c r="CC1905" s="2" t="s">
        <v>159</v>
      </c>
      <c r="CD1905" s="2">
        <v>200</v>
      </c>
      <c r="CE1905" s="2" t="s">
        <v>95</v>
      </c>
      <c r="CF1905" s="3">
        <v>43087</v>
      </c>
      <c r="CI1905" s="2">
        <v>1</v>
      </c>
      <c r="CJ1905" s="2">
        <v>1</v>
      </c>
      <c r="CK1905" s="2">
        <v>21</v>
      </c>
      <c r="CL1905" s="2" t="s">
        <v>89</v>
      </c>
    </row>
    <row r="1906" spans="1:90">
      <c r="A1906" s="2" t="s">
        <v>71</v>
      </c>
      <c r="B1906" s="2" t="s">
        <v>72</v>
      </c>
      <c r="C1906" s="2" t="s">
        <v>73</v>
      </c>
      <c r="E1906" s="2" t="str">
        <f>"FES1162595748"</f>
        <v>FES1162595748</v>
      </c>
      <c r="F1906" s="3">
        <v>43082</v>
      </c>
      <c r="G1906" s="2">
        <v>201806</v>
      </c>
      <c r="H1906" s="2" t="s">
        <v>74</v>
      </c>
      <c r="I1906" s="2" t="s">
        <v>75</v>
      </c>
      <c r="J1906" s="2" t="s">
        <v>97</v>
      </c>
      <c r="K1906" s="2" t="s">
        <v>77</v>
      </c>
      <c r="L1906" s="2" t="s">
        <v>136</v>
      </c>
      <c r="M1906" s="2" t="s">
        <v>137</v>
      </c>
      <c r="N1906" s="2" t="s">
        <v>540</v>
      </c>
      <c r="O1906" s="2" t="s">
        <v>101</v>
      </c>
      <c r="P1906" s="2" t="str">
        <f>"2170607536                    "</f>
        <v xml:space="preserve">2170607536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41.81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13</v>
      </c>
      <c r="BJ1906" s="2">
        <v>9.8000000000000007</v>
      </c>
      <c r="BK1906" s="2">
        <v>13</v>
      </c>
      <c r="BL1906" s="2">
        <v>298.45</v>
      </c>
      <c r="BM1906" s="2">
        <v>41.78</v>
      </c>
      <c r="BN1906" s="2">
        <v>340.23</v>
      </c>
      <c r="BO1906" s="2">
        <v>340.23</v>
      </c>
      <c r="BQ1906" s="2" t="s">
        <v>541</v>
      </c>
      <c r="BR1906" s="2" t="s">
        <v>103</v>
      </c>
      <c r="BS1906" s="3">
        <v>43083</v>
      </c>
      <c r="BT1906" s="4">
        <v>0.43124999999999997</v>
      </c>
      <c r="BU1906" s="2" t="s">
        <v>554</v>
      </c>
      <c r="BV1906" s="2" t="s">
        <v>85</v>
      </c>
      <c r="BY1906" s="2">
        <v>48964.17</v>
      </c>
      <c r="CA1906" s="2" t="s">
        <v>767</v>
      </c>
      <c r="CC1906" s="2" t="s">
        <v>137</v>
      </c>
      <c r="CD1906" s="2">
        <v>6045</v>
      </c>
      <c r="CE1906" s="2" t="s">
        <v>95</v>
      </c>
      <c r="CF1906" s="3">
        <v>43084</v>
      </c>
      <c r="CI1906" s="2">
        <v>1</v>
      </c>
      <c r="CJ1906" s="2">
        <v>1</v>
      </c>
      <c r="CK1906" s="2">
        <v>21</v>
      </c>
      <c r="CL1906" s="2" t="s">
        <v>89</v>
      </c>
    </row>
    <row r="1907" spans="1:90">
      <c r="A1907" s="2" t="s">
        <v>71</v>
      </c>
      <c r="B1907" s="2" t="s">
        <v>72</v>
      </c>
      <c r="C1907" s="2" t="s">
        <v>73</v>
      </c>
      <c r="E1907" s="2" t="str">
        <f>"FES1162595611"</f>
        <v>FES1162595611</v>
      </c>
      <c r="F1907" s="3">
        <v>43082</v>
      </c>
      <c r="G1907" s="2">
        <v>201806</v>
      </c>
      <c r="H1907" s="2" t="s">
        <v>74</v>
      </c>
      <c r="I1907" s="2" t="s">
        <v>75</v>
      </c>
      <c r="J1907" s="2" t="s">
        <v>97</v>
      </c>
      <c r="K1907" s="2" t="s">
        <v>77</v>
      </c>
      <c r="L1907" s="2" t="s">
        <v>115</v>
      </c>
      <c r="M1907" s="2" t="s">
        <v>116</v>
      </c>
      <c r="N1907" s="2" t="s">
        <v>283</v>
      </c>
      <c r="O1907" s="2" t="s">
        <v>101</v>
      </c>
      <c r="P1907" s="2" t="str">
        <f>"2170606083                    "</f>
        <v xml:space="preserve">2170606083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5.03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35.89</v>
      </c>
      <c r="BM1907" s="2">
        <v>5.0199999999999996</v>
      </c>
      <c r="BN1907" s="2">
        <v>40.909999999999997</v>
      </c>
      <c r="BO1907" s="2">
        <v>40.909999999999997</v>
      </c>
      <c r="BQ1907" s="2" t="s">
        <v>102</v>
      </c>
      <c r="BR1907" s="2" t="s">
        <v>103</v>
      </c>
      <c r="BS1907" s="3">
        <v>43083</v>
      </c>
      <c r="BT1907" s="4">
        <v>0.41666666666666669</v>
      </c>
      <c r="BU1907" s="2" t="s">
        <v>1801</v>
      </c>
      <c r="BV1907" s="2" t="s">
        <v>85</v>
      </c>
      <c r="BY1907" s="2">
        <v>1200</v>
      </c>
      <c r="CA1907" s="2" t="s">
        <v>293</v>
      </c>
      <c r="CC1907" s="2" t="s">
        <v>116</v>
      </c>
      <c r="CD1907" s="2">
        <v>1459</v>
      </c>
      <c r="CE1907" s="2" t="s">
        <v>120</v>
      </c>
      <c r="CF1907" s="3">
        <v>43084</v>
      </c>
      <c r="CI1907" s="2">
        <v>1</v>
      </c>
      <c r="CJ1907" s="2">
        <v>0</v>
      </c>
      <c r="CK1907" s="2">
        <v>22</v>
      </c>
      <c r="CL1907" s="2" t="s">
        <v>89</v>
      </c>
    </row>
    <row r="1908" spans="1:90">
      <c r="A1908" s="2" t="s">
        <v>71</v>
      </c>
      <c r="B1908" s="2" t="s">
        <v>72</v>
      </c>
      <c r="C1908" s="2" t="s">
        <v>73</v>
      </c>
      <c r="E1908" s="2" t="str">
        <f>"FES1162595631"</f>
        <v>FES1162595631</v>
      </c>
      <c r="F1908" s="3">
        <v>43082</v>
      </c>
      <c r="G1908" s="2">
        <v>201806</v>
      </c>
      <c r="H1908" s="2" t="s">
        <v>74</v>
      </c>
      <c r="I1908" s="2" t="s">
        <v>75</v>
      </c>
      <c r="J1908" s="2" t="s">
        <v>97</v>
      </c>
      <c r="K1908" s="2" t="s">
        <v>77</v>
      </c>
      <c r="L1908" s="2" t="s">
        <v>136</v>
      </c>
      <c r="M1908" s="2" t="s">
        <v>137</v>
      </c>
      <c r="N1908" s="2" t="s">
        <v>1457</v>
      </c>
      <c r="O1908" s="2" t="s">
        <v>101</v>
      </c>
      <c r="P1908" s="2" t="str">
        <f>"2170607453                    "</f>
        <v xml:space="preserve">2170607453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6.43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45.93</v>
      </c>
      <c r="BM1908" s="2">
        <v>6.43</v>
      </c>
      <c r="BN1908" s="2">
        <v>52.36</v>
      </c>
      <c r="BO1908" s="2">
        <v>52.36</v>
      </c>
      <c r="BQ1908" s="2" t="s">
        <v>82</v>
      </c>
      <c r="BR1908" s="2" t="s">
        <v>103</v>
      </c>
      <c r="BS1908" s="3">
        <v>43083</v>
      </c>
      <c r="BT1908" s="4">
        <v>0.38263888888888892</v>
      </c>
      <c r="BU1908" s="2" t="s">
        <v>2274</v>
      </c>
      <c r="BV1908" s="2" t="s">
        <v>85</v>
      </c>
      <c r="BY1908" s="2">
        <v>1200</v>
      </c>
      <c r="CA1908" s="2" t="s">
        <v>140</v>
      </c>
      <c r="CC1908" s="2" t="s">
        <v>137</v>
      </c>
      <c r="CD1908" s="2">
        <v>6001</v>
      </c>
      <c r="CE1908" s="2" t="s">
        <v>120</v>
      </c>
      <c r="CF1908" s="3">
        <v>43084</v>
      </c>
      <c r="CI1908" s="2">
        <v>1</v>
      </c>
      <c r="CJ1908" s="2">
        <v>1</v>
      </c>
      <c r="CK1908" s="2">
        <v>21</v>
      </c>
      <c r="CL1908" s="2" t="s">
        <v>89</v>
      </c>
    </row>
    <row r="1909" spans="1:90">
      <c r="A1909" s="2" t="s">
        <v>71</v>
      </c>
      <c r="B1909" s="2" t="s">
        <v>72</v>
      </c>
      <c r="C1909" s="2" t="s">
        <v>73</v>
      </c>
      <c r="E1909" s="2" t="str">
        <f>"FES1162595629"</f>
        <v>FES1162595629</v>
      </c>
      <c r="F1909" s="3">
        <v>43082</v>
      </c>
      <c r="G1909" s="2">
        <v>201806</v>
      </c>
      <c r="H1909" s="2" t="s">
        <v>74</v>
      </c>
      <c r="I1909" s="2" t="s">
        <v>75</v>
      </c>
      <c r="J1909" s="2" t="s">
        <v>97</v>
      </c>
      <c r="K1909" s="2" t="s">
        <v>77</v>
      </c>
      <c r="L1909" s="2" t="s">
        <v>168</v>
      </c>
      <c r="M1909" s="2" t="s">
        <v>169</v>
      </c>
      <c r="N1909" s="2" t="s">
        <v>1142</v>
      </c>
      <c r="O1909" s="2" t="s">
        <v>101</v>
      </c>
      <c r="P1909" s="2" t="str">
        <f>"2170607451                    "</f>
        <v xml:space="preserve">2170607451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6.43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</v>
      </c>
      <c r="BJ1909" s="2">
        <v>0.2</v>
      </c>
      <c r="BK1909" s="2">
        <v>1</v>
      </c>
      <c r="BL1909" s="2">
        <v>45.93</v>
      </c>
      <c r="BM1909" s="2">
        <v>6.43</v>
      </c>
      <c r="BN1909" s="2">
        <v>52.36</v>
      </c>
      <c r="BO1909" s="2">
        <v>52.36</v>
      </c>
      <c r="BQ1909" s="2" t="s">
        <v>102</v>
      </c>
      <c r="BR1909" s="2" t="s">
        <v>103</v>
      </c>
      <c r="BS1909" s="3">
        <v>43083</v>
      </c>
      <c r="BT1909" s="4">
        <v>0.3611111111111111</v>
      </c>
      <c r="BU1909" s="2" t="s">
        <v>2275</v>
      </c>
      <c r="BV1909" s="2" t="s">
        <v>85</v>
      </c>
      <c r="BY1909" s="2">
        <v>1200</v>
      </c>
      <c r="CA1909" s="2" t="s">
        <v>172</v>
      </c>
      <c r="CC1909" s="2" t="s">
        <v>169</v>
      </c>
      <c r="CD1909" s="2">
        <v>3610</v>
      </c>
      <c r="CE1909" s="2" t="s">
        <v>120</v>
      </c>
      <c r="CF1909" s="3">
        <v>43084</v>
      </c>
      <c r="CI1909" s="2">
        <v>1</v>
      </c>
      <c r="CJ1909" s="2">
        <v>1</v>
      </c>
      <c r="CK1909" s="2">
        <v>21</v>
      </c>
      <c r="CL1909" s="2" t="s">
        <v>89</v>
      </c>
    </row>
    <row r="1910" spans="1:90">
      <c r="A1910" s="2" t="s">
        <v>71</v>
      </c>
      <c r="B1910" s="2" t="s">
        <v>72</v>
      </c>
      <c r="C1910" s="2" t="s">
        <v>73</v>
      </c>
      <c r="E1910" s="2" t="str">
        <f>"FES1162595730"</f>
        <v>FES1162595730</v>
      </c>
      <c r="F1910" s="3">
        <v>43082</v>
      </c>
      <c r="G1910" s="2">
        <v>201806</v>
      </c>
      <c r="H1910" s="2" t="s">
        <v>74</v>
      </c>
      <c r="I1910" s="2" t="s">
        <v>75</v>
      </c>
      <c r="J1910" s="2" t="s">
        <v>97</v>
      </c>
      <c r="K1910" s="2" t="s">
        <v>77</v>
      </c>
      <c r="L1910" s="2" t="s">
        <v>551</v>
      </c>
      <c r="M1910" s="2" t="s">
        <v>552</v>
      </c>
      <c r="N1910" s="2" t="s">
        <v>1440</v>
      </c>
      <c r="O1910" s="2" t="s">
        <v>101</v>
      </c>
      <c r="P1910" s="2" t="str">
        <f>"2170602328                    "</f>
        <v xml:space="preserve">2170602328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9.65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1.3</v>
      </c>
      <c r="BJ1910" s="2">
        <v>2.9</v>
      </c>
      <c r="BK1910" s="2">
        <v>3</v>
      </c>
      <c r="BL1910" s="2">
        <v>68.89</v>
      </c>
      <c r="BM1910" s="2">
        <v>9.64</v>
      </c>
      <c r="BN1910" s="2">
        <v>78.53</v>
      </c>
      <c r="BO1910" s="2">
        <v>78.53</v>
      </c>
      <c r="BQ1910" s="2" t="s">
        <v>82</v>
      </c>
      <c r="BR1910" s="2" t="s">
        <v>103</v>
      </c>
      <c r="BS1910" s="3">
        <v>43083</v>
      </c>
      <c r="BT1910" s="4">
        <v>0.58333333333333337</v>
      </c>
      <c r="BU1910" s="2" t="s">
        <v>2276</v>
      </c>
      <c r="BV1910" s="2" t="s">
        <v>85</v>
      </c>
      <c r="BY1910" s="2">
        <v>14676.97</v>
      </c>
      <c r="CA1910" s="2" t="s">
        <v>2226</v>
      </c>
      <c r="CC1910" s="2" t="s">
        <v>552</v>
      </c>
      <c r="CD1910" s="2">
        <v>3310</v>
      </c>
      <c r="CE1910" s="2" t="s">
        <v>95</v>
      </c>
      <c r="CF1910" s="3">
        <v>43084</v>
      </c>
      <c r="CI1910" s="2">
        <v>1</v>
      </c>
      <c r="CJ1910" s="2">
        <v>1</v>
      </c>
      <c r="CK1910" s="2">
        <v>21</v>
      </c>
      <c r="CL1910" s="2" t="s">
        <v>89</v>
      </c>
    </row>
    <row r="1911" spans="1:90">
      <c r="A1911" s="2" t="s">
        <v>71</v>
      </c>
      <c r="B1911" s="2" t="s">
        <v>72</v>
      </c>
      <c r="C1911" s="2" t="s">
        <v>73</v>
      </c>
      <c r="E1911" s="2" t="str">
        <f>"FES1162595645"</f>
        <v>FES1162595645</v>
      </c>
      <c r="F1911" s="3">
        <v>43082</v>
      </c>
      <c r="G1911" s="2">
        <v>201806</v>
      </c>
      <c r="H1911" s="2" t="s">
        <v>74</v>
      </c>
      <c r="I1911" s="2" t="s">
        <v>75</v>
      </c>
      <c r="J1911" s="2" t="s">
        <v>97</v>
      </c>
      <c r="K1911" s="2" t="s">
        <v>77</v>
      </c>
      <c r="L1911" s="2" t="s">
        <v>106</v>
      </c>
      <c r="M1911" s="2" t="s">
        <v>107</v>
      </c>
      <c r="N1911" s="2" t="s">
        <v>108</v>
      </c>
      <c r="O1911" s="2" t="s">
        <v>101</v>
      </c>
      <c r="P1911" s="2" t="str">
        <f>"2170607472                    "</f>
        <v xml:space="preserve">2170607472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5.03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1</v>
      </c>
      <c r="BJ1911" s="2">
        <v>0.2</v>
      </c>
      <c r="BK1911" s="2">
        <v>1</v>
      </c>
      <c r="BL1911" s="2">
        <v>35.89</v>
      </c>
      <c r="BM1911" s="2">
        <v>5.0199999999999996</v>
      </c>
      <c r="BN1911" s="2">
        <v>40.909999999999997</v>
      </c>
      <c r="BO1911" s="2">
        <v>40.909999999999997</v>
      </c>
      <c r="BQ1911" s="2" t="s">
        <v>82</v>
      </c>
      <c r="BR1911" s="2" t="s">
        <v>103</v>
      </c>
      <c r="BS1911" s="3">
        <v>43083</v>
      </c>
      <c r="BT1911" s="4">
        <v>0.40277777777777773</v>
      </c>
      <c r="BU1911" s="2" t="s">
        <v>1227</v>
      </c>
      <c r="BV1911" s="2" t="s">
        <v>85</v>
      </c>
      <c r="BY1911" s="2">
        <v>1200</v>
      </c>
      <c r="CA1911" s="2" t="s">
        <v>110</v>
      </c>
      <c r="CC1911" s="2" t="s">
        <v>107</v>
      </c>
      <c r="CD1911" s="2">
        <v>2094</v>
      </c>
      <c r="CE1911" s="2" t="s">
        <v>120</v>
      </c>
      <c r="CF1911" s="3">
        <v>43084</v>
      </c>
      <c r="CI1911" s="2">
        <v>1</v>
      </c>
      <c r="CJ1911" s="2">
        <v>1</v>
      </c>
      <c r="CK1911" s="2">
        <v>22</v>
      </c>
      <c r="CL1911" s="2" t="s">
        <v>89</v>
      </c>
    </row>
    <row r="1912" spans="1:90">
      <c r="A1912" s="2" t="s">
        <v>71</v>
      </c>
      <c r="B1912" s="2" t="s">
        <v>72</v>
      </c>
      <c r="C1912" s="2" t="s">
        <v>73</v>
      </c>
      <c r="E1912" s="2" t="str">
        <f>"FES1162595600"</f>
        <v>FES1162595600</v>
      </c>
      <c r="F1912" s="3">
        <v>43082</v>
      </c>
      <c r="G1912" s="2">
        <v>201806</v>
      </c>
      <c r="H1912" s="2" t="s">
        <v>74</v>
      </c>
      <c r="I1912" s="2" t="s">
        <v>75</v>
      </c>
      <c r="J1912" s="2" t="s">
        <v>97</v>
      </c>
      <c r="K1912" s="2" t="s">
        <v>77</v>
      </c>
      <c r="L1912" s="2" t="s">
        <v>162</v>
      </c>
      <c r="M1912" s="2" t="s">
        <v>163</v>
      </c>
      <c r="N1912" s="2" t="s">
        <v>2277</v>
      </c>
      <c r="O1912" s="2" t="s">
        <v>101</v>
      </c>
      <c r="P1912" s="2" t="str">
        <f>"2170602582                    "</f>
        <v xml:space="preserve">2170602582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5.03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0.2</v>
      </c>
      <c r="BK1912" s="2">
        <v>1</v>
      </c>
      <c r="BL1912" s="2">
        <v>35.89</v>
      </c>
      <c r="BM1912" s="2">
        <v>5.0199999999999996</v>
      </c>
      <c r="BN1912" s="2">
        <v>40.909999999999997</v>
      </c>
      <c r="BO1912" s="2">
        <v>40.909999999999997</v>
      </c>
      <c r="BR1912" s="2" t="s">
        <v>103</v>
      </c>
      <c r="BS1912" s="3">
        <v>43083</v>
      </c>
      <c r="BT1912" s="4">
        <v>0.36458333333333331</v>
      </c>
      <c r="BU1912" s="2" t="s">
        <v>2278</v>
      </c>
      <c r="BV1912" s="2" t="s">
        <v>85</v>
      </c>
      <c r="BY1912" s="2">
        <v>1200</v>
      </c>
      <c r="CC1912" s="2" t="s">
        <v>163</v>
      </c>
      <c r="CD1912" s="2">
        <v>1451</v>
      </c>
      <c r="CE1912" s="2" t="s">
        <v>120</v>
      </c>
      <c r="CF1912" s="3">
        <v>43087</v>
      </c>
      <c r="CI1912" s="2">
        <v>1</v>
      </c>
      <c r="CJ1912" s="2">
        <v>1</v>
      </c>
      <c r="CK1912" s="2">
        <v>22</v>
      </c>
      <c r="CL1912" s="2" t="s">
        <v>89</v>
      </c>
    </row>
    <row r="1913" spans="1:90">
      <c r="A1913" s="2" t="s">
        <v>71</v>
      </c>
      <c r="B1913" s="2" t="s">
        <v>72</v>
      </c>
      <c r="C1913" s="2" t="s">
        <v>73</v>
      </c>
      <c r="E1913" s="2" t="str">
        <f>"FES1162595680"</f>
        <v>FES1162595680</v>
      </c>
      <c r="F1913" s="3">
        <v>43082</v>
      </c>
      <c r="G1913" s="2">
        <v>201806</v>
      </c>
      <c r="H1913" s="2" t="s">
        <v>74</v>
      </c>
      <c r="I1913" s="2" t="s">
        <v>75</v>
      </c>
      <c r="J1913" s="2" t="s">
        <v>97</v>
      </c>
      <c r="K1913" s="2" t="s">
        <v>77</v>
      </c>
      <c r="L1913" s="2" t="s">
        <v>168</v>
      </c>
      <c r="M1913" s="2" t="s">
        <v>169</v>
      </c>
      <c r="N1913" s="2" t="s">
        <v>217</v>
      </c>
      <c r="O1913" s="2" t="s">
        <v>101</v>
      </c>
      <c r="P1913" s="2" t="str">
        <f>"2170607522                    "</f>
        <v xml:space="preserve">2170607522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6.43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45.93</v>
      </c>
      <c r="BM1913" s="2">
        <v>6.43</v>
      </c>
      <c r="BN1913" s="2">
        <v>52.36</v>
      </c>
      <c r="BO1913" s="2">
        <v>52.36</v>
      </c>
      <c r="BQ1913" s="2" t="s">
        <v>102</v>
      </c>
      <c r="BR1913" s="2" t="s">
        <v>103</v>
      </c>
      <c r="BS1913" s="3">
        <v>43083</v>
      </c>
      <c r="BT1913" s="4">
        <v>0.45833333333333331</v>
      </c>
      <c r="BU1913" s="2" t="s">
        <v>218</v>
      </c>
      <c r="BV1913" s="2" t="s">
        <v>89</v>
      </c>
      <c r="BY1913" s="2">
        <v>1200</v>
      </c>
      <c r="CA1913" s="2" t="s">
        <v>220</v>
      </c>
      <c r="CC1913" s="2" t="s">
        <v>169</v>
      </c>
      <c r="CD1913" s="2">
        <v>3620</v>
      </c>
      <c r="CE1913" s="2" t="s">
        <v>120</v>
      </c>
      <c r="CF1913" s="3">
        <v>43084</v>
      </c>
      <c r="CI1913" s="2">
        <v>1</v>
      </c>
      <c r="CJ1913" s="2">
        <v>1</v>
      </c>
      <c r="CK1913" s="2">
        <v>21</v>
      </c>
      <c r="CL1913" s="2" t="s">
        <v>89</v>
      </c>
    </row>
    <row r="1914" spans="1:90">
      <c r="A1914" s="2" t="s">
        <v>71</v>
      </c>
      <c r="B1914" s="2" t="s">
        <v>72</v>
      </c>
      <c r="C1914" s="2" t="s">
        <v>73</v>
      </c>
      <c r="E1914" s="2" t="str">
        <f>"FES1162595688"</f>
        <v>FES1162595688</v>
      </c>
      <c r="F1914" s="3">
        <v>43082</v>
      </c>
      <c r="G1914" s="2">
        <v>201806</v>
      </c>
      <c r="H1914" s="2" t="s">
        <v>74</v>
      </c>
      <c r="I1914" s="2" t="s">
        <v>75</v>
      </c>
      <c r="J1914" s="2" t="s">
        <v>97</v>
      </c>
      <c r="K1914" s="2" t="s">
        <v>77</v>
      </c>
      <c r="L1914" s="2" t="s">
        <v>106</v>
      </c>
      <c r="M1914" s="2" t="s">
        <v>107</v>
      </c>
      <c r="N1914" s="2" t="s">
        <v>1464</v>
      </c>
      <c r="O1914" s="2" t="s">
        <v>101</v>
      </c>
      <c r="P1914" s="2" t="str">
        <f>"2170607529                    "</f>
        <v xml:space="preserve">2170607529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5.03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</v>
      </c>
      <c r="BJ1914" s="2">
        <v>0.2</v>
      </c>
      <c r="BK1914" s="2">
        <v>1</v>
      </c>
      <c r="BL1914" s="2">
        <v>35.89</v>
      </c>
      <c r="BM1914" s="2">
        <v>5.0199999999999996</v>
      </c>
      <c r="BN1914" s="2">
        <v>40.909999999999997</v>
      </c>
      <c r="BO1914" s="2">
        <v>40.909999999999997</v>
      </c>
      <c r="BQ1914" s="2" t="s">
        <v>102</v>
      </c>
      <c r="BR1914" s="2" t="s">
        <v>103</v>
      </c>
      <c r="BS1914" s="3">
        <v>43084</v>
      </c>
      <c r="BT1914" s="4">
        <v>0.4236111111111111</v>
      </c>
      <c r="BU1914" s="2" t="s">
        <v>2279</v>
      </c>
      <c r="BV1914" s="2" t="s">
        <v>89</v>
      </c>
      <c r="BW1914" s="2" t="s">
        <v>149</v>
      </c>
      <c r="BX1914" s="2" t="s">
        <v>292</v>
      </c>
      <c r="BY1914" s="2">
        <v>1200</v>
      </c>
      <c r="CA1914" s="2" t="s">
        <v>293</v>
      </c>
      <c r="CC1914" s="2" t="s">
        <v>107</v>
      </c>
      <c r="CD1914" s="2">
        <v>2091</v>
      </c>
      <c r="CE1914" s="2" t="s">
        <v>120</v>
      </c>
      <c r="CF1914" s="3">
        <v>43088</v>
      </c>
      <c r="CI1914" s="2">
        <v>1</v>
      </c>
      <c r="CJ1914" s="2">
        <v>2</v>
      </c>
      <c r="CK1914" s="2">
        <v>22</v>
      </c>
      <c r="CL1914" s="2" t="s">
        <v>89</v>
      </c>
    </row>
    <row r="1915" spans="1:90">
      <c r="A1915" s="2" t="s">
        <v>71</v>
      </c>
      <c r="B1915" s="2" t="s">
        <v>72</v>
      </c>
      <c r="C1915" s="2" t="s">
        <v>73</v>
      </c>
      <c r="E1915" s="2" t="str">
        <f>"FES1162595707"</f>
        <v>FES1162595707</v>
      </c>
      <c r="F1915" s="3">
        <v>43082</v>
      </c>
      <c r="G1915" s="2">
        <v>201806</v>
      </c>
      <c r="H1915" s="2" t="s">
        <v>74</v>
      </c>
      <c r="I1915" s="2" t="s">
        <v>75</v>
      </c>
      <c r="J1915" s="2" t="s">
        <v>97</v>
      </c>
      <c r="K1915" s="2" t="s">
        <v>77</v>
      </c>
      <c r="L1915" s="2" t="s">
        <v>136</v>
      </c>
      <c r="M1915" s="2" t="s">
        <v>137</v>
      </c>
      <c r="N1915" s="2" t="s">
        <v>1026</v>
      </c>
      <c r="O1915" s="2" t="s">
        <v>101</v>
      </c>
      <c r="P1915" s="2" t="str">
        <f>"21706059943                   "</f>
        <v xml:space="preserve">21706059943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9.65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3</v>
      </c>
      <c r="BJ1915" s="2">
        <v>2</v>
      </c>
      <c r="BK1915" s="2">
        <v>3</v>
      </c>
      <c r="BL1915" s="2">
        <v>68.89</v>
      </c>
      <c r="BM1915" s="2">
        <v>9.64</v>
      </c>
      <c r="BN1915" s="2">
        <v>78.53</v>
      </c>
      <c r="BO1915" s="2">
        <v>78.53</v>
      </c>
      <c r="BQ1915" s="2" t="s">
        <v>102</v>
      </c>
      <c r="BR1915" s="2" t="s">
        <v>103</v>
      </c>
      <c r="BS1915" s="3">
        <v>43083</v>
      </c>
      <c r="BT1915" s="4">
        <v>0.4513888888888889</v>
      </c>
      <c r="BU1915" s="2" t="s">
        <v>1865</v>
      </c>
      <c r="BV1915" s="2" t="s">
        <v>85</v>
      </c>
      <c r="BY1915" s="2">
        <v>9918</v>
      </c>
      <c r="CC1915" s="2" t="s">
        <v>137</v>
      </c>
      <c r="CD1915" s="2">
        <v>6001</v>
      </c>
      <c r="CE1915" s="2" t="s">
        <v>95</v>
      </c>
      <c r="CF1915" s="3">
        <v>43084</v>
      </c>
      <c r="CI1915" s="2">
        <v>1</v>
      </c>
      <c r="CJ1915" s="2">
        <v>1</v>
      </c>
      <c r="CK1915" s="2">
        <v>21</v>
      </c>
      <c r="CL1915" s="2" t="s">
        <v>89</v>
      </c>
    </row>
    <row r="1916" spans="1:90">
      <c r="A1916" s="2" t="s">
        <v>71</v>
      </c>
      <c r="B1916" s="2" t="s">
        <v>72</v>
      </c>
      <c r="C1916" s="2" t="s">
        <v>73</v>
      </c>
      <c r="E1916" s="2" t="str">
        <f>"FES1162595852"</f>
        <v>FES1162595852</v>
      </c>
      <c r="F1916" s="3">
        <v>43082</v>
      </c>
      <c r="G1916" s="2">
        <v>201806</v>
      </c>
      <c r="H1916" s="2" t="s">
        <v>74</v>
      </c>
      <c r="I1916" s="2" t="s">
        <v>75</v>
      </c>
      <c r="J1916" s="2" t="s">
        <v>97</v>
      </c>
      <c r="K1916" s="2" t="s">
        <v>77</v>
      </c>
      <c r="L1916" s="2" t="s">
        <v>125</v>
      </c>
      <c r="M1916" s="2" t="s">
        <v>126</v>
      </c>
      <c r="N1916" s="2" t="s">
        <v>2280</v>
      </c>
      <c r="O1916" s="2" t="s">
        <v>101</v>
      </c>
      <c r="P1916" s="2" t="str">
        <f>"2170607688                    "</f>
        <v xml:space="preserve">2170607688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6.43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45.93</v>
      </c>
      <c r="BM1916" s="2">
        <v>6.43</v>
      </c>
      <c r="BN1916" s="2">
        <v>52.36</v>
      </c>
      <c r="BO1916" s="2">
        <v>52.36</v>
      </c>
      <c r="BQ1916" s="2" t="s">
        <v>82</v>
      </c>
      <c r="BR1916" s="2" t="s">
        <v>103</v>
      </c>
      <c r="BS1916" s="3">
        <v>43083</v>
      </c>
      <c r="BT1916" s="4">
        <v>0.4236111111111111</v>
      </c>
      <c r="BU1916" s="2" t="s">
        <v>2281</v>
      </c>
      <c r="BV1916" s="2" t="s">
        <v>85</v>
      </c>
      <c r="BY1916" s="2">
        <v>1200</v>
      </c>
      <c r="CA1916" s="2" t="s">
        <v>220</v>
      </c>
      <c r="CC1916" s="2" t="s">
        <v>126</v>
      </c>
      <c r="CD1916" s="2">
        <v>4001</v>
      </c>
      <c r="CE1916" s="2" t="s">
        <v>120</v>
      </c>
      <c r="CF1916" s="3">
        <v>43084</v>
      </c>
      <c r="CI1916" s="2">
        <v>1</v>
      </c>
      <c r="CJ1916" s="2">
        <v>1</v>
      </c>
      <c r="CK1916" s="2">
        <v>21</v>
      </c>
      <c r="CL1916" s="2" t="s">
        <v>89</v>
      </c>
    </row>
    <row r="1917" spans="1:90">
      <c r="A1917" s="2" t="s">
        <v>71</v>
      </c>
      <c r="B1917" s="2" t="s">
        <v>72</v>
      </c>
      <c r="C1917" s="2" t="s">
        <v>73</v>
      </c>
      <c r="E1917" s="2" t="str">
        <f>"FES1162595850"</f>
        <v>FES1162595850</v>
      </c>
      <c r="F1917" s="3">
        <v>43082</v>
      </c>
      <c r="G1917" s="2">
        <v>201806</v>
      </c>
      <c r="H1917" s="2" t="s">
        <v>74</v>
      </c>
      <c r="I1917" s="2" t="s">
        <v>75</v>
      </c>
      <c r="J1917" s="2" t="s">
        <v>97</v>
      </c>
      <c r="K1917" s="2" t="s">
        <v>77</v>
      </c>
      <c r="L1917" s="2" t="s">
        <v>1503</v>
      </c>
      <c r="M1917" s="2" t="s">
        <v>1504</v>
      </c>
      <c r="N1917" s="2" t="s">
        <v>1505</v>
      </c>
      <c r="O1917" s="2" t="s">
        <v>101</v>
      </c>
      <c r="P1917" s="2" t="str">
        <f>"2170607635                    "</f>
        <v xml:space="preserve">2170607635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12.47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89</v>
      </c>
      <c r="BM1917" s="2">
        <v>12.46</v>
      </c>
      <c r="BN1917" s="2">
        <v>101.46</v>
      </c>
      <c r="BO1917" s="2">
        <v>101.46</v>
      </c>
      <c r="BQ1917" s="2" t="s">
        <v>1506</v>
      </c>
      <c r="BR1917" s="2" t="s">
        <v>103</v>
      </c>
      <c r="BS1917" s="3">
        <v>43083</v>
      </c>
      <c r="BT1917" s="4">
        <v>0.5</v>
      </c>
      <c r="BU1917" s="2" t="s">
        <v>2223</v>
      </c>
      <c r="BV1917" s="2" t="s">
        <v>85</v>
      </c>
      <c r="BY1917" s="2">
        <v>1200</v>
      </c>
      <c r="CC1917" s="2" t="s">
        <v>1504</v>
      </c>
      <c r="CD1917" s="2">
        <v>4252</v>
      </c>
      <c r="CE1917" s="2" t="s">
        <v>120</v>
      </c>
      <c r="CF1917" s="3">
        <v>43087</v>
      </c>
      <c r="CI1917" s="2">
        <v>1</v>
      </c>
      <c r="CJ1917" s="2">
        <v>1</v>
      </c>
      <c r="CK1917" s="2">
        <v>23</v>
      </c>
      <c r="CL1917" s="2" t="s">
        <v>89</v>
      </c>
    </row>
    <row r="1918" spans="1:90">
      <c r="A1918" s="2" t="s">
        <v>71</v>
      </c>
      <c r="B1918" s="2" t="s">
        <v>72</v>
      </c>
      <c r="C1918" s="2" t="s">
        <v>73</v>
      </c>
      <c r="E1918" s="2" t="str">
        <f>"FES1162595533"</f>
        <v>FES1162595533</v>
      </c>
      <c r="F1918" s="3">
        <v>43082</v>
      </c>
      <c r="G1918" s="2">
        <v>201806</v>
      </c>
      <c r="H1918" s="2" t="s">
        <v>74</v>
      </c>
      <c r="I1918" s="2" t="s">
        <v>75</v>
      </c>
      <c r="J1918" s="2" t="s">
        <v>97</v>
      </c>
      <c r="K1918" s="2" t="s">
        <v>77</v>
      </c>
      <c r="L1918" s="2" t="s">
        <v>277</v>
      </c>
      <c r="M1918" s="2" t="s">
        <v>278</v>
      </c>
      <c r="N1918" s="2" t="s">
        <v>1699</v>
      </c>
      <c r="O1918" s="2" t="s">
        <v>101</v>
      </c>
      <c r="P1918" s="2" t="str">
        <f>"2170607398                    "</f>
        <v xml:space="preserve">2170607398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5.03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1</v>
      </c>
      <c r="BJ1918" s="2">
        <v>0.2</v>
      </c>
      <c r="BK1918" s="2">
        <v>1</v>
      </c>
      <c r="BL1918" s="2">
        <v>35.89</v>
      </c>
      <c r="BM1918" s="2">
        <v>5.0199999999999996</v>
      </c>
      <c r="BN1918" s="2">
        <v>40.909999999999997</v>
      </c>
      <c r="BO1918" s="2">
        <v>40.909999999999997</v>
      </c>
      <c r="BQ1918" s="2" t="s">
        <v>1700</v>
      </c>
      <c r="BR1918" s="2" t="s">
        <v>103</v>
      </c>
      <c r="BS1918" s="3">
        <v>43083</v>
      </c>
      <c r="BT1918" s="4">
        <v>0.41666666666666669</v>
      </c>
      <c r="BU1918" s="2" t="s">
        <v>1701</v>
      </c>
      <c r="BV1918" s="2" t="s">
        <v>85</v>
      </c>
      <c r="BY1918" s="2">
        <v>1200</v>
      </c>
      <c r="CC1918" s="2" t="s">
        <v>278</v>
      </c>
      <c r="CD1918" s="2">
        <v>2163</v>
      </c>
      <c r="CE1918" s="2" t="s">
        <v>120</v>
      </c>
      <c r="CF1918" s="3">
        <v>43088</v>
      </c>
      <c r="CI1918" s="2">
        <v>1</v>
      </c>
      <c r="CJ1918" s="2">
        <v>1</v>
      </c>
      <c r="CK1918" s="2">
        <v>22</v>
      </c>
      <c r="CL1918" s="2" t="s">
        <v>89</v>
      </c>
    </row>
    <row r="1919" spans="1:90">
      <c r="A1919" s="2" t="s">
        <v>71</v>
      </c>
      <c r="B1919" s="2" t="s">
        <v>72</v>
      </c>
      <c r="C1919" s="2" t="s">
        <v>73</v>
      </c>
      <c r="E1919" s="2" t="str">
        <f>"FES1162595861"</f>
        <v>FES1162595861</v>
      </c>
      <c r="F1919" s="3">
        <v>43082</v>
      </c>
      <c r="G1919" s="2">
        <v>201806</v>
      </c>
      <c r="H1919" s="2" t="s">
        <v>74</v>
      </c>
      <c r="I1919" s="2" t="s">
        <v>75</v>
      </c>
      <c r="J1919" s="2" t="s">
        <v>97</v>
      </c>
      <c r="K1919" s="2" t="s">
        <v>77</v>
      </c>
      <c r="L1919" s="2" t="s">
        <v>759</v>
      </c>
      <c r="M1919" s="2" t="s">
        <v>760</v>
      </c>
      <c r="N1919" s="2" t="s">
        <v>1476</v>
      </c>
      <c r="O1919" s="2" t="s">
        <v>101</v>
      </c>
      <c r="P1919" s="2" t="str">
        <f>"21706067694                   "</f>
        <v xml:space="preserve">21706067694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6.43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1</v>
      </c>
      <c r="BJ1919" s="2">
        <v>0.2</v>
      </c>
      <c r="BK1919" s="2">
        <v>1</v>
      </c>
      <c r="BL1919" s="2">
        <v>45.93</v>
      </c>
      <c r="BM1919" s="2">
        <v>6.43</v>
      </c>
      <c r="BN1919" s="2">
        <v>52.36</v>
      </c>
      <c r="BO1919" s="2">
        <v>52.36</v>
      </c>
      <c r="BQ1919" s="2" t="s">
        <v>82</v>
      </c>
      <c r="BR1919" s="2" t="s">
        <v>103</v>
      </c>
      <c r="BS1919" s="3">
        <v>43083</v>
      </c>
      <c r="BT1919" s="4">
        <v>0.39999999999999997</v>
      </c>
      <c r="BU1919" s="2" t="s">
        <v>2282</v>
      </c>
      <c r="BV1919" s="2" t="s">
        <v>85</v>
      </c>
      <c r="BY1919" s="2">
        <v>1200</v>
      </c>
      <c r="CA1919" s="2" t="s">
        <v>578</v>
      </c>
      <c r="CC1919" s="2" t="s">
        <v>760</v>
      </c>
      <c r="CD1919" s="2">
        <v>4026</v>
      </c>
      <c r="CE1919" s="2" t="s">
        <v>120</v>
      </c>
      <c r="CF1919" s="3">
        <v>43084</v>
      </c>
      <c r="CI1919" s="2">
        <v>1</v>
      </c>
      <c r="CJ1919" s="2">
        <v>1</v>
      </c>
      <c r="CK1919" s="2">
        <v>21</v>
      </c>
      <c r="CL1919" s="2" t="s">
        <v>89</v>
      </c>
    </row>
    <row r="1920" spans="1:90">
      <c r="A1920" s="2" t="s">
        <v>71</v>
      </c>
      <c r="B1920" s="2" t="s">
        <v>72</v>
      </c>
      <c r="C1920" s="2" t="s">
        <v>73</v>
      </c>
      <c r="E1920" s="2" t="str">
        <f>"FES1162595856"</f>
        <v>FES1162595856</v>
      </c>
      <c r="F1920" s="3">
        <v>43082</v>
      </c>
      <c r="G1920" s="2">
        <v>201806</v>
      </c>
      <c r="H1920" s="2" t="s">
        <v>74</v>
      </c>
      <c r="I1920" s="2" t="s">
        <v>75</v>
      </c>
      <c r="J1920" s="2" t="s">
        <v>97</v>
      </c>
      <c r="K1920" s="2" t="s">
        <v>77</v>
      </c>
      <c r="L1920" s="2" t="s">
        <v>111</v>
      </c>
      <c r="M1920" s="2" t="s">
        <v>112</v>
      </c>
      <c r="N1920" s="2" t="s">
        <v>113</v>
      </c>
      <c r="O1920" s="2" t="s">
        <v>101</v>
      </c>
      <c r="P1920" s="2" t="str">
        <f>"2170606752                    "</f>
        <v xml:space="preserve">2170606752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6.43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45.93</v>
      </c>
      <c r="BM1920" s="2">
        <v>6.43</v>
      </c>
      <c r="BN1920" s="2">
        <v>52.36</v>
      </c>
      <c r="BO1920" s="2">
        <v>52.36</v>
      </c>
      <c r="BQ1920" s="2" t="s">
        <v>82</v>
      </c>
      <c r="BR1920" s="2" t="s">
        <v>103</v>
      </c>
      <c r="BS1920" s="3">
        <v>43083</v>
      </c>
      <c r="BT1920" s="4">
        <v>0.38194444444444442</v>
      </c>
      <c r="BU1920" s="2" t="s">
        <v>114</v>
      </c>
      <c r="BV1920" s="2" t="s">
        <v>85</v>
      </c>
      <c r="BY1920" s="2">
        <v>1200</v>
      </c>
      <c r="CC1920" s="2" t="s">
        <v>112</v>
      </c>
      <c r="CD1920" s="2">
        <v>6220</v>
      </c>
      <c r="CE1920" s="2" t="s">
        <v>120</v>
      </c>
      <c r="CF1920" s="3">
        <v>43084</v>
      </c>
      <c r="CI1920" s="2">
        <v>1</v>
      </c>
      <c r="CJ1920" s="2">
        <v>1</v>
      </c>
      <c r="CK1920" s="2">
        <v>21</v>
      </c>
      <c r="CL1920" s="2" t="s">
        <v>89</v>
      </c>
    </row>
    <row r="1921" spans="1:90">
      <c r="A1921" s="2" t="s">
        <v>71</v>
      </c>
      <c r="B1921" s="2" t="s">
        <v>72</v>
      </c>
      <c r="C1921" s="2" t="s">
        <v>73</v>
      </c>
      <c r="E1921" s="2" t="str">
        <f>"FES1162595855"</f>
        <v>FES1162595855</v>
      </c>
      <c r="F1921" s="3">
        <v>43082</v>
      </c>
      <c r="G1921" s="2">
        <v>201806</v>
      </c>
      <c r="H1921" s="2" t="s">
        <v>74</v>
      </c>
      <c r="I1921" s="2" t="s">
        <v>75</v>
      </c>
      <c r="J1921" s="2" t="s">
        <v>97</v>
      </c>
      <c r="K1921" s="2" t="s">
        <v>77</v>
      </c>
      <c r="L1921" s="2" t="s">
        <v>111</v>
      </c>
      <c r="M1921" s="2" t="s">
        <v>112</v>
      </c>
      <c r="N1921" s="2" t="s">
        <v>113</v>
      </c>
      <c r="O1921" s="2" t="s">
        <v>101</v>
      </c>
      <c r="P1921" s="2" t="str">
        <f>"2170607239                    "</f>
        <v xml:space="preserve">2170607239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6.43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1</v>
      </c>
      <c r="BJ1921" s="2">
        <v>0.2</v>
      </c>
      <c r="BK1921" s="2">
        <v>1</v>
      </c>
      <c r="BL1921" s="2">
        <v>45.93</v>
      </c>
      <c r="BM1921" s="2">
        <v>6.43</v>
      </c>
      <c r="BN1921" s="2">
        <v>52.36</v>
      </c>
      <c r="BO1921" s="2">
        <v>52.36</v>
      </c>
      <c r="BQ1921" s="2" t="s">
        <v>82</v>
      </c>
      <c r="BR1921" s="2" t="s">
        <v>103</v>
      </c>
      <c r="BS1921" s="3">
        <v>43083</v>
      </c>
      <c r="BT1921" s="4">
        <v>0.38194444444444442</v>
      </c>
      <c r="BU1921" s="2" t="s">
        <v>114</v>
      </c>
      <c r="BV1921" s="2" t="s">
        <v>85</v>
      </c>
      <c r="BY1921" s="2">
        <v>1200</v>
      </c>
      <c r="CC1921" s="2" t="s">
        <v>112</v>
      </c>
      <c r="CD1921" s="2">
        <v>6220</v>
      </c>
      <c r="CE1921" s="2" t="s">
        <v>120</v>
      </c>
      <c r="CF1921" s="3">
        <v>43084</v>
      </c>
      <c r="CI1921" s="2">
        <v>1</v>
      </c>
      <c r="CJ1921" s="2">
        <v>1</v>
      </c>
      <c r="CK1921" s="2">
        <v>21</v>
      </c>
      <c r="CL1921" s="2" t="s">
        <v>89</v>
      </c>
    </row>
    <row r="1922" spans="1:90">
      <c r="A1922" s="2" t="s">
        <v>71</v>
      </c>
      <c r="B1922" s="2" t="s">
        <v>72</v>
      </c>
      <c r="C1922" s="2" t="s">
        <v>73</v>
      </c>
      <c r="E1922" s="2" t="str">
        <f>"FES1162595854"</f>
        <v>FES1162595854</v>
      </c>
      <c r="F1922" s="3">
        <v>43082</v>
      </c>
      <c r="G1922" s="2">
        <v>201806</v>
      </c>
      <c r="H1922" s="2" t="s">
        <v>74</v>
      </c>
      <c r="I1922" s="2" t="s">
        <v>75</v>
      </c>
      <c r="J1922" s="2" t="s">
        <v>97</v>
      </c>
      <c r="K1922" s="2" t="s">
        <v>77</v>
      </c>
      <c r="L1922" s="2" t="s">
        <v>152</v>
      </c>
      <c r="M1922" s="2" t="s">
        <v>153</v>
      </c>
      <c r="N1922" s="2" t="s">
        <v>725</v>
      </c>
      <c r="O1922" s="2" t="s">
        <v>101</v>
      </c>
      <c r="P1922" s="2" t="str">
        <f>"2170607690                    "</f>
        <v xml:space="preserve">2170607690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5.03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2</v>
      </c>
      <c r="BJ1922" s="2">
        <v>0.8</v>
      </c>
      <c r="BK1922" s="2">
        <v>2</v>
      </c>
      <c r="BL1922" s="2">
        <v>35.89</v>
      </c>
      <c r="BM1922" s="2">
        <v>5.0199999999999996</v>
      </c>
      <c r="BN1922" s="2">
        <v>40.909999999999997</v>
      </c>
      <c r="BO1922" s="2">
        <v>40.909999999999997</v>
      </c>
      <c r="BQ1922" s="2" t="s">
        <v>102</v>
      </c>
      <c r="BR1922" s="2" t="s">
        <v>103</v>
      </c>
      <c r="BS1922" s="3">
        <v>43083</v>
      </c>
      <c r="BT1922" s="4">
        <v>0.42083333333333334</v>
      </c>
      <c r="BU1922" s="2" t="s">
        <v>1160</v>
      </c>
      <c r="BV1922" s="2" t="s">
        <v>85</v>
      </c>
      <c r="BY1922" s="2">
        <v>3844</v>
      </c>
      <c r="CA1922" s="2" t="s">
        <v>439</v>
      </c>
      <c r="CC1922" s="2" t="s">
        <v>153</v>
      </c>
      <c r="CD1922" s="2">
        <v>1428</v>
      </c>
      <c r="CE1922" s="2" t="s">
        <v>87</v>
      </c>
      <c r="CF1922" s="3">
        <v>43087</v>
      </c>
      <c r="CI1922" s="2">
        <v>1</v>
      </c>
      <c r="CJ1922" s="2">
        <v>1</v>
      </c>
      <c r="CK1922" s="2">
        <v>22</v>
      </c>
      <c r="CL1922" s="2" t="s">
        <v>89</v>
      </c>
    </row>
    <row r="1923" spans="1:90">
      <c r="A1923" s="2" t="s">
        <v>71</v>
      </c>
      <c r="B1923" s="2" t="s">
        <v>72</v>
      </c>
      <c r="C1923" s="2" t="s">
        <v>73</v>
      </c>
      <c r="E1923" s="2" t="str">
        <f>"FES1162595809"</f>
        <v>FES1162595809</v>
      </c>
      <c r="F1923" s="3">
        <v>43082</v>
      </c>
      <c r="G1923" s="2">
        <v>201806</v>
      </c>
      <c r="H1923" s="2" t="s">
        <v>74</v>
      </c>
      <c r="I1923" s="2" t="s">
        <v>75</v>
      </c>
      <c r="J1923" s="2" t="s">
        <v>97</v>
      </c>
      <c r="K1923" s="2" t="s">
        <v>77</v>
      </c>
      <c r="L1923" s="2" t="s">
        <v>115</v>
      </c>
      <c r="M1923" s="2" t="s">
        <v>116</v>
      </c>
      <c r="N1923" s="2" t="s">
        <v>698</v>
      </c>
      <c r="O1923" s="2" t="s">
        <v>101</v>
      </c>
      <c r="P1923" s="2" t="str">
        <f>"2170603346                    "</f>
        <v xml:space="preserve">2170603346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5.03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6</v>
      </c>
      <c r="BJ1923" s="2">
        <v>2.6</v>
      </c>
      <c r="BK1923" s="2">
        <v>6</v>
      </c>
      <c r="BL1923" s="2">
        <v>35.89</v>
      </c>
      <c r="BM1923" s="2">
        <v>5.0199999999999996</v>
      </c>
      <c r="BN1923" s="2">
        <v>40.909999999999997</v>
      </c>
      <c r="BO1923" s="2">
        <v>40.909999999999997</v>
      </c>
      <c r="BQ1923" s="2" t="s">
        <v>142</v>
      </c>
      <c r="BR1923" s="2" t="s">
        <v>103</v>
      </c>
      <c r="BS1923" s="3">
        <v>43083</v>
      </c>
      <c r="BT1923" s="4">
        <v>0.35486111111111113</v>
      </c>
      <c r="BU1923" s="2" t="s">
        <v>2283</v>
      </c>
      <c r="BV1923" s="2" t="s">
        <v>85</v>
      </c>
      <c r="BY1923" s="2">
        <v>13200</v>
      </c>
      <c r="CA1923" s="2" t="s">
        <v>386</v>
      </c>
      <c r="CC1923" s="2" t="s">
        <v>116</v>
      </c>
      <c r="CD1923" s="2">
        <v>1459</v>
      </c>
      <c r="CE1923" s="2" t="s">
        <v>87</v>
      </c>
      <c r="CF1923" s="3">
        <v>43084</v>
      </c>
      <c r="CI1923" s="2">
        <v>1</v>
      </c>
      <c r="CJ1923" s="2">
        <v>1</v>
      </c>
      <c r="CK1923" s="2">
        <v>22</v>
      </c>
      <c r="CL1923" s="2" t="s">
        <v>89</v>
      </c>
    </row>
    <row r="1924" spans="1:90">
      <c r="A1924" s="2" t="s">
        <v>71</v>
      </c>
      <c r="B1924" s="2" t="s">
        <v>72</v>
      </c>
      <c r="C1924" s="2" t="s">
        <v>73</v>
      </c>
      <c r="E1924" s="2" t="str">
        <f>"FES1162595695"</f>
        <v>FES1162595695</v>
      </c>
      <c r="F1924" s="3">
        <v>43082</v>
      </c>
      <c r="G1924" s="2">
        <v>201806</v>
      </c>
      <c r="H1924" s="2" t="s">
        <v>74</v>
      </c>
      <c r="I1924" s="2" t="s">
        <v>75</v>
      </c>
      <c r="J1924" s="2" t="s">
        <v>97</v>
      </c>
      <c r="K1924" s="2" t="s">
        <v>77</v>
      </c>
      <c r="L1924" s="2" t="s">
        <v>158</v>
      </c>
      <c r="M1924" s="2" t="s">
        <v>159</v>
      </c>
      <c r="N1924" s="2" t="s">
        <v>1148</v>
      </c>
      <c r="O1924" s="2" t="s">
        <v>101</v>
      </c>
      <c r="P1924" s="2" t="str">
        <f>"2170606742                    "</f>
        <v xml:space="preserve">2170606742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6.43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1</v>
      </c>
      <c r="BJ1924" s="2">
        <v>0.2</v>
      </c>
      <c r="BK1924" s="2">
        <v>1</v>
      </c>
      <c r="BL1924" s="2">
        <v>45.93</v>
      </c>
      <c r="BM1924" s="2">
        <v>6.43</v>
      </c>
      <c r="BN1924" s="2">
        <v>52.36</v>
      </c>
      <c r="BO1924" s="2">
        <v>52.36</v>
      </c>
      <c r="BQ1924" s="2" t="s">
        <v>102</v>
      </c>
      <c r="BR1924" s="2" t="s">
        <v>103</v>
      </c>
      <c r="BS1924" s="3">
        <v>43083</v>
      </c>
      <c r="BT1924" s="4">
        <v>0.44444444444444442</v>
      </c>
      <c r="BU1924" s="2" t="s">
        <v>1160</v>
      </c>
      <c r="BV1924" s="2" t="s">
        <v>85</v>
      </c>
      <c r="BY1924" s="2">
        <v>1200</v>
      </c>
      <c r="CC1924" s="2" t="s">
        <v>159</v>
      </c>
      <c r="CD1924" s="2">
        <v>200</v>
      </c>
      <c r="CE1924" s="2" t="s">
        <v>120</v>
      </c>
      <c r="CF1924" s="3">
        <v>43087</v>
      </c>
      <c r="CI1924" s="2">
        <v>1</v>
      </c>
      <c r="CJ1924" s="2">
        <v>1</v>
      </c>
      <c r="CK1924" s="2">
        <v>21</v>
      </c>
      <c r="CL1924" s="2" t="s">
        <v>89</v>
      </c>
    </row>
    <row r="1925" spans="1:90">
      <c r="A1925" s="2" t="s">
        <v>71</v>
      </c>
      <c r="B1925" s="2" t="s">
        <v>72</v>
      </c>
      <c r="C1925" s="2" t="s">
        <v>73</v>
      </c>
      <c r="E1925" s="2" t="str">
        <f>"FES1162595737"</f>
        <v>FES1162595737</v>
      </c>
      <c r="F1925" s="3">
        <v>43082</v>
      </c>
      <c r="G1925" s="2">
        <v>201806</v>
      </c>
      <c r="H1925" s="2" t="s">
        <v>74</v>
      </c>
      <c r="I1925" s="2" t="s">
        <v>75</v>
      </c>
      <c r="J1925" s="2" t="s">
        <v>97</v>
      </c>
      <c r="K1925" s="2" t="s">
        <v>77</v>
      </c>
      <c r="L1925" s="2" t="s">
        <v>173</v>
      </c>
      <c r="M1925" s="2" t="s">
        <v>174</v>
      </c>
      <c r="N1925" s="2" t="s">
        <v>2284</v>
      </c>
      <c r="O1925" s="2" t="s">
        <v>101</v>
      </c>
      <c r="P1925" s="2" t="str">
        <f>"2170603174                    "</f>
        <v xml:space="preserve">2170603174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12.87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3.6</v>
      </c>
      <c r="BJ1925" s="2">
        <v>1</v>
      </c>
      <c r="BK1925" s="2">
        <v>4</v>
      </c>
      <c r="BL1925" s="2">
        <v>91.85</v>
      </c>
      <c r="BM1925" s="2">
        <v>12.86</v>
      </c>
      <c r="BN1925" s="2">
        <v>104.71</v>
      </c>
      <c r="BO1925" s="2">
        <v>104.71</v>
      </c>
      <c r="BQ1925" s="2" t="s">
        <v>2285</v>
      </c>
      <c r="BR1925" s="2" t="s">
        <v>103</v>
      </c>
      <c r="BS1925" s="3">
        <v>43083</v>
      </c>
      <c r="BT1925" s="4">
        <v>0.42986111111111108</v>
      </c>
      <c r="BU1925" s="2" t="s">
        <v>2286</v>
      </c>
      <c r="BV1925" s="2" t="s">
        <v>85</v>
      </c>
      <c r="BY1925" s="2">
        <v>4755.17</v>
      </c>
      <c r="CA1925" s="2" t="s">
        <v>1389</v>
      </c>
      <c r="CC1925" s="2" t="s">
        <v>174</v>
      </c>
      <c r="CD1925" s="2">
        <v>7460</v>
      </c>
      <c r="CE1925" s="2" t="s">
        <v>87</v>
      </c>
      <c r="CF1925" s="3">
        <v>43084</v>
      </c>
      <c r="CI1925" s="2">
        <v>1</v>
      </c>
      <c r="CJ1925" s="2">
        <v>1</v>
      </c>
      <c r="CK1925" s="2">
        <v>21</v>
      </c>
      <c r="CL1925" s="2" t="s">
        <v>89</v>
      </c>
    </row>
    <row r="1926" spans="1:90">
      <c r="A1926" s="2" t="s">
        <v>71</v>
      </c>
      <c r="B1926" s="2" t="s">
        <v>72</v>
      </c>
      <c r="C1926" s="2" t="s">
        <v>73</v>
      </c>
      <c r="E1926" s="2" t="str">
        <f>"FES1162595691"</f>
        <v>FES1162595691</v>
      </c>
      <c r="F1926" s="3">
        <v>43082</v>
      </c>
      <c r="G1926" s="2">
        <v>201806</v>
      </c>
      <c r="H1926" s="2" t="s">
        <v>74</v>
      </c>
      <c r="I1926" s="2" t="s">
        <v>75</v>
      </c>
      <c r="J1926" s="2" t="s">
        <v>97</v>
      </c>
      <c r="K1926" s="2" t="s">
        <v>77</v>
      </c>
      <c r="L1926" s="2" t="s">
        <v>173</v>
      </c>
      <c r="M1926" s="2" t="s">
        <v>174</v>
      </c>
      <c r="N1926" s="2" t="s">
        <v>1387</v>
      </c>
      <c r="O1926" s="2" t="s">
        <v>101</v>
      </c>
      <c r="P1926" s="2" t="str">
        <f>"2170607534                    "</f>
        <v xml:space="preserve">2170607534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6.43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1.5</v>
      </c>
      <c r="BK1926" s="2">
        <v>1.5</v>
      </c>
      <c r="BL1926" s="2">
        <v>45.93</v>
      </c>
      <c r="BM1926" s="2">
        <v>6.43</v>
      </c>
      <c r="BN1926" s="2">
        <v>52.36</v>
      </c>
      <c r="BO1926" s="2">
        <v>52.36</v>
      </c>
      <c r="BQ1926" s="2" t="s">
        <v>82</v>
      </c>
      <c r="BR1926" s="2" t="s">
        <v>103</v>
      </c>
      <c r="BS1926" s="3">
        <v>43083</v>
      </c>
      <c r="BT1926" s="4">
        <v>0.4069444444444445</v>
      </c>
      <c r="BU1926" s="2" t="s">
        <v>2287</v>
      </c>
      <c r="BV1926" s="2" t="s">
        <v>85</v>
      </c>
      <c r="BY1926" s="2">
        <v>7540</v>
      </c>
      <c r="CA1926" s="2" t="s">
        <v>1389</v>
      </c>
      <c r="CC1926" s="2" t="s">
        <v>174</v>
      </c>
      <c r="CD1926" s="2">
        <v>7460</v>
      </c>
      <c r="CE1926" s="2" t="s">
        <v>95</v>
      </c>
      <c r="CF1926" s="3">
        <v>43084</v>
      </c>
      <c r="CI1926" s="2">
        <v>1</v>
      </c>
      <c r="CJ1926" s="2">
        <v>1</v>
      </c>
      <c r="CK1926" s="2">
        <v>21</v>
      </c>
      <c r="CL1926" s="2" t="s">
        <v>89</v>
      </c>
    </row>
    <row r="1927" spans="1:90">
      <c r="A1927" s="2" t="s">
        <v>71</v>
      </c>
      <c r="B1927" s="2" t="s">
        <v>72</v>
      </c>
      <c r="C1927" s="2" t="s">
        <v>73</v>
      </c>
      <c r="E1927" s="2" t="str">
        <f>"FES1162595712"</f>
        <v>FES1162595712</v>
      </c>
      <c r="F1927" s="3">
        <v>43082</v>
      </c>
      <c r="G1927" s="2">
        <v>201806</v>
      </c>
      <c r="H1927" s="2" t="s">
        <v>74</v>
      </c>
      <c r="I1927" s="2" t="s">
        <v>75</v>
      </c>
      <c r="J1927" s="2" t="s">
        <v>97</v>
      </c>
      <c r="K1927" s="2" t="s">
        <v>77</v>
      </c>
      <c r="L1927" s="2" t="s">
        <v>173</v>
      </c>
      <c r="M1927" s="2" t="s">
        <v>174</v>
      </c>
      <c r="N1927" s="2" t="s">
        <v>376</v>
      </c>
      <c r="O1927" s="2" t="s">
        <v>101</v>
      </c>
      <c r="P1927" s="2" t="str">
        <f>"2170601405                    "</f>
        <v xml:space="preserve">2170601405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16.079999999999998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5</v>
      </c>
      <c r="BJ1927" s="2">
        <v>4.0999999999999996</v>
      </c>
      <c r="BK1927" s="2">
        <v>5</v>
      </c>
      <c r="BL1927" s="2">
        <v>114.8</v>
      </c>
      <c r="BM1927" s="2">
        <v>16.07</v>
      </c>
      <c r="BN1927" s="2">
        <v>130.87</v>
      </c>
      <c r="BO1927" s="2">
        <v>130.87</v>
      </c>
      <c r="BQ1927" s="2" t="s">
        <v>364</v>
      </c>
      <c r="BR1927" s="2" t="s">
        <v>103</v>
      </c>
      <c r="BS1927" s="3">
        <v>43083</v>
      </c>
      <c r="BT1927" s="4">
        <v>0.44444444444444442</v>
      </c>
      <c r="BU1927" s="2" t="s">
        <v>2288</v>
      </c>
      <c r="BV1927" s="2" t="s">
        <v>85</v>
      </c>
      <c r="BY1927" s="2">
        <v>20358</v>
      </c>
      <c r="CA1927" s="2" t="s">
        <v>378</v>
      </c>
      <c r="CC1927" s="2" t="s">
        <v>174</v>
      </c>
      <c r="CD1927" s="2">
        <v>7490</v>
      </c>
      <c r="CE1927" s="2" t="s">
        <v>95</v>
      </c>
      <c r="CF1927" s="3">
        <v>43084</v>
      </c>
      <c r="CI1927" s="2">
        <v>1</v>
      </c>
      <c r="CJ1927" s="2">
        <v>1</v>
      </c>
      <c r="CK1927" s="2">
        <v>21</v>
      </c>
      <c r="CL1927" s="2" t="s">
        <v>89</v>
      </c>
    </row>
    <row r="1928" spans="1:90">
      <c r="A1928" s="2" t="s">
        <v>71</v>
      </c>
      <c r="B1928" s="2" t="s">
        <v>72</v>
      </c>
      <c r="C1928" s="2" t="s">
        <v>73</v>
      </c>
      <c r="E1928" s="2" t="str">
        <f>"FES1162595651"</f>
        <v>FES1162595651</v>
      </c>
      <c r="F1928" s="3">
        <v>43082</v>
      </c>
      <c r="G1928" s="2">
        <v>201806</v>
      </c>
      <c r="H1928" s="2" t="s">
        <v>74</v>
      </c>
      <c r="I1928" s="2" t="s">
        <v>75</v>
      </c>
      <c r="J1928" s="2" t="s">
        <v>97</v>
      </c>
      <c r="K1928" s="2" t="s">
        <v>77</v>
      </c>
      <c r="L1928" s="2" t="s">
        <v>173</v>
      </c>
      <c r="M1928" s="2" t="s">
        <v>174</v>
      </c>
      <c r="N1928" s="2" t="s">
        <v>467</v>
      </c>
      <c r="O1928" s="2" t="s">
        <v>101</v>
      </c>
      <c r="P1928" s="2" t="str">
        <f>"2170607325                    "</f>
        <v xml:space="preserve">2170607325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6.43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1</v>
      </c>
      <c r="BJ1928" s="2">
        <v>0.2</v>
      </c>
      <c r="BK1928" s="2">
        <v>1</v>
      </c>
      <c r="BL1928" s="2">
        <v>45.93</v>
      </c>
      <c r="BM1928" s="2">
        <v>6.43</v>
      </c>
      <c r="BN1928" s="2">
        <v>52.36</v>
      </c>
      <c r="BO1928" s="2">
        <v>52.36</v>
      </c>
      <c r="BQ1928" s="2" t="s">
        <v>102</v>
      </c>
      <c r="BR1928" s="2" t="s">
        <v>103</v>
      </c>
      <c r="BS1928" s="3">
        <v>43083</v>
      </c>
      <c r="BT1928" s="4">
        <v>0.37847222222222227</v>
      </c>
      <c r="BU1928" s="2" t="s">
        <v>2289</v>
      </c>
      <c r="BV1928" s="2" t="s">
        <v>85</v>
      </c>
      <c r="BY1928" s="2">
        <v>1200</v>
      </c>
      <c r="CA1928" s="2" t="s">
        <v>469</v>
      </c>
      <c r="CC1928" s="2" t="s">
        <v>174</v>
      </c>
      <c r="CD1928" s="2">
        <v>7802</v>
      </c>
      <c r="CE1928" s="2" t="s">
        <v>120</v>
      </c>
      <c r="CF1928" s="3">
        <v>43084</v>
      </c>
      <c r="CI1928" s="2">
        <v>1</v>
      </c>
      <c r="CJ1928" s="2">
        <v>1</v>
      </c>
      <c r="CK1928" s="2">
        <v>21</v>
      </c>
      <c r="CL1928" s="2" t="s">
        <v>89</v>
      </c>
    </row>
    <row r="1929" spans="1:90">
      <c r="A1929" s="2" t="s">
        <v>71</v>
      </c>
      <c r="B1929" s="2" t="s">
        <v>72</v>
      </c>
      <c r="C1929" s="2" t="s">
        <v>73</v>
      </c>
      <c r="E1929" s="2" t="str">
        <f>"FES1162595716"</f>
        <v>FES1162595716</v>
      </c>
      <c r="F1929" s="3">
        <v>43082</v>
      </c>
      <c r="G1929" s="2">
        <v>201806</v>
      </c>
      <c r="H1929" s="2" t="s">
        <v>74</v>
      </c>
      <c r="I1929" s="2" t="s">
        <v>75</v>
      </c>
      <c r="J1929" s="2" t="s">
        <v>97</v>
      </c>
      <c r="K1929" s="2" t="s">
        <v>77</v>
      </c>
      <c r="L1929" s="2" t="s">
        <v>212</v>
      </c>
      <c r="M1929" s="2" t="s">
        <v>212</v>
      </c>
      <c r="N1929" s="2" t="s">
        <v>213</v>
      </c>
      <c r="O1929" s="2" t="s">
        <v>101</v>
      </c>
      <c r="P1929" s="2" t="str">
        <f>"2170602228                    "</f>
        <v xml:space="preserve">2170602228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14.47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1</v>
      </c>
      <c r="BJ1929" s="2">
        <v>4.0999999999999996</v>
      </c>
      <c r="BK1929" s="2">
        <v>4.5</v>
      </c>
      <c r="BL1929" s="2">
        <v>103.32</v>
      </c>
      <c r="BM1929" s="2">
        <v>14.46</v>
      </c>
      <c r="BN1929" s="2">
        <v>117.78</v>
      </c>
      <c r="BO1929" s="2">
        <v>117.78</v>
      </c>
      <c r="BQ1929" s="2" t="s">
        <v>102</v>
      </c>
      <c r="BR1929" s="2" t="s">
        <v>103</v>
      </c>
      <c r="BS1929" s="3">
        <v>43083</v>
      </c>
      <c r="BT1929" s="4">
        <v>0.57222222222222219</v>
      </c>
      <c r="BU1929" s="2" t="s">
        <v>161</v>
      </c>
      <c r="BV1929" s="2" t="s">
        <v>85</v>
      </c>
      <c r="BY1929" s="2">
        <v>20358</v>
      </c>
      <c r="CC1929" s="2" t="s">
        <v>212</v>
      </c>
      <c r="CD1929" s="2">
        <v>7646</v>
      </c>
      <c r="CE1929" s="2" t="s">
        <v>95</v>
      </c>
      <c r="CF1929" s="3">
        <v>43084</v>
      </c>
      <c r="CI1929" s="2">
        <v>1</v>
      </c>
      <c r="CJ1929" s="2">
        <v>1</v>
      </c>
      <c r="CK1929" s="2">
        <v>21</v>
      </c>
      <c r="CL1929" s="2" t="s">
        <v>89</v>
      </c>
    </row>
    <row r="1930" spans="1:90">
      <c r="A1930" s="2" t="s">
        <v>71</v>
      </c>
      <c r="B1930" s="2" t="s">
        <v>72</v>
      </c>
      <c r="C1930" s="2" t="s">
        <v>73</v>
      </c>
      <c r="E1930" s="2" t="str">
        <f>"FES1162595822"</f>
        <v>FES1162595822</v>
      </c>
      <c r="F1930" s="3">
        <v>43082</v>
      </c>
      <c r="G1930" s="2">
        <v>201806</v>
      </c>
      <c r="H1930" s="2" t="s">
        <v>74</v>
      </c>
      <c r="I1930" s="2" t="s">
        <v>75</v>
      </c>
      <c r="J1930" s="2" t="s">
        <v>97</v>
      </c>
      <c r="K1930" s="2" t="s">
        <v>77</v>
      </c>
      <c r="L1930" s="2" t="s">
        <v>759</v>
      </c>
      <c r="M1930" s="2" t="s">
        <v>760</v>
      </c>
      <c r="N1930" s="2" t="s">
        <v>761</v>
      </c>
      <c r="O1930" s="2" t="s">
        <v>101</v>
      </c>
      <c r="P1930" s="2" t="str">
        <f>"2170607641                    "</f>
        <v xml:space="preserve">2170607641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6.43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45.93</v>
      </c>
      <c r="BM1930" s="2">
        <v>6.43</v>
      </c>
      <c r="BN1930" s="2">
        <v>52.36</v>
      </c>
      <c r="BO1930" s="2">
        <v>52.36</v>
      </c>
      <c r="BQ1930" s="2" t="s">
        <v>82</v>
      </c>
      <c r="BR1930" s="2" t="s">
        <v>103</v>
      </c>
      <c r="BS1930" s="3">
        <v>43083</v>
      </c>
      <c r="BT1930" s="4">
        <v>0.36180555555555555</v>
      </c>
      <c r="BU1930" s="2" t="s">
        <v>1284</v>
      </c>
      <c r="BV1930" s="2" t="s">
        <v>85</v>
      </c>
      <c r="BY1930" s="2">
        <v>1200</v>
      </c>
      <c r="CA1930" s="2" t="s">
        <v>578</v>
      </c>
      <c r="CC1930" s="2" t="s">
        <v>760</v>
      </c>
      <c r="CD1930" s="2">
        <v>4026</v>
      </c>
      <c r="CE1930" s="2" t="s">
        <v>120</v>
      </c>
      <c r="CF1930" s="3">
        <v>43084</v>
      </c>
      <c r="CI1930" s="2">
        <v>1</v>
      </c>
      <c r="CJ1930" s="2">
        <v>1</v>
      </c>
      <c r="CK1930" s="2">
        <v>21</v>
      </c>
      <c r="CL1930" s="2" t="s">
        <v>89</v>
      </c>
    </row>
    <row r="1931" spans="1:90">
      <c r="A1931" s="2" t="s">
        <v>71</v>
      </c>
      <c r="B1931" s="2" t="s">
        <v>72</v>
      </c>
      <c r="C1931" s="2" t="s">
        <v>73</v>
      </c>
      <c r="E1931" s="2" t="str">
        <f>"FES1162595773"</f>
        <v>FES1162595773</v>
      </c>
      <c r="F1931" s="3">
        <v>43082</v>
      </c>
      <c r="G1931" s="2">
        <v>201806</v>
      </c>
      <c r="H1931" s="2" t="s">
        <v>74</v>
      </c>
      <c r="I1931" s="2" t="s">
        <v>75</v>
      </c>
      <c r="J1931" s="2" t="s">
        <v>97</v>
      </c>
      <c r="K1931" s="2" t="s">
        <v>77</v>
      </c>
      <c r="L1931" s="2" t="s">
        <v>136</v>
      </c>
      <c r="M1931" s="2" t="s">
        <v>137</v>
      </c>
      <c r="N1931" s="2" t="s">
        <v>1385</v>
      </c>
      <c r="O1931" s="2" t="s">
        <v>101</v>
      </c>
      <c r="P1931" s="2" t="str">
        <f>"2170607588                    "</f>
        <v xml:space="preserve">2170607588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6.43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1</v>
      </c>
      <c r="BJ1931" s="2">
        <v>0.2</v>
      </c>
      <c r="BK1931" s="2">
        <v>1</v>
      </c>
      <c r="BL1931" s="2">
        <v>45.93</v>
      </c>
      <c r="BM1931" s="2">
        <v>6.43</v>
      </c>
      <c r="BN1931" s="2">
        <v>52.36</v>
      </c>
      <c r="BO1931" s="2">
        <v>52.36</v>
      </c>
      <c r="BQ1931" s="2" t="s">
        <v>1386</v>
      </c>
      <c r="BR1931" s="2" t="s">
        <v>103</v>
      </c>
      <c r="BS1931" s="3">
        <v>43083</v>
      </c>
      <c r="BT1931" s="4">
        <v>0.4236111111111111</v>
      </c>
      <c r="BU1931" s="2" t="s">
        <v>114</v>
      </c>
      <c r="BV1931" s="2" t="s">
        <v>85</v>
      </c>
      <c r="BY1931" s="2">
        <v>1200</v>
      </c>
      <c r="CC1931" s="2" t="s">
        <v>137</v>
      </c>
      <c r="CD1931" s="2">
        <v>6001</v>
      </c>
      <c r="CE1931" s="2" t="s">
        <v>120</v>
      </c>
      <c r="CF1931" s="3">
        <v>43084</v>
      </c>
      <c r="CI1931" s="2">
        <v>1</v>
      </c>
      <c r="CJ1931" s="2">
        <v>1</v>
      </c>
      <c r="CK1931" s="2">
        <v>21</v>
      </c>
      <c r="CL1931" s="2" t="s">
        <v>89</v>
      </c>
    </row>
    <row r="1932" spans="1:90">
      <c r="A1932" s="2" t="s">
        <v>71</v>
      </c>
      <c r="B1932" s="2" t="s">
        <v>72</v>
      </c>
      <c r="C1932" s="2" t="s">
        <v>73</v>
      </c>
      <c r="E1932" s="2" t="str">
        <f>"FES1162595798"</f>
        <v>FES1162595798</v>
      </c>
      <c r="F1932" s="3">
        <v>43082</v>
      </c>
      <c r="G1932" s="2">
        <v>201806</v>
      </c>
      <c r="H1932" s="2" t="s">
        <v>74</v>
      </c>
      <c r="I1932" s="2" t="s">
        <v>75</v>
      </c>
      <c r="J1932" s="2" t="s">
        <v>97</v>
      </c>
      <c r="K1932" s="2" t="s">
        <v>77</v>
      </c>
      <c r="L1932" s="2" t="s">
        <v>136</v>
      </c>
      <c r="M1932" s="2" t="s">
        <v>137</v>
      </c>
      <c r="N1932" s="2" t="s">
        <v>1331</v>
      </c>
      <c r="O1932" s="2" t="s">
        <v>101</v>
      </c>
      <c r="P1932" s="2" t="str">
        <f>"2170607610                    "</f>
        <v xml:space="preserve">2170607610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6.43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</v>
      </c>
      <c r="BJ1932" s="2">
        <v>0.2</v>
      </c>
      <c r="BK1932" s="2">
        <v>1</v>
      </c>
      <c r="BL1932" s="2">
        <v>45.93</v>
      </c>
      <c r="BM1932" s="2">
        <v>6.43</v>
      </c>
      <c r="BN1932" s="2">
        <v>52.36</v>
      </c>
      <c r="BO1932" s="2">
        <v>52.36</v>
      </c>
      <c r="BQ1932" s="2" t="s">
        <v>102</v>
      </c>
      <c r="BR1932" s="2" t="s">
        <v>103</v>
      </c>
      <c r="BS1932" s="3">
        <v>43087</v>
      </c>
      <c r="BT1932" s="4">
        <v>0.4375</v>
      </c>
      <c r="BU1932" s="2" t="s">
        <v>2290</v>
      </c>
      <c r="BV1932" s="2" t="s">
        <v>89</v>
      </c>
      <c r="BW1932" s="2" t="s">
        <v>313</v>
      </c>
      <c r="BX1932" s="2" t="s">
        <v>314</v>
      </c>
      <c r="BY1932" s="2">
        <v>1200</v>
      </c>
      <c r="CA1932" s="2" t="s">
        <v>2291</v>
      </c>
      <c r="CC1932" s="2" t="s">
        <v>137</v>
      </c>
      <c r="CD1932" s="2">
        <v>6001</v>
      </c>
      <c r="CE1932" s="2" t="s">
        <v>120</v>
      </c>
      <c r="CF1932" s="3">
        <v>43088</v>
      </c>
      <c r="CI1932" s="2">
        <v>1</v>
      </c>
      <c r="CJ1932" s="2">
        <v>3</v>
      </c>
      <c r="CK1932" s="2">
        <v>21</v>
      </c>
      <c r="CL1932" s="2" t="s">
        <v>89</v>
      </c>
    </row>
    <row r="1933" spans="1:90">
      <c r="A1933" s="2" t="s">
        <v>71</v>
      </c>
      <c r="B1933" s="2" t="s">
        <v>72</v>
      </c>
      <c r="C1933" s="2" t="s">
        <v>73</v>
      </c>
      <c r="E1933" s="2" t="str">
        <f>"FES1162595753"</f>
        <v>FES1162595753</v>
      </c>
      <c r="F1933" s="3">
        <v>43082</v>
      </c>
      <c r="G1933" s="2">
        <v>201806</v>
      </c>
      <c r="H1933" s="2" t="s">
        <v>74</v>
      </c>
      <c r="I1933" s="2" t="s">
        <v>75</v>
      </c>
      <c r="J1933" s="2" t="s">
        <v>97</v>
      </c>
      <c r="K1933" s="2" t="s">
        <v>77</v>
      </c>
      <c r="L1933" s="2" t="s">
        <v>136</v>
      </c>
      <c r="M1933" s="2" t="s">
        <v>137</v>
      </c>
      <c r="N1933" s="2" t="s">
        <v>446</v>
      </c>
      <c r="O1933" s="2" t="s">
        <v>101</v>
      </c>
      <c r="P1933" s="2" t="str">
        <f>"2170607570                    "</f>
        <v xml:space="preserve">2170607570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14.47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4.3</v>
      </c>
      <c r="BJ1933" s="2">
        <v>1.4</v>
      </c>
      <c r="BK1933" s="2">
        <v>4.5</v>
      </c>
      <c r="BL1933" s="2">
        <v>103.32</v>
      </c>
      <c r="BM1933" s="2">
        <v>14.46</v>
      </c>
      <c r="BN1933" s="2">
        <v>117.78</v>
      </c>
      <c r="BO1933" s="2">
        <v>117.78</v>
      </c>
      <c r="BQ1933" s="2" t="s">
        <v>102</v>
      </c>
      <c r="BR1933" s="2" t="s">
        <v>103</v>
      </c>
      <c r="BS1933" s="3">
        <v>43083</v>
      </c>
      <c r="BT1933" s="4">
        <v>0.3263888888888889</v>
      </c>
      <c r="BU1933" s="2" t="s">
        <v>2125</v>
      </c>
      <c r="BV1933" s="2" t="s">
        <v>85</v>
      </c>
      <c r="BY1933" s="2">
        <v>7057.58</v>
      </c>
      <c r="CA1933" s="2" t="s">
        <v>140</v>
      </c>
      <c r="CC1933" s="2" t="s">
        <v>137</v>
      </c>
      <c r="CD1933" s="2">
        <v>6012</v>
      </c>
      <c r="CE1933" s="2" t="s">
        <v>95</v>
      </c>
      <c r="CF1933" s="3">
        <v>43084</v>
      </c>
      <c r="CI1933" s="2">
        <v>1</v>
      </c>
      <c r="CJ1933" s="2">
        <v>1</v>
      </c>
      <c r="CK1933" s="2">
        <v>21</v>
      </c>
      <c r="CL1933" s="2" t="s">
        <v>89</v>
      </c>
    </row>
    <row r="1934" spans="1:90">
      <c r="A1934" s="2" t="s">
        <v>71</v>
      </c>
      <c r="B1934" s="2" t="s">
        <v>72</v>
      </c>
      <c r="C1934" s="2" t="s">
        <v>73</v>
      </c>
      <c r="E1934" s="2" t="str">
        <f>"FES1162595727"</f>
        <v>FES1162595727</v>
      </c>
      <c r="F1934" s="3">
        <v>43082</v>
      </c>
      <c r="G1934" s="2">
        <v>201806</v>
      </c>
      <c r="H1934" s="2" t="s">
        <v>74</v>
      </c>
      <c r="I1934" s="2" t="s">
        <v>75</v>
      </c>
      <c r="J1934" s="2" t="s">
        <v>97</v>
      </c>
      <c r="K1934" s="2" t="s">
        <v>77</v>
      </c>
      <c r="L1934" s="2" t="s">
        <v>111</v>
      </c>
      <c r="M1934" s="2" t="s">
        <v>112</v>
      </c>
      <c r="N1934" s="2" t="s">
        <v>113</v>
      </c>
      <c r="O1934" s="2" t="s">
        <v>101</v>
      </c>
      <c r="P1934" s="2" t="str">
        <f>"2170607547                    "</f>
        <v xml:space="preserve">2170607547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16.079999999999998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4.7</v>
      </c>
      <c r="BJ1934" s="2">
        <v>1.9</v>
      </c>
      <c r="BK1934" s="2">
        <v>5</v>
      </c>
      <c r="BL1934" s="2">
        <v>114.8</v>
      </c>
      <c r="BM1934" s="2">
        <v>16.07</v>
      </c>
      <c r="BN1934" s="2">
        <v>130.87</v>
      </c>
      <c r="BO1934" s="2">
        <v>130.87</v>
      </c>
      <c r="BQ1934" s="2" t="s">
        <v>82</v>
      </c>
      <c r="BR1934" s="2" t="s">
        <v>103</v>
      </c>
      <c r="BS1934" s="3">
        <v>43083</v>
      </c>
      <c r="BT1934" s="4">
        <v>0.38194444444444442</v>
      </c>
      <c r="BU1934" s="2" t="s">
        <v>114</v>
      </c>
      <c r="BV1934" s="2" t="s">
        <v>85</v>
      </c>
      <c r="BY1934" s="2">
        <v>9580.74</v>
      </c>
      <c r="CC1934" s="2" t="s">
        <v>112</v>
      </c>
      <c r="CD1934" s="2">
        <v>6220</v>
      </c>
      <c r="CE1934" s="2" t="s">
        <v>95</v>
      </c>
      <c r="CF1934" s="3">
        <v>43084</v>
      </c>
      <c r="CI1934" s="2">
        <v>1</v>
      </c>
      <c r="CJ1934" s="2">
        <v>1</v>
      </c>
      <c r="CK1934" s="2">
        <v>21</v>
      </c>
      <c r="CL1934" s="2" t="s">
        <v>89</v>
      </c>
    </row>
    <row r="1935" spans="1:90">
      <c r="A1935" s="2" t="s">
        <v>71</v>
      </c>
      <c r="B1935" s="2" t="s">
        <v>72</v>
      </c>
      <c r="C1935" s="2" t="s">
        <v>73</v>
      </c>
      <c r="E1935" s="2" t="str">
        <f>"FES1162595689"</f>
        <v>FES1162595689</v>
      </c>
      <c r="F1935" s="3">
        <v>43082</v>
      </c>
      <c r="G1935" s="2">
        <v>201806</v>
      </c>
      <c r="H1935" s="2" t="s">
        <v>74</v>
      </c>
      <c r="I1935" s="2" t="s">
        <v>75</v>
      </c>
      <c r="J1935" s="2" t="s">
        <v>97</v>
      </c>
      <c r="K1935" s="2" t="s">
        <v>77</v>
      </c>
      <c r="L1935" s="2" t="s">
        <v>136</v>
      </c>
      <c r="M1935" s="2" t="s">
        <v>137</v>
      </c>
      <c r="N1935" s="2" t="s">
        <v>138</v>
      </c>
      <c r="O1935" s="2" t="s">
        <v>101</v>
      </c>
      <c r="P1935" s="2" t="str">
        <f>"2170607530                    "</f>
        <v xml:space="preserve">2170607530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14.47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4</v>
      </c>
      <c r="BJ1935" s="2">
        <v>4.0999999999999996</v>
      </c>
      <c r="BK1935" s="2">
        <v>4.5</v>
      </c>
      <c r="BL1935" s="2">
        <v>103.32</v>
      </c>
      <c r="BM1935" s="2">
        <v>14.46</v>
      </c>
      <c r="BN1935" s="2">
        <v>117.78</v>
      </c>
      <c r="BO1935" s="2">
        <v>117.78</v>
      </c>
      <c r="BQ1935" s="2" t="s">
        <v>82</v>
      </c>
      <c r="BR1935" s="2" t="s">
        <v>103</v>
      </c>
      <c r="BS1935" s="3">
        <v>43083</v>
      </c>
      <c r="BT1935" s="4">
        <v>0.41666666666666669</v>
      </c>
      <c r="BU1935" s="2" t="s">
        <v>139</v>
      </c>
      <c r="BV1935" s="2" t="s">
        <v>85</v>
      </c>
      <c r="BY1935" s="2">
        <v>20358</v>
      </c>
      <c r="CA1935" s="2" t="s">
        <v>140</v>
      </c>
      <c r="CC1935" s="2" t="s">
        <v>137</v>
      </c>
      <c r="CD1935" s="2">
        <v>6001</v>
      </c>
      <c r="CE1935" s="2" t="s">
        <v>95</v>
      </c>
      <c r="CF1935" s="3">
        <v>43084</v>
      </c>
      <c r="CI1935" s="2">
        <v>1</v>
      </c>
      <c r="CJ1935" s="2">
        <v>1</v>
      </c>
      <c r="CK1935" s="2">
        <v>21</v>
      </c>
      <c r="CL1935" s="2" t="s">
        <v>89</v>
      </c>
    </row>
    <row r="1936" spans="1:90">
      <c r="A1936" s="2" t="s">
        <v>71</v>
      </c>
      <c r="B1936" s="2" t="s">
        <v>72</v>
      </c>
      <c r="C1936" s="2" t="s">
        <v>73</v>
      </c>
      <c r="E1936" s="2" t="str">
        <f>"FES1162595728"</f>
        <v>FES1162595728</v>
      </c>
      <c r="F1936" s="3">
        <v>43082</v>
      </c>
      <c r="G1936" s="2">
        <v>201806</v>
      </c>
      <c r="H1936" s="2" t="s">
        <v>74</v>
      </c>
      <c r="I1936" s="2" t="s">
        <v>75</v>
      </c>
      <c r="J1936" s="2" t="s">
        <v>97</v>
      </c>
      <c r="K1936" s="2" t="s">
        <v>77</v>
      </c>
      <c r="L1936" s="2" t="s">
        <v>158</v>
      </c>
      <c r="M1936" s="2" t="s">
        <v>159</v>
      </c>
      <c r="N1936" s="2" t="s">
        <v>700</v>
      </c>
      <c r="O1936" s="2" t="s">
        <v>101</v>
      </c>
      <c r="P1936" s="2" t="str">
        <f>"2170607549                    "</f>
        <v xml:space="preserve">2170607549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6.43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0.8</v>
      </c>
      <c r="BJ1936" s="2">
        <v>1.6</v>
      </c>
      <c r="BK1936" s="2">
        <v>2</v>
      </c>
      <c r="BL1936" s="2">
        <v>45.93</v>
      </c>
      <c r="BM1936" s="2">
        <v>6.43</v>
      </c>
      <c r="BN1936" s="2">
        <v>52.36</v>
      </c>
      <c r="BO1936" s="2">
        <v>52.36</v>
      </c>
      <c r="BQ1936" s="2" t="s">
        <v>102</v>
      </c>
      <c r="BR1936" s="2" t="s">
        <v>103</v>
      </c>
      <c r="BS1936" s="3">
        <v>43083</v>
      </c>
      <c r="BT1936" s="4">
        <v>0.74375000000000002</v>
      </c>
      <c r="BU1936" s="2" t="s">
        <v>2292</v>
      </c>
      <c r="BV1936" s="2" t="s">
        <v>89</v>
      </c>
      <c r="BW1936" s="2" t="s">
        <v>156</v>
      </c>
      <c r="BX1936" s="2" t="s">
        <v>668</v>
      </c>
      <c r="BY1936" s="2">
        <v>7916.62</v>
      </c>
      <c r="CA1936" s="2" t="s">
        <v>678</v>
      </c>
      <c r="CC1936" s="2" t="s">
        <v>159</v>
      </c>
      <c r="CD1936" s="2">
        <v>184</v>
      </c>
      <c r="CE1936" s="2" t="s">
        <v>95</v>
      </c>
      <c r="CF1936" s="3">
        <v>43088</v>
      </c>
      <c r="CI1936" s="2">
        <v>1</v>
      </c>
      <c r="CJ1936" s="2">
        <v>1</v>
      </c>
      <c r="CK1936" s="2">
        <v>21</v>
      </c>
      <c r="CL1936" s="2" t="s">
        <v>89</v>
      </c>
    </row>
    <row r="1937" spans="1:90">
      <c r="A1937" s="2" t="s">
        <v>71</v>
      </c>
      <c r="B1937" s="2" t="s">
        <v>72</v>
      </c>
      <c r="C1937" s="2" t="s">
        <v>73</v>
      </c>
      <c r="E1937" s="2" t="str">
        <f>"FES1162595815"</f>
        <v>FES1162595815</v>
      </c>
      <c r="F1937" s="3">
        <v>43082</v>
      </c>
      <c r="G1937" s="2">
        <v>201806</v>
      </c>
      <c r="H1937" s="2" t="s">
        <v>74</v>
      </c>
      <c r="I1937" s="2" t="s">
        <v>75</v>
      </c>
      <c r="J1937" s="2" t="s">
        <v>97</v>
      </c>
      <c r="K1937" s="2" t="s">
        <v>77</v>
      </c>
      <c r="L1937" s="2" t="s">
        <v>125</v>
      </c>
      <c r="M1937" s="2" t="s">
        <v>126</v>
      </c>
      <c r="N1937" s="2" t="s">
        <v>2293</v>
      </c>
      <c r="O1937" s="2" t="s">
        <v>101</v>
      </c>
      <c r="P1937" s="2" t="str">
        <f>"2170607632                    "</f>
        <v xml:space="preserve">2170607632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6.43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1</v>
      </c>
      <c r="BJ1937" s="2">
        <v>0.2</v>
      </c>
      <c r="BK1937" s="2">
        <v>1</v>
      </c>
      <c r="BL1937" s="2">
        <v>45.93</v>
      </c>
      <c r="BM1937" s="2">
        <v>6.43</v>
      </c>
      <c r="BN1937" s="2">
        <v>52.36</v>
      </c>
      <c r="BO1937" s="2">
        <v>52.36</v>
      </c>
      <c r="BQ1937" s="2" t="s">
        <v>82</v>
      </c>
      <c r="BR1937" s="2" t="s">
        <v>103</v>
      </c>
      <c r="BS1937" s="3">
        <v>43083</v>
      </c>
      <c r="BT1937" s="4">
        <v>0.40277777777777773</v>
      </c>
      <c r="BU1937" s="2" t="s">
        <v>2294</v>
      </c>
      <c r="BV1937" s="2" t="s">
        <v>85</v>
      </c>
      <c r="BY1937" s="2">
        <v>1200</v>
      </c>
      <c r="CA1937" s="2" t="s">
        <v>211</v>
      </c>
      <c r="CC1937" s="2" t="s">
        <v>126</v>
      </c>
      <c r="CD1937" s="2">
        <v>4001</v>
      </c>
      <c r="CE1937" s="2" t="s">
        <v>120</v>
      </c>
      <c r="CF1937" s="3">
        <v>43084</v>
      </c>
      <c r="CI1937" s="2">
        <v>1</v>
      </c>
      <c r="CJ1937" s="2">
        <v>1</v>
      </c>
      <c r="CK1937" s="2">
        <v>21</v>
      </c>
      <c r="CL1937" s="2" t="s">
        <v>89</v>
      </c>
    </row>
    <row r="1938" spans="1:90">
      <c r="A1938" s="2" t="s">
        <v>71</v>
      </c>
      <c r="B1938" s="2" t="s">
        <v>72</v>
      </c>
      <c r="C1938" s="2" t="s">
        <v>73</v>
      </c>
      <c r="E1938" s="2" t="str">
        <f>"FES1162595686"</f>
        <v>FES1162595686</v>
      </c>
      <c r="F1938" s="3">
        <v>43082</v>
      </c>
      <c r="G1938" s="2">
        <v>201806</v>
      </c>
      <c r="H1938" s="2" t="s">
        <v>74</v>
      </c>
      <c r="I1938" s="2" t="s">
        <v>75</v>
      </c>
      <c r="J1938" s="2" t="s">
        <v>97</v>
      </c>
      <c r="K1938" s="2" t="s">
        <v>77</v>
      </c>
      <c r="L1938" s="2" t="s">
        <v>106</v>
      </c>
      <c r="M1938" s="2" t="s">
        <v>107</v>
      </c>
      <c r="N1938" s="2" t="s">
        <v>1464</v>
      </c>
      <c r="O1938" s="2" t="s">
        <v>101</v>
      </c>
      <c r="P1938" s="2" t="str">
        <f>"2170607526                    "</f>
        <v xml:space="preserve">2170607526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5.03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35.89</v>
      </c>
      <c r="BM1938" s="2">
        <v>5.0199999999999996</v>
      </c>
      <c r="BN1938" s="2">
        <v>40.909999999999997</v>
      </c>
      <c r="BO1938" s="2">
        <v>40.909999999999997</v>
      </c>
      <c r="BQ1938" s="2" t="s">
        <v>102</v>
      </c>
      <c r="BR1938" s="2" t="s">
        <v>103</v>
      </c>
      <c r="BS1938" s="3">
        <v>43084</v>
      </c>
      <c r="BT1938" s="4">
        <v>0.4236111111111111</v>
      </c>
      <c r="BU1938" s="2" t="s">
        <v>2279</v>
      </c>
      <c r="BV1938" s="2" t="s">
        <v>89</v>
      </c>
      <c r="BW1938" s="2" t="s">
        <v>149</v>
      </c>
      <c r="BX1938" s="2" t="s">
        <v>292</v>
      </c>
      <c r="BY1938" s="2">
        <v>1200</v>
      </c>
      <c r="CA1938" s="2" t="s">
        <v>293</v>
      </c>
      <c r="CC1938" s="2" t="s">
        <v>107</v>
      </c>
      <c r="CD1938" s="2">
        <v>2091</v>
      </c>
      <c r="CE1938" s="2" t="s">
        <v>120</v>
      </c>
      <c r="CF1938" s="3">
        <v>43088</v>
      </c>
      <c r="CI1938" s="2">
        <v>1</v>
      </c>
      <c r="CJ1938" s="2">
        <v>2</v>
      </c>
      <c r="CK1938" s="2">
        <v>22</v>
      </c>
      <c r="CL1938" s="2" t="s">
        <v>89</v>
      </c>
    </row>
    <row r="1939" spans="1:90">
      <c r="A1939" s="2" t="s">
        <v>71</v>
      </c>
      <c r="B1939" s="2" t="s">
        <v>72</v>
      </c>
      <c r="C1939" s="2" t="s">
        <v>73</v>
      </c>
      <c r="E1939" s="2" t="str">
        <f>"FES1162595744"</f>
        <v>FES1162595744</v>
      </c>
      <c r="F1939" s="3">
        <v>43082</v>
      </c>
      <c r="G1939" s="2">
        <v>201806</v>
      </c>
      <c r="H1939" s="2" t="s">
        <v>74</v>
      </c>
      <c r="I1939" s="2" t="s">
        <v>75</v>
      </c>
      <c r="J1939" s="2" t="s">
        <v>97</v>
      </c>
      <c r="K1939" s="2" t="s">
        <v>77</v>
      </c>
      <c r="L1939" s="2" t="s">
        <v>449</v>
      </c>
      <c r="M1939" s="2" t="s">
        <v>450</v>
      </c>
      <c r="N1939" s="2" t="s">
        <v>451</v>
      </c>
      <c r="O1939" s="2" t="s">
        <v>101</v>
      </c>
      <c r="P1939" s="2" t="str">
        <f>"2170607559                    "</f>
        <v xml:space="preserve">2170607559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5.03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35.89</v>
      </c>
      <c r="BM1939" s="2">
        <v>5.0199999999999996</v>
      </c>
      <c r="BN1939" s="2">
        <v>40.909999999999997</v>
      </c>
      <c r="BO1939" s="2">
        <v>40.909999999999997</v>
      </c>
      <c r="BQ1939" s="2" t="s">
        <v>128</v>
      </c>
      <c r="BR1939" s="2" t="s">
        <v>103</v>
      </c>
      <c r="BS1939" s="3">
        <v>43083</v>
      </c>
      <c r="BT1939" s="4">
        <v>0.38263888888888892</v>
      </c>
      <c r="BU1939" s="2" t="s">
        <v>452</v>
      </c>
      <c r="BV1939" s="2" t="s">
        <v>85</v>
      </c>
      <c r="BY1939" s="2">
        <v>1200</v>
      </c>
      <c r="CA1939" s="2" t="s">
        <v>453</v>
      </c>
      <c r="CC1939" s="2" t="s">
        <v>450</v>
      </c>
      <c r="CD1939" s="2">
        <v>1700</v>
      </c>
      <c r="CE1939" s="2" t="s">
        <v>120</v>
      </c>
      <c r="CF1939" s="3">
        <v>43087</v>
      </c>
      <c r="CI1939" s="2">
        <v>1</v>
      </c>
      <c r="CJ1939" s="2">
        <v>1</v>
      </c>
      <c r="CK1939" s="2">
        <v>22</v>
      </c>
      <c r="CL1939" s="2" t="s">
        <v>89</v>
      </c>
    </row>
    <row r="1940" spans="1:90">
      <c r="A1940" s="2" t="s">
        <v>71</v>
      </c>
      <c r="B1940" s="2" t="s">
        <v>72</v>
      </c>
      <c r="C1940" s="2" t="s">
        <v>73</v>
      </c>
      <c r="E1940" s="2" t="str">
        <f>"FES1162595764"</f>
        <v>FES1162595764</v>
      </c>
      <c r="F1940" s="3">
        <v>43082</v>
      </c>
      <c r="G1940" s="2">
        <v>201806</v>
      </c>
      <c r="H1940" s="2" t="s">
        <v>74</v>
      </c>
      <c r="I1940" s="2" t="s">
        <v>75</v>
      </c>
      <c r="J1940" s="2" t="s">
        <v>97</v>
      </c>
      <c r="K1940" s="2" t="s">
        <v>77</v>
      </c>
      <c r="L1940" s="2" t="s">
        <v>90</v>
      </c>
      <c r="M1940" s="2" t="s">
        <v>91</v>
      </c>
      <c r="N1940" s="2" t="s">
        <v>2295</v>
      </c>
      <c r="O1940" s="2" t="s">
        <v>101</v>
      </c>
      <c r="P1940" s="2" t="str">
        <f>"2170607477                    "</f>
        <v xml:space="preserve">2170607477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5.03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35.89</v>
      </c>
      <c r="BM1940" s="2">
        <v>5.0199999999999996</v>
      </c>
      <c r="BN1940" s="2">
        <v>40.909999999999997</v>
      </c>
      <c r="BO1940" s="2">
        <v>40.909999999999997</v>
      </c>
      <c r="BQ1940" s="2" t="s">
        <v>2296</v>
      </c>
      <c r="BR1940" s="2" t="s">
        <v>103</v>
      </c>
      <c r="BS1940" s="3">
        <v>43083</v>
      </c>
      <c r="BT1940" s="4">
        <v>0.36527777777777781</v>
      </c>
      <c r="BU1940" s="2" t="s">
        <v>2297</v>
      </c>
      <c r="BV1940" s="2" t="s">
        <v>85</v>
      </c>
      <c r="BY1940" s="2">
        <v>1200</v>
      </c>
      <c r="CA1940" s="2" t="s">
        <v>347</v>
      </c>
      <c r="CC1940" s="2" t="s">
        <v>91</v>
      </c>
      <c r="CD1940" s="2">
        <v>1559</v>
      </c>
      <c r="CE1940" s="2" t="s">
        <v>120</v>
      </c>
      <c r="CF1940" s="3">
        <v>43084</v>
      </c>
      <c r="CI1940" s="2">
        <v>1</v>
      </c>
      <c r="CJ1940" s="2">
        <v>1</v>
      </c>
      <c r="CK1940" s="2">
        <v>22</v>
      </c>
      <c r="CL1940" s="2" t="s">
        <v>89</v>
      </c>
    </row>
    <row r="1941" spans="1:90">
      <c r="A1941" s="2" t="s">
        <v>71</v>
      </c>
      <c r="B1941" s="2" t="s">
        <v>72</v>
      </c>
      <c r="C1941" s="2" t="s">
        <v>73</v>
      </c>
      <c r="E1941" s="2" t="str">
        <f>"FES1162595759"</f>
        <v>FES1162595759</v>
      </c>
      <c r="F1941" s="3">
        <v>43082</v>
      </c>
      <c r="G1941" s="2">
        <v>201806</v>
      </c>
      <c r="H1941" s="2" t="s">
        <v>74</v>
      </c>
      <c r="I1941" s="2" t="s">
        <v>75</v>
      </c>
      <c r="J1941" s="2" t="s">
        <v>97</v>
      </c>
      <c r="K1941" s="2" t="s">
        <v>77</v>
      </c>
      <c r="L1941" s="2" t="s">
        <v>158</v>
      </c>
      <c r="M1941" s="2" t="s">
        <v>159</v>
      </c>
      <c r="N1941" s="2" t="s">
        <v>2298</v>
      </c>
      <c r="O1941" s="2" t="s">
        <v>101</v>
      </c>
      <c r="P1941" s="2" t="str">
        <f>"2170607576                    "</f>
        <v xml:space="preserve">2170607576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6.43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</v>
      </c>
      <c r="BJ1941" s="2">
        <v>0.2</v>
      </c>
      <c r="BK1941" s="2">
        <v>1</v>
      </c>
      <c r="BL1941" s="2">
        <v>45.93</v>
      </c>
      <c r="BM1941" s="2">
        <v>6.43</v>
      </c>
      <c r="BN1941" s="2">
        <v>52.36</v>
      </c>
      <c r="BO1941" s="2">
        <v>52.36</v>
      </c>
      <c r="BR1941" s="2" t="s">
        <v>103</v>
      </c>
      <c r="BS1941" s="3">
        <v>43083</v>
      </c>
      <c r="BT1941" s="4">
        <v>0.4375</v>
      </c>
      <c r="BU1941" s="2" t="s">
        <v>2299</v>
      </c>
      <c r="BV1941" s="2" t="s">
        <v>85</v>
      </c>
      <c r="BY1941" s="2">
        <v>1200</v>
      </c>
      <c r="CA1941" s="2" t="s">
        <v>669</v>
      </c>
      <c r="CC1941" s="2" t="s">
        <v>159</v>
      </c>
      <c r="CD1941" s="2">
        <v>158</v>
      </c>
      <c r="CE1941" s="2" t="s">
        <v>120</v>
      </c>
      <c r="CF1941" s="3">
        <v>43087</v>
      </c>
      <c r="CI1941" s="2">
        <v>1</v>
      </c>
      <c r="CJ1941" s="2">
        <v>1</v>
      </c>
      <c r="CK1941" s="2">
        <v>21</v>
      </c>
      <c r="CL1941" s="2" t="s">
        <v>89</v>
      </c>
    </row>
    <row r="1942" spans="1:90">
      <c r="A1942" s="2" t="s">
        <v>71</v>
      </c>
      <c r="B1942" s="2" t="s">
        <v>72</v>
      </c>
      <c r="C1942" s="2" t="s">
        <v>73</v>
      </c>
      <c r="E1942" s="2" t="str">
        <f>"FES1162595866"</f>
        <v>FES1162595866</v>
      </c>
      <c r="F1942" s="3">
        <v>43082</v>
      </c>
      <c r="G1942" s="2">
        <v>201806</v>
      </c>
      <c r="H1942" s="2" t="s">
        <v>74</v>
      </c>
      <c r="I1942" s="2" t="s">
        <v>75</v>
      </c>
      <c r="J1942" s="2" t="s">
        <v>97</v>
      </c>
      <c r="K1942" s="2" t="s">
        <v>77</v>
      </c>
      <c r="L1942" s="2" t="s">
        <v>173</v>
      </c>
      <c r="M1942" s="2" t="s">
        <v>174</v>
      </c>
      <c r="N1942" s="2" t="s">
        <v>876</v>
      </c>
      <c r="O1942" s="2" t="s">
        <v>101</v>
      </c>
      <c r="P1942" s="2" t="str">
        <f>"2170607699                    "</f>
        <v xml:space="preserve">2170607699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6.43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</v>
      </c>
      <c r="BJ1942" s="2">
        <v>0.2</v>
      </c>
      <c r="BK1942" s="2">
        <v>1</v>
      </c>
      <c r="BL1942" s="2">
        <v>45.93</v>
      </c>
      <c r="BM1942" s="2">
        <v>6.43</v>
      </c>
      <c r="BN1942" s="2">
        <v>52.36</v>
      </c>
      <c r="BO1942" s="2">
        <v>52.36</v>
      </c>
      <c r="BQ1942" s="2" t="s">
        <v>128</v>
      </c>
      <c r="BR1942" s="2" t="s">
        <v>103</v>
      </c>
      <c r="BS1942" s="3">
        <v>43083</v>
      </c>
      <c r="BT1942" s="4">
        <v>0.44444444444444442</v>
      </c>
      <c r="BU1942" s="2" t="s">
        <v>2300</v>
      </c>
      <c r="BV1942" s="2" t="s">
        <v>85</v>
      </c>
      <c r="BY1942" s="2">
        <v>1200</v>
      </c>
      <c r="CA1942" s="2" t="s">
        <v>1682</v>
      </c>
      <c r="CC1942" s="2" t="s">
        <v>174</v>
      </c>
      <c r="CD1942" s="2">
        <v>7441</v>
      </c>
      <c r="CE1942" s="2" t="s">
        <v>120</v>
      </c>
      <c r="CF1942" s="3">
        <v>43084</v>
      </c>
      <c r="CI1942" s="2">
        <v>1</v>
      </c>
      <c r="CJ1942" s="2">
        <v>1</v>
      </c>
      <c r="CK1942" s="2">
        <v>21</v>
      </c>
      <c r="CL1942" s="2" t="s">
        <v>89</v>
      </c>
    </row>
    <row r="1943" spans="1:90">
      <c r="A1943" s="2" t="s">
        <v>71</v>
      </c>
      <c r="B1943" s="2" t="s">
        <v>72</v>
      </c>
      <c r="C1943" s="2" t="s">
        <v>73</v>
      </c>
      <c r="E1943" s="2" t="str">
        <f>"FES1162595741"</f>
        <v>FES1162595741</v>
      </c>
      <c r="F1943" s="3">
        <v>43082</v>
      </c>
      <c r="G1943" s="2">
        <v>201806</v>
      </c>
      <c r="H1943" s="2" t="s">
        <v>74</v>
      </c>
      <c r="I1943" s="2" t="s">
        <v>75</v>
      </c>
      <c r="J1943" s="2" t="s">
        <v>97</v>
      </c>
      <c r="K1943" s="2" t="s">
        <v>77</v>
      </c>
      <c r="L1943" s="2" t="s">
        <v>168</v>
      </c>
      <c r="M1943" s="2" t="s">
        <v>169</v>
      </c>
      <c r="N1943" s="2" t="s">
        <v>351</v>
      </c>
      <c r="O1943" s="2" t="s">
        <v>101</v>
      </c>
      <c r="P1943" s="2" t="str">
        <f>"2170607555                    "</f>
        <v xml:space="preserve">2170607555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6.43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45.93</v>
      </c>
      <c r="BM1943" s="2">
        <v>6.43</v>
      </c>
      <c r="BN1943" s="2">
        <v>52.36</v>
      </c>
      <c r="BO1943" s="2">
        <v>52.36</v>
      </c>
      <c r="BQ1943" s="2" t="s">
        <v>102</v>
      </c>
      <c r="BR1943" s="2" t="s">
        <v>103</v>
      </c>
      <c r="BS1943" s="3">
        <v>43083</v>
      </c>
      <c r="BT1943" s="4">
        <v>0.33749999999999997</v>
      </c>
      <c r="BU1943" s="2" t="s">
        <v>868</v>
      </c>
      <c r="BV1943" s="2" t="s">
        <v>85</v>
      </c>
      <c r="BY1943" s="2">
        <v>1200</v>
      </c>
      <c r="CA1943" s="2" t="s">
        <v>220</v>
      </c>
      <c r="CC1943" s="2" t="s">
        <v>169</v>
      </c>
      <c r="CD1943" s="2">
        <v>3610</v>
      </c>
      <c r="CE1943" s="2" t="s">
        <v>120</v>
      </c>
      <c r="CF1943" s="3">
        <v>43084</v>
      </c>
      <c r="CI1943" s="2">
        <v>1</v>
      </c>
      <c r="CJ1943" s="2">
        <v>1</v>
      </c>
      <c r="CK1943" s="2">
        <v>21</v>
      </c>
      <c r="CL1943" s="2" t="s">
        <v>89</v>
      </c>
    </row>
    <row r="1944" spans="1:90">
      <c r="A1944" s="2" t="s">
        <v>71</v>
      </c>
      <c r="B1944" s="2" t="s">
        <v>72</v>
      </c>
      <c r="C1944" s="2" t="s">
        <v>73</v>
      </c>
      <c r="E1944" s="2" t="str">
        <f>"FES1162595670"</f>
        <v>FES1162595670</v>
      </c>
      <c r="F1944" s="3">
        <v>43082</v>
      </c>
      <c r="G1944" s="2">
        <v>201806</v>
      </c>
      <c r="H1944" s="2" t="s">
        <v>74</v>
      </c>
      <c r="I1944" s="2" t="s">
        <v>75</v>
      </c>
      <c r="J1944" s="2" t="s">
        <v>97</v>
      </c>
      <c r="K1944" s="2" t="s">
        <v>77</v>
      </c>
      <c r="L1944" s="2" t="s">
        <v>173</v>
      </c>
      <c r="M1944" s="2" t="s">
        <v>174</v>
      </c>
      <c r="N1944" s="2" t="s">
        <v>741</v>
      </c>
      <c r="O1944" s="2" t="s">
        <v>101</v>
      </c>
      <c r="P1944" s="2" t="str">
        <f>"2170607274                    "</f>
        <v xml:space="preserve">2170607274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6.43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45.93</v>
      </c>
      <c r="BM1944" s="2">
        <v>6.43</v>
      </c>
      <c r="BN1944" s="2">
        <v>52.36</v>
      </c>
      <c r="BO1944" s="2">
        <v>52.36</v>
      </c>
      <c r="BQ1944" s="2" t="s">
        <v>102</v>
      </c>
      <c r="BR1944" s="2" t="s">
        <v>103</v>
      </c>
      <c r="BS1944" s="3">
        <v>43083</v>
      </c>
      <c r="BT1944" s="4">
        <v>0.57361111111111118</v>
      </c>
      <c r="BU1944" s="2" t="s">
        <v>2301</v>
      </c>
      <c r="BV1944" s="2" t="s">
        <v>89</v>
      </c>
      <c r="BW1944" s="2" t="s">
        <v>313</v>
      </c>
      <c r="BX1944" s="2" t="s">
        <v>246</v>
      </c>
      <c r="BY1944" s="2">
        <v>1200</v>
      </c>
      <c r="CA1944" s="2" t="s">
        <v>1985</v>
      </c>
      <c r="CC1944" s="2" t="s">
        <v>174</v>
      </c>
      <c r="CD1944" s="2">
        <v>7915</v>
      </c>
      <c r="CE1944" s="2" t="s">
        <v>120</v>
      </c>
      <c r="CF1944" s="3">
        <v>43084</v>
      </c>
      <c r="CI1944" s="2">
        <v>1</v>
      </c>
      <c r="CJ1944" s="2">
        <v>1</v>
      </c>
      <c r="CK1944" s="2">
        <v>21</v>
      </c>
      <c r="CL1944" s="2" t="s">
        <v>89</v>
      </c>
    </row>
    <row r="1945" spans="1:90">
      <c r="A1945" s="2" t="s">
        <v>71</v>
      </c>
      <c r="B1945" s="2" t="s">
        <v>72</v>
      </c>
      <c r="C1945" s="2" t="s">
        <v>73</v>
      </c>
      <c r="E1945" s="2" t="str">
        <f>"FES1162595725"</f>
        <v>FES1162595725</v>
      </c>
      <c r="F1945" s="3">
        <v>43082</v>
      </c>
      <c r="G1945" s="2">
        <v>201806</v>
      </c>
      <c r="H1945" s="2" t="s">
        <v>74</v>
      </c>
      <c r="I1945" s="2" t="s">
        <v>75</v>
      </c>
      <c r="J1945" s="2" t="s">
        <v>97</v>
      </c>
      <c r="K1945" s="2" t="s">
        <v>77</v>
      </c>
      <c r="L1945" s="2" t="s">
        <v>152</v>
      </c>
      <c r="M1945" s="2" t="s">
        <v>153</v>
      </c>
      <c r="N1945" s="2" t="s">
        <v>2302</v>
      </c>
      <c r="O1945" s="2" t="s">
        <v>101</v>
      </c>
      <c r="P1945" s="2" t="str">
        <f>"2170607543                    "</f>
        <v xml:space="preserve">2170607543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5.03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1</v>
      </c>
      <c r="BJ1945" s="2">
        <v>0.2</v>
      </c>
      <c r="BK1945" s="2">
        <v>1</v>
      </c>
      <c r="BL1945" s="2">
        <v>35.89</v>
      </c>
      <c r="BM1945" s="2">
        <v>5.0199999999999996</v>
      </c>
      <c r="BN1945" s="2">
        <v>40.909999999999997</v>
      </c>
      <c r="BO1945" s="2">
        <v>40.909999999999997</v>
      </c>
      <c r="BQ1945" s="2" t="s">
        <v>2303</v>
      </c>
      <c r="BR1945" s="2" t="s">
        <v>103</v>
      </c>
      <c r="BS1945" s="3">
        <v>43083</v>
      </c>
      <c r="BT1945" s="4">
        <v>0.40138888888888885</v>
      </c>
      <c r="BU1945" s="2" t="s">
        <v>2304</v>
      </c>
      <c r="BV1945" s="2" t="s">
        <v>85</v>
      </c>
      <c r="BY1945" s="2">
        <v>1200</v>
      </c>
      <c r="CA1945" s="2" t="s">
        <v>392</v>
      </c>
      <c r="CC1945" s="2" t="s">
        <v>153</v>
      </c>
      <c r="CD1945" s="2">
        <v>1406</v>
      </c>
      <c r="CE1945" s="2" t="s">
        <v>120</v>
      </c>
      <c r="CF1945" s="3">
        <v>43084</v>
      </c>
      <c r="CI1945" s="2">
        <v>1</v>
      </c>
      <c r="CJ1945" s="2">
        <v>1</v>
      </c>
      <c r="CK1945" s="2">
        <v>22</v>
      </c>
      <c r="CL1945" s="2" t="s">
        <v>89</v>
      </c>
    </row>
    <row r="1946" spans="1:90">
      <c r="A1946" s="2" t="s">
        <v>71</v>
      </c>
      <c r="B1946" s="2" t="s">
        <v>72</v>
      </c>
      <c r="C1946" s="2" t="s">
        <v>73</v>
      </c>
      <c r="E1946" s="2" t="str">
        <f>"FES1162595843"</f>
        <v>FES1162595843</v>
      </c>
      <c r="F1946" s="3">
        <v>43082</v>
      </c>
      <c r="G1946" s="2">
        <v>201806</v>
      </c>
      <c r="H1946" s="2" t="s">
        <v>74</v>
      </c>
      <c r="I1946" s="2" t="s">
        <v>75</v>
      </c>
      <c r="J1946" s="2" t="s">
        <v>97</v>
      </c>
      <c r="K1946" s="2" t="s">
        <v>77</v>
      </c>
      <c r="L1946" s="2" t="s">
        <v>152</v>
      </c>
      <c r="M1946" s="2" t="s">
        <v>153</v>
      </c>
      <c r="N1946" s="2" t="s">
        <v>725</v>
      </c>
      <c r="O1946" s="2" t="s">
        <v>101</v>
      </c>
      <c r="P1946" s="2" t="str">
        <f>"2170607679                    "</f>
        <v xml:space="preserve">2170607679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5.03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35.89</v>
      </c>
      <c r="BM1946" s="2">
        <v>5.0199999999999996</v>
      </c>
      <c r="BN1946" s="2">
        <v>40.909999999999997</v>
      </c>
      <c r="BO1946" s="2">
        <v>40.909999999999997</v>
      </c>
      <c r="BQ1946" s="2" t="s">
        <v>102</v>
      </c>
      <c r="BR1946" s="2" t="s">
        <v>103</v>
      </c>
      <c r="BS1946" s="3">
        <v>43083</v>
      </c>
      <c r="BT1946" s="4">
        <v>0.42083333333333334</v>
      </c>
      <c r="BU1946" s="2" t="s">
        <v>1573</v>
      </c>
      <c r="BV1946" s="2" t="s">
        <v>85</v>
      </c>
      <c r="BY1946" s="2">
        <v>1200</v>
      </c>
      <c r="CA1946" s="2" t="s">
        <v>439</v>
      </c>
      <c r="CC1946" s="2" t="s">
        <v>153</v>
      </c>
      <c r="CD1946" s="2">
        <v>1428</v>
      </c>
      <c r="CE1946" s="2" t="s">
        <v>120</v>
      </c>
      <c r="CF1946" s="3">
        <v>43087</v>
      </c>
      <c r="CI1946" s="2">
        <v>1</v>
      </c>
      <c r="CJ1946" s="2">
        <v>1</v>
      </c>
      <c r="CK1946" s="2">
        <v>22</v>
      </c>
      <c r="CL1946" s="2" t="s">
        <v>89</v>
      </c>
    </row>
    <row r="1947" spans="1:90">
      <c r="A1947" s="2" t="s">
        <v>71</v>
      </c>
      <c r="B1947" s="2" t="s">
        <v>72</v>
      </c>
      <c r="C1947" s="2" t="s">
        <v>73</v>
      </c>
      <c r="E1947" s="2" t="str">
        <f>"FES1162595799"</f>
        <v>FES1162595799</v>
      </c>
      <c r="F1947" s="3">
        <v>43082</v>
      </c>
      <c r="G1947" s="2">
        <v>201806</v>
      </c>
      <c r="H1947" s="2" t="s">
        <v>74</v>
      </c>
      <c r="I1947" s="2" t="s">
        <v>75</v>
      </c>
      <c r="J1947" s="2" t="s">
        <v>97</v>
      </c>
      <c r="K1947" s="2" t="s">
        <v>77</v>
      </c>
      <c r="L1947" s="2" t="s">
        <v>173</v>
      </c>
      <c r="M1947" s="2" t="s">
        <v>174</v>
      </c>
      <c r="N1947" s="2" t="s">
        <v>175</v>
      </c>
      <c r="O1947" s="2" t="s">
        <v>101</v>
      </c>
      <c r="P1947" s="2" t="str">
        <f>"2170607625                    "</f>
        <v xml:space="preserve">2170607625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6.43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45.93</v>
      </c>
      <c r="BM1947" s="2">
        <v>6.43</v>
      </c>
      <c r="BN1947" s="2">
        <v>52.36</v>
      </c>
      <c r="BO1947" s="2">
        <v>52.36</v>
      </c>
      <c r="BQ1947" s="2" t="s">
        <v>102</v>
      </c>
      <c r="BR1947" s="2" t="s">
        <v>103</v>
      </c>
      <c r="BS1947" s="3">
        <v>43083</v>
      </c>
      <c r="BT1947" s="4">
        <v>0.40625</v>
      </c>
      <c r="BU1947" s="2" t="s">
        <v>176</v>
      </c>
      <c r="BV1947" s="2" t="s">
        <v>85</v>
      </c>
      <c r="BY1947" s="2">
        <v>1200</v>
      </c>
      <c r="CA1947" s="2" t="s">
        <v>177</v>
      </c>
      <c r="CC1947" s="2" t="s">
        <v>174</v>
      </c>
      <c r="CD1947" s="2">
        <v>7405</v>
      </c>
      <c r="CE1947" s="2" t="s">
        <v>120</v>
      </c>
      <c r="CF1947" s="3">
        <v>43084</v>
      </c>
      <c r="CI1947" s="2">
        <v>1</v>
      </c>
      <c r="CJ1947" s="2">
        <v>1</v>
      </c>
      <c r="CK1947" s="2">
        <v>21</v>
      </c>
      <c r="CL1947" s="2" t="s">
        <v>89</v>
      </c>
    </row>
    <row r="1948" spans="1:90">
      <c r="A1948" s="2" t="s">
        <v>71</v>
      </c>
      <c r="B1948" s="2" t="s">
        <v>72</v>
      </c>
      <c r="C1948" s="2" t="s">
        <v>73</v>
      </c>
      <c r="E1948" s="2" t="str">
        <f>"FES1162595797"</f>
        <v>FES1162595797</v>
      </c>
      <c r="F1948" s="3">
        <v>43082</v>
      </c>
      <c r="G1948" s="2">
        <v>201806</v>
      </c>
      <c r="H1948" s="2" t="s">
        <v>74</v>
      </c>
      <c r="I1948" s="2" t="s">
        <v>75</v>
      </c>
      <c r="J1948" s="2" t="s">
        <v>97</v>
      </c>
      <c r="K1948" s="2" t="s">
        <v>77</v>
      </c>
      <c r="L1948" s="2" t="s">
        <v>74</v>
      </c>
      <c r="M1948" s="2" t="s">
        <v>75</v>
      </c>
      <c r="N1948" s="2" t="s">
        <v>1404</v>
      </c>
      <c r="O1948" s="2" t="s">
        <v>101</v>
      </c>
      <c r="P1948" s="2" t="str">
        <f>"2170607511                    "</f>
        <v xml:space="preserve">2170607511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5.03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</v>
      </c>
      <c r="BJ1948" s="2">
        <v>0.2</v>
      </c>
      <c r="BK1948" s="2">
        <v>1</v>
      </c>
      <c r="BL1948" s="2">
        <v>35.89</v>
      </c>
      <c r="BM1948" s="2">
        <v>5.0199999999999996</v>
      </c>
      <c r="BN1948" s="2">
        <v>40.909999999999997</v>
      </c>
      <c r="BO1948" s="2">
        <v>40.909999999999997</v>
      </c>
      <c r="BQ1948" s="2" t="s">
        <v>1405</v>
      </c>
      <c r="BR1948" s="2" t="s">
        <v>103</v>
      </c>
      <c r="BS1948" s="3">
        <v>43083</v>
      </c>
      <c r="BT1948" s="4">
        <v>0.37777777777777777</v>
      </c>
      <c r="BU1948" s="2" t="s">
        <v>2305</v>
      </c>
      <c r="BV1948" s="2" t="s">
        <v>85</v>
      </c>
      <c r="BY1948" s="2">
        <v>1200</v>
      </c>
      <c r="CA1948" s="2" t="s">
        <v>366</v>
      </c>
      <c r="CC1948" s="2" t="s">
        <v>75</v>
      </c>
      <c r="CD1948" s="2">
        <v>1601</v>
      </c>
      <c r="CE1948" s="2" t="s">
        <v>120</v>
      </c>
      <c r="CF1948" s="3">
        <v>43084</v>
      </c>
      <c r="CI1948" s="2">
        <v>1</v>
      </c>
      <c r="CJ1948" s="2">
        <v>1</v>
      </c>
      <c r="CK1948" s="2">
        <v>22</v>
      </c>
      <c r="CL1948" s="2" t="s">
        <v>89</v>
      </c>
    </row>
    <row r="1949" spans="1:90">
      <c r="A1949" s="2" t="s">
        <v>71</v>
      </c>
      <c r="B1949" s="2" t="s">
        <v>72</v>
      </c>
      <c r="C1949" s="2" t="s">
        <v>73</v>
      </c>
      <c r="E1949" s="2" t="str">
        <f>"FES1162595768"</f>
        <v>FES1162595768</v>
      </c>
      <c r="F1949" s="3">
        <v>43082</v>
      </c>
      <c r="G1949" s="2">
        <v>201806</v>
      </c>
      <c r="H1949" s="2" t="s">
        <v>74</v>
      </c>
      <c r="I1949" s="2" t="s">
        <v>75</v>
      </c>
      <c r="J1949" s="2" t="s">
        <v>97</v>
      </c>
      <c r="K1949" s="2" t="s">
        <v>77</v>
      </c>
      <c r="L1949" s="2" t="s">
        <v>115</v>
      </c>
      <c r="M1949" s="2" t="s">
        <v>116</v>
      </c>
      <c r="N1949" s="2" t="s">
        <v>2091</v>
      </c>
      <c r="O1949" s="2" t="s">
        <v>101</v>
      </c>
      <c r="P1949" s="2" t="str">
        <f>"2170607586                    "</f>
        <v xml:space="preserve">2170607586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5.03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1</v>
      </c>
      <c r="BJ1949" s="2">
        <v>0.2</v>
      </c>
      <c r="BK1949" s="2">
        <v>1</v>
      </c>
      <c r="BL1949" s="2">
        <v>35.89</v>
      </c>
      <c r="BM1949" s="2">
        <v>5.0199999999999996</v>
      </c>
      <c r="BN1949" s="2">
        <v>40.909999999999997</v>
      </c>
      <c r="BO1949" s="2">
        <v>40.909999999999997</v>
      </c>
      <c r="BQ1949" s="2" t="s">
        <v>2092</v>
      </c>
      <c r="BR1949" s="2" t="s">
        <v>103</v>
      </c>
      <c r="BS1949" s="3">
        <v>43083</v>
      </c>
      <c r="BT1949" s="4">
        <v>0.2951388888888889</v>
      </c>
      <c r="BU1949" s="2" t="s">
        <v>2306</v>
      </c>
      <c r="BV1949" s="2" t="s">
        <v>85</v>
      </c>
      <c r="BY1949" s="2">
        <v>1200</v>
      </c>
      <c r="CA1949" s="2" t="s">
        <v>119</v>
      </c>
      <c r="CC1949" s="2" t="s">
        <v>116</v>
      </c>
      <c r="CD1949" s="2">
        <v>1459</v>
      </c>
      <c r="CE1949" s="2" t="s">
        <v>120</v>
      </c>
      <c r="CF1949" s="3">
        <v>43084</v>
      </c>
      <c r="CI1949" s="2">
        <v>1</v>
      </c>
      <c r="CJ1949" s="2">
        <v>1</v>
      </c>
      <c r="CK1949" s="2">
        <v>22</v>
      </c>
      <c r="CL1949" s="2" t="s">
        <v>89</v>
      </c>
    </row>
    <row r="1950" spans="1:90">
      <c r="A1950" s="2" t="s">
        <v>71</v>
      </c>
      <c r="B1950" s="2" t="s">
        <v>72</v>
      </c>
      <c r="C1950" s="2" t="s">
        <v>73</v>
      </c>
      <c r="E1950" s="2" t="str">
        <f>"FES1162595767"</f>
        <v>FES1162595767</v>
      </c>
      <c r="F1950" s="3">
        <v>43082</v>
      </c>
      <c r="G1950" s="2">
        <v>201806</v>
      </c>
      <c r="H1950" s="2" t="s">
        <v>74</v>
      </c>
      <c r="I1950" s="2" t="s">
        <v>75</v>
      </c>
      <c r="J1950" s="2" t="s">
        <v>97</v>
      </c>
      <c r="K1950" s="2" t="s">
        <v>77</v>
      </c>
      <c r="L1950" s="2" t="s">
        <v>90</v>
      </c>
      <c r="M1950" s="2" t="s">
        <v>91</v>
      </c>
      <c r="N1950" s="2" t="s">
        <v>2295</v>
      </c>
      <c r="O1950" s="2" t="s">
        <v>101</v>
      </c>
      <c r="P1950" s="2" t="str">
        <f>"2170607584                    "</f>
        <v xml:space="preserve">2170607584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5.03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0.2</v>
      </c>
      <c r="BK1950" s="2">
        <v>1</v>
      </c>
      <c r="BL1950" s="2">
        <v>35.89</v>
      </c>
      <c r="BM1950" s="2">
        <v>5.0199999999999996</v>
      </c>
      <c r="BN1950" s="2">
        <v>40.909999999999997</v>
      </c>
      <c r="BO1950" s="2">
        <v>40.909999999999997</v>
      </c>
      <c r="BQ1950" s="2" t="s">
        <v>2296</v>
      </c>
      <c r="BR1950" s="2" t="s">
        <v>103</v>
      </c>
      <c r="BS1950" s="3">
        <v>43083</v>
      </c>
      <c r="BT1950" s="4">
        <v>0.4375</v>
      </c>
      <c r="BU1950" s="2" t="s">
        <v>2297</v>
      </c>
      <c r="BV1950" s="2" t="s">
        <v>85</v>
      </c>
      <c r="BY1950" s="2">
        <v>1200</v>
      </c>
      <c r="CA1950" s="2" t="s">
        <v>347</v>
      </c>
      <c r="CC1950" s="2" t="s">
        <v>91</v>
      </c>
      <c r="CD1950" s="2">
        <v>1559</v>
      </c>
      <c r="CE1950" s="2" t="s">
        <v>120</v>
      </c>
      <c r="CF1950" s="3">
        <v>43084</v>
      </c>
      <c r="CI1950" s="2">
        <v>1</v>
      </c>
      <c r="CJ1950" s="2">
        <v>1</v>
      </c>
      <c r="CK1950" s="2">
        <v>22</v>
      </c>
      <c r="CL1950" s="2" t="s">
        <v>89</v>
      </c>
    </row>
    <row r="1951" spans="1:90">
      <c r="A1951" s="2" t="s">
        <v>71</v>
      </c>
      <c r="B1951" s="2" t="s">
        <v>72</v>
      </c>
      <c r="C1951" s="2" t="s">
        <v>73</v>
      </c>
      <c r="E1951" s="2" t="str">
        <f>"FES1162595766"</f>
        <v>FES1162595766</v>
      </c>
      <c r="F1951" s="3">
        <v>43082</v>
      </c>
      <c r="G1951" s="2">
        <v>201806</v>
      </c>
      <c r="H1951" s="2" t="s">
        <v>74</v>
      </c>
      <c r="I1951" s="2" t="s">
        <v>75</v>
      </c>
      <c r="J1951" s="2" t="s">
        <v>97</v>
      </c>
      <c r="K1951" s="2" t="s">
        <v>77</v>
      </c>
      <c r="L1951" s="2" t="s">
        <v>828</v>
      </c>
      <c r="M1951" s="2" t="s">
        <v>829</v>
      </c>
      <c r="N1951" s="2" t="s">
        <v>830</v>
      </c>
      <c r="O1951" s="2" t="s">
        <v>101</v>
      </c>
      <c r="P1951" s="2" t="str">
        <f>"2170607582                    "</f>
        <v xml:space="preserve">2170607582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6.43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45.93</v>
      </c>
      <c r="BM1951" s="2">
        <v>6.43</v>
      </c>
      <c r="BN1951" s="2">
        <v>52.36</v>
      </c>
      <c r="BO1951" s="2">
        <v>52.36</v>
      </c>
      <c r="BQ1951" s="2" t="s">
        <v>128</v>
      </c>
      <c r="BR1951" s="2" t="s">
        <v>103</v>
      </c>
      <c r="BS1951" s="3">
        <v>43083</v>
      </c>
      <c r="BT1951" s="4">
        <v>0.36319444444444443</v>
      </c>
      <c r="BU1951" s="2" t="s">
        <v>831</v>
      </c>
      <c r="BV1951" s="2" t="s">
        <v>85</v>
      </c>
      <c r="BY1951" s="2">
        <v>1200</v>
      </c>
      <c r="CA1951" s="2" t="s">
        <v>832</v>
      </c>
      <c r="CC1951" s="2" t="s">
        <v>829</v>
      </c>
      <c r="CD1951" s="2">
        <v>9300</v>
      </c>
      <c r="CE1951" s="2" t="s">
        <v>120</v>
      </c>
      <c r="CF1951" s="3">
        <v>43087</v>
      </c>
      <c r="CI1951" s="2">
        <v>1</v>
      </c>
      <c r="CJ1951" s="2">
        <v>1</v>
      </c>
      <c r="CK1951" s="2">
        <v>21</v>
      </c>
      <c r="CL1951" s="2" t="s">
        <v>89</v>
      </c>
    </row>
    <row r="1952" spans="1:90">
      <c r="A1952" s="2" t="s">
        <v>71</v>
      </c>
      <c r="B1952" s="2" t="s">
        <v>72</v>
      </c>
      <c r="C1952" s="2" t="s">
        <v>73</v>
      </c>
      <c r="E1952" s="2" t="str">
        <f>"FES1162595755"</f>
        <v>FES1162595755</v>
      </c>
      <c r="F1952" s="3">
        <v>43082</v>
      </c>
      <c r="G1952" s="2">
        <v>201806</v>
      </c>
      <c r="H1952" s="2" t="s">
        <v>74</v>
      </c>
      <c r="I1952" s="2" t="s">
        <v>75</v>
      </c>
      <c r="J1952" s="2" t="s">
        <v>97</v>
      </c>
      <c r="K1952" s="2" t="s">
        <v>77</v>
      </c>
      <c r="L1952" s="2" t="s">
        <v>566</v>
      </c>
      <c r="M1952" s="2" t="s">
        <v>567</v>
      </c>
      <c r="N1952" s="2" t="s">
        <v>164</v>
      </c>
      <c r="O1952" s="2" t="s">
        <v>101</v>
      </c>
      <c r="P1952" s="2" t="str">
        <f>"2170607573                    "</f>
        <v xml:space="preserve">2170607573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9.0500000000000007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64.599999999999994</v>
      </c>
      <c r="BM1952" s="2">
        <v>9.0399999999999991</v>
      </c>
      <c r="BN1952" s="2">
        <v>73.64</v>
      </c>
      <c r="BO1952" s="2">
        <v>73.64</v>
      </c>
      <c r="BQ1952" s="2" t="s">
        <v>102</v>
      </c>
      <c r="BR1952" s="2" t="s">
        <v>103</v>
      </c>
      <c r="BS1952" s="3">
        <v>43083</v>
      </c>
      <c r="BT1952" s="4">
        <v>0.34930555555555554</v>
      </c>
      <c r="BU1952" s="2" t="s">
        <v>641</v>
      </c>
      <c r="BV1952" s="2" t="s">
        <v>85</v>
      </c>
      <c r="BY1952" s="2">
        <v>1200</v>
      </c>
      <c r="CA1952" s="2" t="s">
        <v>2169</v>
      </c>
      <c r="CC1952" s="2" t="s">
        <v>567</v>
      </c>
      <c r="CD1952" s="2">
        <v>1754</v>
      </c>
      <c r="CE1952" s="2" t="s">
        <v>120</v>
      </c>
      <c r="CF1952" s="3">
        <v>43087</v>
      </c>
      <c r="CI1952" s="2">
        <v>1</v>
      </c>
      <c r="CJ1952" s="2">
        <v>1</v>
      </c>
      <c r="CK1952" s="2">
        <v>24</v>
      </c>
      <c r="CL1952" s="2" t="s">
        <v>89</v>
      </c>
    </row>
    <row r="1953" spans="1:90">
      <c r="A1953" s="2" t="s">
        <v>71</v>
      </c>
      <c r="B1953" s="2" t="s">
        <v>72</v>
      </c>
      <c r="C1953" s="2" t="s">
        <v>73</v>
      </c>
      <c r="E1953" s="2" t="str">
        <f>"FES1162595796"</f>
        <v>FES1162595796</v>
      </c>
      <c r="F1953" s="3">
        <v>43082</v>
      </c>
      <c r="G1953" s="2">
        <v>201806</v>
      </c>
      <c r="H1953" s="2" t="s">
        <v>74</v>
      </c>
      <c r="I1953" s="2" t="s">
        <v>75</v>
      </c>
      <c r="J1953" s="2" t="s">
        <v>97</v>
      </c>
      <c r="K1953" s="2" t="s">
        <v>77</v>
      </c>
      <c r="L1953" s="2" t="s">
        <v>173</v>
      </c>
      <c r="M1953" s="2" t="s">
        <v>174</v>
      </c>
      <c r="N1953" s="2" t="s">
        <v>802</v>
      </c>
      <c r="O1953" s="2" t="s">
        <v>101</v>
      </c>
      <c r="P1953" s="2" t="str">
        <f>"2170607266                    "</f>
        <v xml:space="preserve">2170607266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24.12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7.2</v>
      </c>
      <c r="BJ1953" s="2">
        <v>3.3</v>
      </c>
      <c r="BK1953" s="2">
        <v>7.5</v>
      </c>
      <c r="BL1953" s="2">
        <v>172.19</v>
      </c>
      <c r="BM1953" s="2">
        <v>24.11</v>
      </c>
      <c r="BN1953" s="2">
        <v>196.3</v>
      </c>
      <c r="BO1953" s="2">
        <v>196.3</v>
      </c>
      <c r="BQ1953" s="2" t="s">
        <v>102</v>
      </c>
      <c r="BR1953" s="2" t="s">
        <v>103</v>
      </c>
      <c r="BS1953" s="3">
        <v>43083</v>
      </c>
      <c r="BT1953" s="4">
        <v>0.44027777777777777</v>
      </c>
      <c r="BU1953" s="2" t="s">
        <v>1933</v>
      </c>
      <c r="BV1953" s="2" t="s">
        <v>85</v>
      </c>
      <c r="BY1953" s="2">
        <v>16455.18</v>
      </c>
      <c r="CA1953" s="2" t="s">
        <v>395</v>
      </c>
      <c r="CC1953" s="2" t="s">
        <v>174</v>
      </c>
      <c r="CD1953" s="2">
        <v>7441</v>
      </c>
      <c r="CE1953" s="2" t="s">
        <v>95</v>
      </c>
      <c r="CF1953" s="3">
        <v>43084</v>
      </c>
      <c r="CI1953" s="2">
        <v>1</v>
      </c>
      <c r="CJ1953" s="2">
        <v>1</v>
      </c>
      <c r="CK1953" s="2">
        <v>21</v>
      </c>
      <c r="CL1953" s="2" t="s">
        <v>89</v>
      </c>
    </row>
    <row r="1954" spans="1:90">
      <c r="A1954" s="2" t="s">
        <v>71</v>
      </c>
      <c r="B1954" s="2" t="s">
        <v>72</v>
      </c>
      <c r="C1954" s="2" t="s">
        <v>73</v>
      </c>
      <c r="E1954" s="2" t="str">
        <f>"FES1162595774"</f>
        <v>FES1162595774</v>
      </c>
      <c r="F1954" s="3">
        <v>43082</v>
      </c>
      <c r="G1954" s="2">
        <v>201806</v>
      </c>
      <c r="H1954" s="2" t="s">
        <v>74</v>
      </c>
      <c r="I1954" s="2" t="s">
        <v>75</v>
      </c>
      <c r="J1954" s="2" t="s">
        <v>97</v>
      </c>
      <c r="K1954" s="2" t="s">
        <v>77</v>
      </c>
      <c r="L1954" s="2" t="s">
        <v>74</v>
      </c>
      <c r="M1954" s="2" t="s">
        <v>75</v>
      </c>
      <c r="N1954" s="2" t="s">
        <v>204</v>
      </c>
      <c r="O1954" s="2" t="s">
        <v>101</v>
      </c>
      <c r="P1954" s="2" t="str">
        <f>"2170607589                    "</f>
        <v xml:space="preserve">2170607589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5.03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1</v>
      </c>
      <c r="BJ1954" s="2">
        <v>0.2</v>
      </c>
      <c r="BK1954" s="2">
        <v>1</v>
      </c>
      <c r="BL1954" s="2">
        <v>35.89</v>
      </c>
      <c r="BM1954" s="2">
        <v>5.0199999999999996</v>
      </c>
      <c r="BN1954" s="2">
        <v>40.909999999999997</v>
      </c>
      <c r="BO1954" s="2">
        <v>40.909999999999997</v>
      </c>
      <c r="BQ1954" s="2" t="s">
        <v>102</v>
      </c>
      <c r="BR1954" s="2" t="s">
        <v>103</v>
      </c>
      <c r="BS1954" s="3">
        <v>43083</v>
      </c>
      <c r="BT1954" s="4">
        <v>0.3215277777777778</v>
      </c>
      <c r="BU1954" s="2" t="s">
        <v>205</v>
      </c>
      <c r="BV1954" s="2" t="s">
        <v>85</v>
      </c>
      <c r="BY1954" s="2">
        <v>1200</v>
      </c>
      <c r="CA1954" s="2" t="s">
        <v>206</v>
      </c>
      <c r="CC1954" s="2" t="s">
        <v>75</v>
      </c>
      <c r="CD1954" s="2">
        <v>1645</v>
      </c>
      <c r="CE1954" s="2" t="s">
        <v>120</v>
      </c>
      <c r="CF1954" s="3">
        <v>43087</v>
      </c>
      <c r="CI1954" s="2">
        <v>1</v>
      </c>
      <c r="CJ1954" s="2">
        <v>1</v>
      </c>
      <c r="CK1954" s="2">
        <v>22</v>
      </c>
      <c r="CL1954" s="2" t="s">
        <v>89</v>
      </c>
    </row>
    <row r="1955" spans="1:90">
      <c r="A1955" s="2" t="s">
        <v>71</v>
      </c>
      <c r="B1955" s="2" t="s">
        <v>72</v>
      </c>
      <c r="C1955" s="2" t="s">
        <v>73</v>
      </c>
      <c r="E1955" s="2" t="str">
        <f>"FES1162595846"</f>
        <v>FES1162595846</v>
      </c>
      <c r="F1955" s="3">
        <v>43082</v>
      </c>
      <c r="G1955" s="2">
        <v>201806</v>
      </c>
      <c r="H1955" s="2" t="s">
        <v>74</v>
      </c>
      <c r="I1955" s="2" t="s">
        <v>75</v>
      </c>
      <c r="J1955" s="2" t="s">
        <v>97</v>
      </c>
      <c r="K1955" s="2" t="s">
        <v>77</v>
      </c>
      <c r="L1955" s="2" t="s">
        <v>212</v>
      </c>
      <c r="M1955" s="2" t="s">
        <v>212</v>
      </c>
      <c r="N1955" s="2" t="s">
        <v>1016</v>
      </c>
      <c r="O1955" s="2" t="s">
        <v>101</v>
      </c>
      <c r="P1955" s="2" t="str">
        <f>"2170607682                    "</f>
        <v xml:space="preserve">2170607682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6.43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1</v>
      </c>
      <c r="BJ1955" s="2">
        <v>0.2</v>
      </c>
      <c r="BK1955" s="2">
        <v>1</v>
      </c>
      <c r="BL1955" s="2">
        <v>45.93</v>
      </c>
      <c r="BM1955" s="2">
        <v>6.43</v>
      </c>
      <c r="BN1955" s="2">
        <v>52.36</v>
      </c>
      <c r="BO1955" s="2">
        <v>52.36</v>
      </c>
      <c r="BQ1955" s="2" t="s">
        <v>128</v>
      </c>
      <c r="BR1955" s="2" t="s">
        <v>103</v>
      </c>
      <c r="BS1955" s="3">
        <v>43083</v>
      </c>
      <c r="BT1955" s="4">
        <v>0.58680555555555558</v>
      </c>
      <c r="BU1955" s="2" t="s">
        <v>2307</v>
      </c>
      <c r="BV1955" s="2" t="s">
        <v>89</v>
      </c>
      <c r="BW1955" s="2" t="s">
        <v>471</v>
      </c>
      <c r="BX1955" s="2" t="s">
        <v>246</v>
      </c>
      <c r="BY1955" s="2">
        <v>1200</v>
      </c>
      <c r="CC1955" s="2" t="s">
        <v>212</v>
      </c>
      <c r="CD1955" s="2">
        <v>7620</v>
      </c>
      <c r="CE1955" s="2" t="s">
        <v>120</v>
      </c>
      <c r="CF1955" s="3">
        <v>43084</v>
      </c>
      <c r="CI1955" s="2">
        <v>1</v>
      </c>
      <c r="CJ1955" s="2">
        <v>1</v>
      </c>
      <c r="CK1955" s="2">
        <v>21</v>
      </c>
      <c r="CL1955" s="2" t="s">
        <v>89</v>
      </c>
    </row>
    <row r="1956" spans="1:90">
      <c r="A1956" s="2" t="s">
        <v>71</v>
      </c>
      <c r="B1956" s="2" t="s">
        <v>72</v>
      </c>
      <c r="C1956" s="2" t="s">
        <v>73</v>
      </c>
      <c r="E1956" s="2" t="str">
        <f>"FES1162595750"</f>
        <v>FES1162595750</v>
      </c>
      <c r="F1956" s="3">
        <v>43082</v>
      </c>
      <c r="G1956" s="2">
        <v>201806</v>
      </c>
      <c r="H1956" s="2" t="s">
        <v>74</v>
      </c>
      <c r="I1956" s="2" t="s">
        <v>75</v>
      </c>
      <c r="J1956" s="2" t="s">
        <v>97</v>
      </c>
      <c r="K1956" s="2" t="s">
        <v>77</v>
      </c>
      <c r="L1956" s="2" t="s">
        <v>74</v>
      </c>
      <c r="M1956" s="2" t="s">
        <v>75</v>
      </c>
      <c r="N1956" s="2" t="s">
        <v>204</v>
      </c>
      <c r="O1956" s="2" t="s">
        <v>101</v>
      </c>
      <c r="P1956" s="2" t="str">
        <f>"2170607565                    "</f>
        <v xml:space="preserve">2170607565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5.03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1</v>
      </c>
      <c r="BJ1956" s="2">
        <v>3</v>
      </c>
      <c r="BK1956" s="2">
        <v>3</v>
      </c>
      <c r="BL1956" s="2">
        <v>35.89</v>
      </c>
      <c r="BM1956" s="2">
        <v>5.0199999999999996</v>
      </c>
      <c r="BN1956" s="2">
        <v>40.909999999999997</v>
      </c>
      <c r="BO1956" s="2">
        <v>40.909999999999997</v>
      </c>
      <c r="BQ1956" s="2" t="s">
        <v>102</v>
      </c>
      <c r="BR1956" s="2" t="s">
        <v>103</v>
      </c>
      <c r="BS1956" s="3">
        <v>43083</v>
      </c>
      <c r="BT1956" s="4">
        <v>0.32222222222222224</v>
      </c>
      <c r="BU1956" s="2" t="s">
        <v>205</v>
      </c>
      <c r="BV1956" s="2" t="s">
        <v>85</v>
      </c>
      <c r="BY1956" s="2">
        <v>15246</v>
      </c>
      <c r="CA1956" s="2" t="s">
        <v>206</v>
      </c>
      <c r="CC1956" s="2" t="s">
        <v>75</v>
      </c>
      <c r="CD1956" s="2">
        <v>1645</v>
      </c>
      <c r="CE1956" s="2" t="s">
        <v>87</v>
      </c>
      <c r="CF1956" s="3">
        <v>43087</v>
      </c>
      <c r="CI1956" s="2">
        <v>1</v>
      </c>
      <c r="CJ1956" s="2">
        <v>1</v>
      </c>
      <c r="CK1956" s="2">
        <v>22</v>
      </c>
      <c r="CL1956" s="2" t="s">
        <v>89</v>
      </c>
    </row>
    <row r="1957" spans="1:90">
      <c r="A1957" s="2" t="s">
        <v>71</v>
      </c>
      <c r="B1957" s="2" t="s">
        <v>72</v>
      </c>
      <c r="C1957" s="2" t="s">
        <v>73</v>
      </c>
      <c r="E1957" s="2" t="str">
        <f>"FES1162595760"</f>
        <v>FES1162595760</v>
      </c>
      <c r="F1957" s="3">
        <v>43082</v>
      </c>
      <c r="G1957" s="2">
        <v>201806</v>
      </c>
      <c r="H1957" s="2" t="s">
        <v>74</v>
      </c>
      <c r="I1957" s="2" t="s">
        <v>75</v>
      </c>
      <c r="J1957" s="2" t="s">
        <v>97</v>
      </c>
      <c r="K1957" s="2" t="s">
        <v>77</v>
      </c>
      <c r="L1957" s="2" t="s">
        <v>828</v>
      </c>
      <c r="M1957" s="2" t="s">
        <v>829</v>
      </c>
      <c r="N1957" s="2" t="s">
        <v>830</v>
      </c>
      <c r="O1957" s="2" t="s">
        <v>101</v>
      </c>
      <c r="P1957" s="2" t="str">
        <f>"2170607577                    "</f>
        <v xml:space="preserve">2170607577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19.3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4.4000000000000004</v>
      </c>
      <c r="BJ1957" s="2">
        <v>5.7</v>
      </c>
      <c r="BK1957" s="2">
        <v>6</v>
      </c>
      <c r="BL1957" s="2">
        <v>137.76</v>
      </c>
      <c r="BM1957" s="2">
        <v>19.29</v>
      </c>
      <c r="BN1957" s="2">
        <v>157.05000000000001</v>
      </c>
      <c r="BO1957" s="2">
        <v>157.05000000000001</v>
      </c>
      <c r="BQ1957" s="2" t="s">
        <v>128</v>
      </c>
      <c r="BR1957" s="2" t="s">
        <v>103</v>
      </c>
      <c r="BS1957" s="3">
        <v>43083</v>
      </c>
      <c r="BT1957" s="4">
        <v>0.36319444444444443</v>
      </c>
      <c r="BU1957" s="2" t="s">
        <v>831</v>
      </c>
      <c r="BV1957" s="2" t="s">
        <v>85</v>
      </c>
      <c r="BY1957" s="2">
        <v>28746.92</v>
      </c>
      <c r="CA1957" s="2" t="s">
        <v>832</v>
      </c>
      <c r="CC1957" s="2" t="s">
        <v>829</v>
      </c>
      <c r="CD1957" s="2">
        <v>9300</v>
      </c>
      <c r="CE1957" s="2" t="s">
        <v>87</v>
      </c>
      <c r="CF1957" s="3">
        <v>43087</v>
      </c>
      <c r="CI1957" s="2">
        <v>1</v>
      </c>
      <c r="CJ1957" s="2">
        <v>1</v>
      </c>
      <c r="CK1957" s="2">
        <v>21</v>
      </c>
      <c r="CL1957" s="2" t="s">
        <v>89</v>
      </c>
    </row>
    <row r="1958" spans="1:90">
      <c r="A1958" s="2" t="s">
        <v>71</v>
      </c>
      <c r="B1958" s="2" t="s">
        <v>72</v>
      </c>
      <c r="C1958" s="2" t="s">
        <v>73</v>
      </c>
      <c r="E1958" s="2" t="str">
        <f>"FES1162595829"</f>
        <v>FES1162595829</v>
      </c>
      <c r="F1958" s="3">
        <v>43082</v>
      </c>
      <c r="G1958" s="2">
        <v>201806</v>
      </c>
      <c r="H1958" s="2" t="s">
        <v>74</v>
      </c>
      <c r="I1958" s="2" t="s">
        <v>75</v>
      </c>
      <c r="J1958" s="2" t="s">
        <v>97</v>
      </c>
      <c r="K1958" s="2" t="s">
        <v>77</v>
      </c>
      <c r="L1958" s="2" t="s">
        <v>136</v>
      </c>
      <c r="M1958" s="2" t="s">
        <v>137</v>
      </c>
      <c r="N1958" s="2" t="s">
        <v>138</v>
      </c>
      <c r="O1958" s="2" t="s">
        <v>101</v>
      </c>
      <c r="P1958" s="2" t="str">
        <f>"2170607655                    "</f>
        <v xml:space="preserve">2170607655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6.43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45.93</v>
      </c>
      <c r="BM1958" s="2">
        <v>6.43</v>
      </c>
      <c r="BN1958" s="2">
        <v>52.36</v>
      </c>
      <c r="BO1958" s="2">
        <v>52.36</v>
      </c>
      <c r="BQ1958" s="2" t="s">
        <v>82</v>
      </c>
      <c r="BR1958" s="2" t="s">
        <v>103</v>
      </c>
      <c r="BS1958" s="3">
        <v>43083</v>
      </c>
      <c r="BT1958" s="4">
        <v>0.41666666666666669</v>
      </c>
      <c r="BU1958" s="2" t="s">
        <v>139</v>
      </c>
      <c r="BV1958" s="2" t="s">
        <v>85</v>
      </c>
      <c r="BY1958" s="2">
        <v>1200</v>
      </c>
      <c r="CA1958" s="2" t="s">
        <v>140</v>
      </c>
      <c r="CC1958" s="2" t="s">
        <v>137</v>
      </c>
      <c r="CD1958" s="2">
        <v>6001</v>
      </c>
      <c r="CE1958" s="2" t="s">
        <v>120</v>
      </c>
      <c r="CF1958" s="3">
        <v>43084</v>
      </c>
      <c r="CI1958" s="2">
        <v>1</v>
      </c>
      <c r="CJ1958" s="2">
        <v>1</v>
      </c>
      <c r="CK1958" s="2">
        <v>21</v>
      </c>
      <c r="CL1958" s="2" t="s">
        <v>89</v>
      </c>
    </row>
    <row r="1959" spans="1:90">
      <c r="A1959" s="2" t="s">
        <v>71</v>
      </c>
      <c r="B1959" s="2" t="s">
        <v>72</v>
      </c>
      <c r="C1959" s="2" t="s">
        <v>73</v>
      </c>
      <c r="E1959" s="2" t="str">
        <f>"FES1162595795"</f>
        <v>FES1162595795</v>
      </c>
      <c r="F1959" s="3">
        <v>43082</v>
      </c>
      <c r="G1959" s="2">
        <v>201806</v>
      </c>
      <c r="H1959" s="2" t="s">
        <v>74</v>
      </c>
      <c r="I1959" s="2" t="s">
        <v>75</v>
      </c>
      <c r="J1959" s="2" t="s">
        <v>97</v>
      </c>
      <c r="K1959" s="2" t="s">
        <v>77</v>
      </c>
      <c r="L1959" s="2" t="s">
        <v>158</v>
      </c>
      <c r="M1959" s="2" t="s">
        <v>159</v>
      </c>
      <c r="N1959" s="2" t="s">
        <v>615</v>
      </c>
      <c r="O1959" s="2" t="s">
        <v>101</v>
      </c>
      <c r="P1959" s="2" t="str">
        <f>"2170607129                    "</f>
        <v xml:space="preserve">2170607129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6.43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1</v>
      </c>
      <c r="BJ1959" s="2">
        <v>0.2</v>
      </c>
      <c r="BK1959" s="2">
        <v>1</v>
      </c>
      <c r="BL1959" s="2">
        <v>45.93</v>
      </c>
      <c r="BM1959" s="2">
        <v>6.43</v>
      </c>
      <c r="BN1959" s="2">
        <v>52.36</v>
      </c>
      <c r="BO1959" s="2">
        <v>52.36</v>
      </c>
      <c r="BQ1959" s="2" t="s">
        <v>102</v>
      </c>
      <c r="BR1959" s="2" t="s">
        <v>103</v>
      </c>
      <c r="BS1959" s="3">
        <v>43083</v>
      </c>
      <c r="BT1959" s="4">
        <v>0.41666666666666669</v>
      </c>
      <c r="BU1959" s="2" t="s">
        <v>893</v>
      </c>
      <c r="BV1959" s="2" t="s">
        <v>85</v>
      </c>
      <c r="BY1959" s="2">
        <v>1200</v>
      </c>
      <c r="CC1959" s="2" t="s">
        <v>159</v>
      </c>
      <c r="CD1959" s="2">
        <v>200</v>
      </c>
      <c r="CE1959" s="2" t="s">
        <v>120</v>
      </c>
      <c r="CF1959" s="3">
        <v>43087</v>
      </c>
      <c r="CI1959" s="2">
        <v>1</v>
      </c>
      <c r="CJ1959" s="2">
        <v>1</v>
      </c>
      <c r="CK1959" s="2">
        <v>21</v>
      </c>
      <c r="CL1959" s="2" t="s">
        <v>89</v>
      </c>
    </row>
    <row r="1960" spans="1:90">
      <c r="A1960" s="2" t="s">
        <v>71</v>
      </c>
      <c r="B1960" s="2" t="s">
        <v>72</v>
      </c>
      <c r="C1960" s="2" t="s">
        <v>73</v>
      </c>
      <c r="E1960" s="2" t="str">
        <f>"FES1162595823"</f>
        <v>FES1162595823</v>
      </c>
      <c r="F1960" s="3">
        <v>43082</v>
      </c>
      <c r="G1960" s="2">
        <v>201806</v>
      </c>
      <c r="H1960" s="2" t="s">
        <v>74</v>
      </c>
      <c r="I1960" s="2" t="s">
        <v>75</v>
      </c>
      <c r="J1960" s="2" t="s">
        <v>97</v>
      </c>
      <c r="K1960" s="2" t="s">
        <v>77</v>
      </c>
      <c r="L1960" s="2" t="s">
        <v>173</v>
      </c>
      <c r="M1960" s="2" t="s">
        <v>174</v>
      </c>
      <c r="N1960" s="2" t="s">
        <v>1344</v>
      </c>
      <c r="O1960" s="2" t="s">
        <v>101</v>
      </c>
      <c r="P1960" s="2" t="str">
        <f>"2170607642                    "</f>
        <v xml:space="preserve">2170607642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6.43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45.93</v>
      </c>
      <c r="BM1960" s="2">
        <v>6.43</v>
      </c>
      <c r="BN1960" s="2">
        <v>52.36</v>
      </c>
      <c r="BO1960" s="2">
        <v>52.36</v>
      </c>
      <c r="BQ1960" s="2" t="s">
        <v>82</v>
      </c>
      <c r="BR1960" s="2" t="s">
        <v>103</v>
      </c>
      <c r="BS1960" s="3">
        <v>43083</v>
      </c>
      <c r="BT1960" s="4">
        <v>0.41319444444444442</v>
      </c>
      <c r="BU1960" s="2" t="s">
        <v>1345</v>
      </c>
      <c r="BV1960" s="2" t="s">
        <v>85</v>
      </c>
      <c r="BY1960" s="2">
        <v>1200</v>
      </c>
      <c r="CC1960" s="2" t="s">
        <v>174</v>
      </c>
      <c r="CD1960" s="2">
        <v>7975</v>
      </c>
      <c r="CE1960" s="2" t="s">
        <v>120</v>
      </c>
      <c r="CF1960" s="3">
        <v>43084</v>
      </c>
      <c r="CI1960" s="2">
        <v>1</v>
      </c>
      <c r="CJ1960" s="2">
        <v>1</v>
      </c>
      <c r="CK1960" s="2">
        <v>21</v>
      </c>
      <c r="CL1960" s="2" t="s">
        <v>89</v>
      </c>
    </row>
    <row r="1961" spans="1:90">
      <c r="A1961" s="2" t="s">
        <v>71</v>
      </c>
      <c r="B1961" s="2" t="s">
        <v>72</v>
      </c>
      <c r="C1961" s="2" t="s">
        <v>73</v>
      </c>
      <c r="E1961" s="2" t="str">
        <f>"FES1162595714"</f>
        <v>FES1162595714</v>
      </c>
      <c r="F1961" s="3">
        <v>43082</v>
      </c>
      <c r="G1961" s="2">
        <v>201806</v>
      </c>
      <c r="H1961" s="2" t="s">
        <v>74</v>
      </c>
      <c r="I1961" s="2" t="s">
        <v>75</v>
      </c>
      <c r="J1961" s="2" t="s">
        <v>97</v>
      </c>
      <c r="K1961" s="2" t="s">
        <v>77</v>
      </c>
      <c r="L1961" s="2" t="s">
        <v>173</v>
      </c>
      <c r="M1961" s="2" t="s">
        <v>174</v>
      </c>
      <c r="N1961" s="2" t="s">
        <v>376</v>
      </c>
      <c r="O1961" s="2" t="s">
        <v>101</v>
      </c>
      <c r="P1961" s="2" t="str">
        <f>"2170601590                    "</f>
        <v xml:space="preserve">2170601590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6.43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1.3</v>
      </c>
      <c r="BJ1961" s="2">
        <v>1.3</v>
      </c>
      <c r="BK1961" s="2">
        <v>1.5</v>
      </c>
      <c r="BL1961" s="2">
        <v>45.93</v>
      </c>
      <c r="BM1961" s="2">
        <v>6.43</v>
      </c>
      <c r="BN1961" s="2">
        <v>52.36</v>
      </c>
      <c r="BO1961" s="2">
        <v>52.36</v>
      </c>
      <c r="BQ1961" s="2" t="s">
        <v>102</v>
      </c>
      <c r="BR1961" s="2" t="s">
        <v>103</v>
      </c>
      <c r="BS1961" s="3">
        <v>43083</v>
      </c>
      <c r="BT1961" s="4">
        <v>0.44444444444444442</v>
      </c>
      <c r="BU1961" s="2" t="s">
        <v>2288</v>
      </c>
      <c r="BV1961" s="2" t="s">
        <v>85</v>
      </c>
      <c r="BY1961" s="2">
        <v>6303.38</v>
      </c>
      <c r="CA1961" s="2" t="s">
        <v>378</v>
      </c>
      <c r="CC1961" s="2" t="s">
        <v>174</v>
      </c>
      <c r="CD1961" s="2">
        <v>7490</v>
      </c>
      <c r="CE1961" s="2" t="s">
        <v>95</v>
      </c>
      <c r="CF1961" s="3">
        <v>43084</v>
      </c>
      <c r="CI1961" s="2">
        <v>1</v>
      </c>
      <c r="CJ1961" s="2">
        <v>1</v>
      </c>
      <c r="CK1961" s="2">
        <v>21</v>
      </c>
      <c r="CL1961" s="2" t="s">
        <v>89</v>
      </c>
    </row>
    <row r="1962" spans="1:90">
      <c r="A1962" s="2" t="s">
        <v>71</v>
      </c>
      <c r="B1962" s="2" t="s">
        <v>72</v>
      </c>
      <c r="C1962" s="2" t="s">
        <v>73</v>
      </c>
      <c r="E1962" s="2" t="str">
        <f>"FES1162595828"</f>
        <v>FES1162595828</v>
      </c>
      <c r="F1962" s="3">
        <v>43082</v>
      </c>
      <c r="G1962" s="2">
        <v>201806</v>
      </c>
      <c r="H1962" s="2" t="s">
        <v>74</v>
      </c>
      <c r="I1962" s="2" t="s">
        <v>75</v>
      </c>
      <c r="J1962" s="2" t="s">
        <v>97</v>
      </c>
      <c r="K1962" s="2" t="s">
        <v>77</v>
      </c>
      <c r="L1962" s="2" t="s">
        <v>173</v>
      </c>
      <c r="M1962" s="2" t="s">
        <v>174</v>
      </c>
      <c r="N1962" s="2" t="s">
        <v>1344</v>
      </c>
      <c r="O1962" s="2" t="s">
        <v>101</v>
      </c>
      <c r="P1962" s="2" t="str">
        <f>"2170607652                    "</f>
        <v xml:space="preserve">2170607652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12.87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4</v>
      </c>
      <c r="BJ1962" s="2">
        <v>2</v>
      </c>
      <c r="BK1962" s="2">
        <v>4</v>
      </c>
      <c r="BL1962" s="2">
        <v>91.85</v>
      </c>
      <c r="BM1962" s="2">
        <v>12.86</v>
      </c>
      <c r="BN1962" s="2">
        <v>104.71</v>
      </c>
      <c r="BO1962" s="2">
        <v>104.71</v>
      </c>
      <c r="BQ1962" s="2" t="s">
        <v>82</v>
      </c>
      <c r="BR1962" s="2" t="s">
        <v>103</v>
      </c>
      <c r="BS1962" s="3">
        <v>43083</v>
      </c>
      <c r="BT1962" s="4">
        <v>0.41319444444444442</v>
      </c>
      <c r="BU1962" s="2" t="s">
        <v>1345</v>
      </c>
      <c r="BV1962" s="2" t="s">
        <v>85</v>
      </c>
      <c r="BY1962" s="2">
        <v>9900</v>
      </c>
      <c r="CC1962" s="2" t="s">
        <v>174</v>
      </c>
      <c r="CD1962" s="2">
        <v>7975</v>
      </c>
      <c r="CE1962" s="2" t="s">
        <v>95</v>
      </c>
      <c r="CF1962" s="3">
        <v>43084</v>
      </c>
      <c r="CI1962" s="2">
        <v>1</v>
      </c>
      <c r="CJ1962" s="2">
        <v>1</v>
      </c>
      <c r="CK1962" s="2">
        <v>21</v>
      </c>
      <c r="CL1962" s="2" t="s">
        <v>89</v>
      </c>
    </row>
    <row r="1963" spans="1:90">
      <c r="A1963" s="2" t="s">
        <v>71</v>
      </c>
      <c r="B1963" s="2" t="s">
        <v>72</v>
      </c>
      <c r="C1963" s="2" t="s">
        <v>73</v>
      </c>
      <c r="E1963" s="2" t="str">
        <f>"FES1162595813"</f>
        <v>FES1162595813</v>
      </c>
      <c r="F1963" s="3">
        <v>43082</v>
      </c>
      <c r="G1963" s="2">
        <v>201806</v>
      </c>
      <c r="H1963" s="2" t="s">
        <v>74</v>
      </c>
      <c r="I1963" s="2" t="s">
        <v>75</v>
      </c>
      <c r="J1963" s="2" t="s">
        <v>97</v>
      </c>
      <c r="K1963" s="2" t="s">
        <v>77</v>
      </c>
      <c r="L1963" s="2" t="s">
        <v>173</v>
      </c>
      <c r="M1963" s="2" t="s">
        <v>174</v>
      </c>
      <c r="N1963" s="2" t="s">
        <v>679</v>
      </c>
      <c r="O1963" s="2" t="s">
        <v>101</v>
      </c>
      <c r="P1963" s="2" t="str">
        <f>"2170607629                    "</f>
        <v xml:space="preserve">2170607629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12.87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3.8</v>
      </c>
      <c r="BK1963" s="2">
        <v>4</v>
      </c>
      <c r="BL1963" s="2">
        <v>91.85</v>
      </c>
      <c r="BM1963" s="2">
        <v>12.86</v>
      </c>
      <c r="BN1963" s="2">
        <v>104.71</v>
      </c>
      <c r="BO1963" s="2">
        <v>104.71</v>
      </c>
      <c r="BQ1963" s="2" t="s">
        <v>680</v>
      </c>
      <c r="BR1963" s="2" t="s">
        <v>103</v>
      </c>
      <c r="BS1963" s="3">
        <v>43083</v>
      </c>
      <c r="BT1963" s="4">
        <v>0.48958333333333331</v>
      </c>
      <c r="BU1963" s="2" t="s">
        <v>399</v>
      </c>
      <c r="BV1963" s="2" t="s">
        <v>89</v>
      </c>
      <c r="BW1963" s="2" t="s">
        <v>149</v>
      </c>
      <c r="BX1963" s="2" t="s">
        <v>246</v>
      </c>
      <c r="BY1963" s="2">
        <v>19166</v>
      </c>
      <c r="CA1963" s="2" t="s">
        <v>247</v>
      </c>
      <c r="CC1963" s="2" t="s">
        <v>174</v>
      </c>
      <c r="CD1963" s="2">
        <v>7530</v>
      </c>
      <c r="CE1963" s="2" t="s">
        <v>87</v>
      </c>
      <c r="CF1963" s="3">
        <v>43083</v>
      </c>
      <c r="CI1963" s="2">
        <v>1</v>
      </c>
      <c r="CJ1963" s="2">
        <v>1</v>
      </c>
      <c r="CK1963" s="2">
        <v>21</v>
      </c>
      <c r="CL1963" s="2" t="s">
        <v>89</v>
      </c>
    </row>
    <row r="1964" spans="1:90">
      <c r="A1964" s="2" t="s">
        <v>71</v>
      </c>
      <c r="B1964" s="2" t="s">
        <v>72</v>
      </c>
      <c r="C1964" s="2" t="s">
        <v>73</v>
      </c>
      <c r="E1964" s="2" t="str">
        <f>"FES1162595816"</f>
        <v>FES1162595816</v>
      </c>
      <c r="F1964" s="3">
        <v>43082</v>
      </c>
      <c r="G1964" s="2">
        <v>201806</v>
      </c>
      <c r="H1964" s="2" t="s">
        <v>74</v>
      </c>
      <c r="I1964" s="2" t="s">
        <v>75</v>
      </c>
      <c r="J1964" s="2" t="s">
        <v>97</v>
      </c>
      <c r="K1964" s="2" t="s">
        <v>77</v>
      </c>
      <c r="L1964" s="2" t="s">
        <v>1778</v>
      </c>
      <c r="M1964" s="2" t="s">
        <v>1779</v>
      </c>
      <c r="N1964" s="2" t="s">
        <v>2308</v>
      </c>
      <c r="O1964" s="2" t="s">
        <v>101</v>
      </c>
      <c r="P1964" s="2" t="str">
        <f>"2170607636                    "</f>
        <v xml:space="preserve">2170607636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15.28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2</v>
      </c>
      <c r="BJ1964" s="2">
        <v>2.2999999999999998</v>
      </c>
      <c r="BK1964" s="2">
        <v>2.5</v>
      </c>
      <c r="BL1964" s="2">
        <v>109.09</v>
      </c>
      <c r="BM1964" s="2">
        <v>15.27</v>
      </c>
      <c r="BN1964" s="2">
        <v>124.36</v>
      </c>
      <c r="BO1964" s="2">
        <v>124.36</v>
      </c>
      <c r="BR1964" s="2" t="s">
        <v>103</v>
      </c>
      <c r="BS1964" s="3">
        <v>43083</v>
      </c>
      <c r="BT1964" s="4">
        <v>0.61111111111111105</v>
      </c>
      <c r="BU1964" s="2" t="s">
        <v>2309</v>
      </c>
      <c r="BV1964" s="2" t="s">
        <v>85</v>
      </c>
      <c r="BY1964" s="2">
        <v>11700</v>
      </c>
      <c r="CC1964" s="2" t="s">
        <v>1779</v>
      </c>
      <c r="CD1964" s="2">
        <v>5850</v>
      </c>
      <c r="CE1964" s="2" t="s">
        <v>87</v>
      </c>
      <c r="CF1964" s="3">
        <v>43089</v>
      </c>
      <c r="CI1964" s="2">
        <v>3</v>
      </c>
      <c r="CJ1964" s="2">
        <v>1</v>
      </c>
      <c r="CK1964" s="2">
        <v>23</v>
      </c>
      <c r="CL1964" s="2" t="s">
        <v>89</v>
      </c>
    </row>
    <row r="1965" spans="1:90">
      <c r="A1965" s="2" t="s">
        <v>71</v>
      </c>
      <c r="B1965" s="2" t="s">
        <v>72</v>
      </c>
      <c r="C1965" s="2" t="s">
        <v>73</v>
      </c>
      <c r="E1965" s="2" t="str">
        <f>"FES1162595853"</f>
        <v>FES1162595853</v>
      </c>
      <c r="F1965" s="3">
        <v>43082</v>
      </c>
      <c r="G1965" s="2">
        <v>201806</v>
      </c>
      <c r="H1965" s="2" t="s">
        <v>74</v>
      </c>
      <c r="I1965" s="2" t="s">
        <v>75</v>
      </c>
      <c r="J1965" s="2" t="s">
        <v>97</v>
      </c>
      <c r="K1965" s="2" t="s">
        <v>77</v>
      </c>
      <c r="L1965" s="2" t="s">
        <v>262</v>
      </c>
      <c r="M1965" s="2" t="s">
        <v>263</v>
      </c>
      <c r="N1965" s="2" t="s">
        <v>264</v>
      </c>
      <c r="O1965" s="2" t="s">
        <v>101</v>
      </c>
      <c r="P1965" s="2" t="str">
        <f>"2170607689                    "</f>
        <v xml:space="preserve">2170607689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16.079999999999998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5</v>
      </c>
      <c r="BJ1965" s="2">
        <v>2</v>
      </c>
      <c r="BK1965" s="2">
        <v>5</v>
      </c>
      <c r="BL1965" s="2">
        <v>114.8</v>
      </c>
      <c r="BM1965" s="2">
        <v>16.07</v>
      </c>
      <c r="BN1965" s="2">
        <v>130.87</v>
      </c>
      <c r="BO1965" s="2">
        <v>130.87</v>
      </c>
      <c r="BQ1965" s="2" t="s">
        <v>102</v>
      </c>
      <c r="BR1965" s="2" t="s">
        <v>103</v>
      </c>
      <c r="BS1965" s="3">
        <v>43083</v>
      </c>
      <c r="BT1965" s="4">
        <v>0.33819444444444446</v>
      </c>
      <c r="BU1965" s="2" t="s">
        <v>2310</v>
      </c>
      <c r="BV1965" s="2" t="s">
        <v>85</v>
      </c>
      <c r="BY1965" s="2">
        <v>9918</v>
      </c>
      <c r="CA1965" s="2" t="s">
        <v>2311</v>
      </c>
      <c r="CC1965" s="2" t="s">
        <v>263</v>
      </c>
      <c r="CD1965" s="2">
        <v>6230</v>
      </c>
      <c r="CE1965" s="2" t="s">
        <v>95</v>
      </c>
      <c r="CF1965" s="3">
        <v>43087</v>
      </c>
      <c r="CI1965" s="2">
        <v>1</v>
      </c>
      <c r="CJ1965" s="2">
        <v>1</v>
      </c>
      <c r="CK1965" s="2">
        <v>21</v>
      </c>
      <c r="CL1965" s="2" t="s">
        <v>89</v>
      </c>
    </row>
    <row r="1966" spans="1:90">
      <c r="A1966" s="2" t="s">
        <v>71</v>
      </c>
      <c r="B1966" s="2" t="s">
        <v>72</v>
      </c>
      <c r="C1966" s="2" t="s">
        <v>73</v>
      </c>
      <c r="E1966" s="2" t="str">
        <f>"FES1162595837"</f>
        <v>FES1162595837</v>
      </c>
      <c r="F1966" s="3">
        <v>43082</v>
      </c>
      <c r="G1966" s="2">
        <v>201806</v>
      </c>
      <c r="H1966" s="2" t="s">
        <v>74</v>
      </c>
      <c r="I1966" s="2" t="s">
        <v>75</v>
      </c>
      <c r="J1966" s="2" t="s">
        <v>97</v>
      </c>
      <c r="K1966" s="2" t="s">
        <v>77</v>
      </c>
      <c r="L1966" s="2" t="s">
        <v>173</v>
      </c>
      <c r="M1966" s="2" t="s">
        <v>174</v>
      </c>
      <c r="N1966" s="2" t="s">
        <v>2312</v>
      </c>
      <c r="O1966" s="2" t="s">
        <v>101</v>
      </c>
      <c r="P1966" s="2" t="str">
        <f>"2170607683                    "</f>
        <v xml:space="preserve">2170607683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6.43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1</v>
      </c>
      <c r="BJ1966" s="2">
        <v>0.2</v>
      </c>
      <c r="BK1966" s="2">
        <v>1</v>
      </c>
      <c r="BL1966" s="2">
        <v>45.93</v>
      </c>
      <c r="BM1966" s="2">
        <v>6.43</v>
      </c>
      <c r="BN1966" s="2">
        <v>52.36</v>
      </c>
      <c r="BO1966" s="2">
        <v>52.36</v>
      </c>
      <c r="BQ1966" s="2" t="s">
        <v>2313</v>
      </c>
      <c r="BR1966" s="2" t="s">
        <v>103</v>
      </c>
      <c r="BS1966" s="3">
        <v>43083</v>
      </c>
      <c r="BT1966" s="4">
        <v>0.45</v>
      </c>
      <c r="BU1966" s="2" t="s">
        <v>758</v>
      </c>
      <c r="BV1966" s="2" t="s">
        <v>85</v>
      </c>
      <c r="BY1966" s="2">
        <v>1200</v>
      </c>
      <c r="CA1966" s="2" t="s">
        <v>1261</v>
      </c>
      <c r="CC1966" s="2" t="s">
        <v>174</v>
      </c>
      <c r="CD1966" s="2">
        <v>7780</v>
      </c>
      <c r="CE1966" s="2" t="s">
        <v>120</v>
      </c>
      <c r="CF1966" s="3">
        <v>43087</v>
      </c>
      <c r="CI1966" s="2">
        <v>1</v>
      </c>
      <c r="CJ1966" s="2">
        <v>1</v>
      </c>
      <c r="CK1966" s="2">
        <v>21</v>
      </c>
      <c r="CL1966" s="2" t="s">
        <v>89</v>
      </c>
    </row>
    <row r="1967" spans="1:90">
      <c r="A1967" s="2" t="s">
        <v>71</v>
      </c>
      <c r="B1967" s="2" t="s">
        <v>72</v>
      </c>
      <c r="C1967" s="2" t="s">
        <v>73</v>
      </c>
      <c r="E1967" s="2" t="str">
        <f>"FES1162595833"</f>
        <v>FES1162595833</v>
      </c>
      <c r="F1967" s="3">
        <v>43082</v>
      </c>
      <c r="G1967" s="2">
        <v>201806</v>
      </c>
      <c r="H1967" s="2" t="s">
        <v>74</v>
      </c>
      <c r="I1967" s="2" t="s">
        <v>75</v>
      </c>
      <c r="J1967" s="2" t="s">
        <v>97</v>
      </c>
      <c r="K1967" s="2" t="s">
        <v>77</v>
      </c>
      <c r="L1967" s="2" t="s">
        <v>2314</v>
      </c>
      <c r="M1967" s="2" t="s">
        <v>2315</v>
      </c>
      <c r="N1967" s="2" t="s">
        <v>2316</v>
      </c>
      <c r="O1967" s="2" t="s">
        <v>101</v>
      </c>
      <c r="P1967" s="2" t="str">
        <f>"2170607663                    "</f>
        <v xml:space="preserve">2170607663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12.47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89</v>
      </c>
      <c r="BM1967" s="2">
        <v>12.46</v>
      </c>
      <c r="BN1967" s="2">
        <v>101.46</v>
      </c>
      <c r="BO1967" s="2">
        <v>101.46</v>
      </c>
      <c r="BQ1967" s="2" t="s">
        <v>2317</v>
      </c>
      <c r="BR1967" s="2" t="s">
        <v>103</v>
      </c>
      <c r="BS1967" s="3">
        <v>43083</v>
      </c>
      <c r="BT1967" s="4">
        <v>0.4375</v>
      </c>
      <c r="BU1967" s="2" t="s">
        <v>2318</v>
      </c>
      <c r="BV1967" s="2" t="s">
        <v>85</v>
      </c>
      <c r="BY1967" s="2">
        <v>1200</v>
      </c>
      <c r="CA1967" s="2" t="s">
        <v>2319</v>
      </c>
      <c r="CC1967" s="2" t="s">
        <v>2315</v>
      </c>
      <c r="CD1967" s="2">
        <v>4170</v>
      </c>
      <c r="CE1967" s="2" t="s">
        <v>120</v>
      </c>
      <c r="CF1967" s="3">
        <v>43087</v>
      </c>
      <c r="CI1967" s="2">
        <v>1</v>
      </c>
      <c r="CJ1967" s="2">
        <v>1</v>
      </c>
      <c r="CK1967" s="2">
        <v>23</v>
      </c>
      <c r="CL1967" s="2" t="s">
        <v>89</v>
      </c>
    </row>
    <row r="1968" spans="1:90">
      <c r="A1968" s="2" t="s">
        <v>71</v>
      </c>
      <c r="B1968" s="2" t="s">
        <v>72</v>
      </c>
      <c r="C1968" s="2" t="s">
        <v>73</v>
      </c>
      <c r="E1968" s="2" t="str">
        <f>"FES1162595832"</f>
        <v>FES1162595832</v>
      </c>
      <c r="F1968" s="3">
        <v>43082</v>
      </c>
      <c r="G1968" s="2">
        <v>201806</v>
      </c>
      <c r="H1968" s="2" t="s">
        <v>74</v>
      </c>
      <c r="I1968" s="2" t="s">
        <v>75</v>
      </c>
      <c r="J1968" s="2" t="s">
        <v>97</v>
      </c>
      <c r="K1968" s="2" t="s">
        <v>77</v>
      </c>
      <c r="L1968" s="2" t="s">
        <v>262</v>
      </c>
      <c r="M1968" s="2" t="s">
        <v>263</v>
      </c>
      <c r="N1968" s="2" t="s">
        <v>1567</v>
      </c>
      <c r="O1968" s="2" t="s">
        <v>101</v>
      </c>
      <c r="P1968" s="2" t="str">
        <f>"2170607662                    "</f>
        <v xml:space="preserve">2170607662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6.43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1</v>
      </c>
      <c r="BJ1968" s="2">
        <v>0.2</v>
      </c>
      <c r="BK1968" s="2">
        <v>1</v>
      </c>
      <c r="BL1968" s="2">
        <v>45.93</v>
      </c>
      <c r="BM1968" s="2">
        <v>6.43</v>
      </c>
      <c r="BN1968" s="2">
        <v>52.36</v>
      </c>
      <c r="BO1968" s="2">
        <v>52.36</v>
      </c>
      <c r="BQ1968" s="2" t="s">
        <v>128</v>
      </c>
      <c r="BR1968" s="2" t="s">
        <v>103</v>
      </c>
      <c r="BS1968" s="3">
        <v>43083</v>
      </c>
      <c r="BT1968" s="4">
        <v>0.5625</v>
      </c>
      <c r="BU1968" s="2" t="s">
        <v>2320</v>
      </c>
      <c r="BV1968" s="2" t="s">
        <v>89</v>
      </c>
      <c r="BW1968" s="2" t="s">
        <v>313</v>
      </c>
      <c r="BX1968" s="2" t="s">
        <v>314</v>
      </c>
      <c r="BY1968" s="2">
        <v>1200</v>
      </c>
      <c r="CA1968" s="2" t="s">
        <v>266</v>
      </c>
      <c r="CC1968" s="2" t="s">
        <v>263</v>
      </c>
      <c r="CD1968" s="2">
        <v>6229</v>
      </c>
      <c r="CE1968" s="2" t="s">
        <v>120</v>
      </c>
      <c r="CF1968" s="3">
        <v>43084</v>
      </c>
      <c r="CI1968" s="2">
        <v>1</v>
      </c>
      <c r="CJ1968" s="2">
        <v>1</v>
      </c>
      <c r="CK1968" s="2">
        <v>21</v>
      </c>
      <c r="CL1968" s="2" t="s">
        <v>89</v>
      </c>
    </row>
    <row r="1969" spans="1:90">
      <c r="A1969" s="2" t="s">
        <v>71</v>
      </c>
      <c r="B1969" s="2" t="s">
        <v>72</v>
      </c>
      <c r="C1969" s="2" t="s">
        <v>73</v>
      </c>
      <c r="E1969" s="2" t="str">
        <f>"FES1162595835"</f>
        <v>FES1162595835</v>
      </c>
      <c r="F1969" s="3">
        <v>43082</v>
      </c>
      <c r="G1969" s="2">
        <v>201806</v>
      </c>
      <c r="H1969" s="2" t="s">
        <v>74</v>
      </c>
      <c r="I1969" s="2" t="s">
        <v>75</v>
      </c>
      <c r="J1969" s="2" t="s">
        <v>97</v>
      </c>
      <c r="K1969" s="2" t="s">
        <v>77</v>
      </c>
      <c r="L1969" s="2" t="s">
        <v>125</v>
      </c>
      <c r="M1969" s="2" t="s">
        <v>126</v>
      </c>
      <c r="N1969" s="2" t="s">
        <v>2077</v>
      </c>
      <c r="O1969" s="2" t="s">
        <v>101</v>
      </c>
      <c r="P1969" s="2" t="str">
        <f>"2170607668                    "</f>
        <v xml:space="preserve">2170607668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6.43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1</v>
      </c>
      <c r="BJ1969" s="2">
        <v>0.2</v>
      </c>
      <c r="BK1969" s="2">
        <v>1</v>
      </c>
      <c r="BL1969" s="2">
        <v>45.93</v>
      </c>
      <c r="BM1969" s="2">
        <v>6.43</v>
      </c>
      <c r="BN1969" s="2">
        <v>52.36</v>
      </c>
      <c r="BO1969" s="2">
        <v>52.36</v>
      </c>
      <c r="BR1969" s="2" t="s">
        <v>103</v>
      </c>
      <c r="BS1969" s="3">
        <v>43083</v>
      </c>
      <c r="BT1969" s="4">
        <v>0.37291666666666662</v>
      </c>
      <c r="BU1969" s="2" t="s">
        <v>2183</v>
      </c>
      <c r="BV1969" s="2" t="s">
        <v>85</v>
      </c>
      <c r="BY1969" s="2">
        <v>1200</v>
      </c>
      <c r="CA1969" s="2" t="s">
        <v>135</v>
      </c>
      <c r="CC1969" s="2" t="s">
        <v>126</v>
      </c>
      <c r="CD1969" s="2">
        <v>4068</v>
      </c>
      <c r="CE1969" s="2" t="s">
        <v>120</v>
      </c>
      <c r="CF1969" s="3">
        <v>43084</v>
      </c>
      <c r="CI1969" s="2">
        <v>1</v>
      </c>
      <c r="CJ1969" s="2">
        <v>1</v>
      </c>
      <c r="CK1969" s="2">
        <v>21</v>
      </c>
      <c r="CL1969" s="2" t="s">
        <v>89</v>
      </c>
    </row>
    <row r="1970" spans="1:90">
      <c r="A1970" s="2" t="s">
        <v>71</v>
      </c>
      <c r="B1970" s="2" t="s">
        <v>72</v>
      </c>
      <c r="C1970" s="2" t="s">
        <v>73</v>
      </c>
      <c r="E1970" s="2" t="str">
        <f>"FES1162595802"</f>
        <v>FES1162595802</v>
      </c>
      <c r="F1970" s="3">
        <v>43082</v>
      </c>
      <c r="G1970" s="2">
        <v>201806</v>
      </c>
      <c r="H1970" s="2" t="s">
        <v>74</v>
      </c>
      <c r="I1970" s="2" t="s">
        <v>75</v>
      </c>
      <c r="J1970" s="2" t="s">
        <v>97</v>
      </c>
      <c r="K1970" s="2" t="s">
        <v>77</v>
      </c>
      <c r="L1970" s="2" t="s">
        <v>136</v>
      </c>
      <c r="M1970" s="2" t="s">
        <v>137</v>
      </c>
      <c r="N1970" s="2" t="s">
        <v>178</v>
      </c>
      <c r="O1970" s="2" t="s">
        <v>101</v>
      </c>
      <c r="P1970" s="2" t="str">
        <f>"2170606823                    "</f>
        <v xml:space="preserve">2170606823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6.43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1</v>
      </c>
      <c r="BJ1970" s="2">
        <v>0.2</v>
      </c>
      <c r="BK1970" s="2">
        <v>1</v>
      </c>
      <c r="BL1970" s="2">
        <v>45.93</v>
      </c>
      <c r="BM1970" s="2">
        <v>6.43</v>
      </c>
      <c r="BN1970" s="2">
        <v>52.36</v>
      </c>
      <c r="BO1970" s="2">
        <v>52.36</v>
      </c>
      <c r="BQ1970" s="2" t="s">
        <v>102</v>
      </c>
      <c r="BR1970" s="2" t="s">
        <v>103</v>
      </c>
      <c r="BS1970" s="3">
        <v>43083</v>
      </c>
      <c r="BT1970" s="4">
        <v>0.4375</v>
      </c>
      <c r="BU1970" s="2" t="s">
        <v>179</v>
      </c>
      <c r="BV1970" s="2" t="s">
        <v>85</v>
      </c>
      <c r="BY1970" s="2">
        <v>1200</v>
      </c>
      <c r="CA1970" s="2" t="s">
        <v>180</v>
      </c>
      <c r="CC1970" s="2" t="s">
        <v>137</v>
      </c>
      <c r="CD1970" s="2">
        <v>6001</v>
      </c>
      <c r="CE1970" s="2" t="s">
        <v>120</v>
      </c>
      <c r="CF1970" s="3">
        <v>43084</v>
      </c>
      <c r="CI1970" s="2">
        <v>1</v>
      </c>
      <c r="CJ1970" s="2">
        <v>1</v>
      </c>
      <c r="CK1970" s="2">
        <v>21</v>
      </c>
      <c r="CL1970" s="2" t="s">
        <v>89</v>
      </c>
    </row>
    <row r="1971" spans="1:90">
      <c r="A1971" s="2" t="s">
        <v>71</v>
      </c>
      <c r="B1971" s="2" t="s">
        <v>72</v>
      </c>
      <c r="C1971" s="2" t="s">
        <v>73</v>
      </c>
      <c r="E1971" s="2" t="str">
        <f>"FES1162595800"</f>
        <v>FES1162595800</v>
      </c>
      <c r="F1971" s="3">
        <v>43082</v>
      </c>
      <c r="G1971" s="2">
        <v>201806</v>
      </c>
      <c r="H1971" s="2" t="s">
        <v>74</v>
      </c>
      <c r="I1971" s="2" t="s">
        <v>75</v>
      </c>
      <c r="J1971" s="2" t="s">
        <v>97</v>
      </c>
      <c r="K1971" s="2" t="s">
        <v>77</v>
      </c>
      <c r="L1971" s="2" t="s">
        <v>136</v>
      </c>
      <c r="M1971" s="2" t="s">
        <v>137</v>
      </c>
      <c r="N1971" s="2" t="s">
        <v>823</v>
      </c>
      <c r="O1971" s="2" t="s">
        <v>101</v>
      </c>
      <c r="P1971" s="2" t="str">
        <f>"2170606363                    "</f>
        <v xml:space="preserve">2170606363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6.43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1</v>
      </c>
      <c r="BJ1971" s="2">
        <v>0.2</v>
      </c>
      <c r="BK1971" s="2">
        <v>1</v>
      </c>
      <c r="BL1971" s="2">
        <v>45.93</v>
      </c>
      <c r="BM1971" s="2">
        <v>6.43</v>
      </c>
      <c r="BN1971" s="2">
        <v>52.36</v>
      </c>
      <c r="BO1971" s="2">
        <v>52.36</v>
      </c>
      <c r="BQ1971" s="2" t="s">
        <v>924</v>
      </c>
      <c r="BR1971" s="2" t="s">
        <v>103</v>
      </c>
      <c r="BS1971" s="3">
        <v>43083</v>
      </c>
      <c r="BT1971" s="4">
        <v>0.40625</v>
      </c>
      <c r="BU1971" s="2" t="s">
        <v>2321</v>
      </c>
      <c r="BV1971" s="2" t="s">
        <v>85</v>
      </c>
      <c r="BY1971" s="2">
        <v>1200</v>
      </c>
      <c r="CA1971" s="2" t="s">
        <v>180</v>
      </c>
      <c r="CC1971" s="2" t="s">
        <v>137</v>
      </c>
      <c r="CD1971" s="2">
        <v>6001</v>
      </c>
      <c r="CE1971" s="2" t="s">
        <v>120</v>
      </c>
      <c r="CF1971" s="3">
        <v>43084</v>
      </c>
      <c r="CI1971" s="2">
        <v>1</v>
      </c>
      <c r="CJ1971" s="2">
        <v>1</v>
      </c>
      <c r="CK1971" s="2">
        <v>21</v>
      </c>
      <c r="CL1971" s="2" t="s">
        <v>89</v>
      </c>
    </row>
    <row r="1972" spans="1:90">
      <c r="A1972" s="2" t="s">
        <v>71</v>
      </c>
      <c r="B1972" s="2" t="s">
        <v>72</v>
      </c>
      <c r="C1972" s="2" t="s">
        <v>73</v>
      </c>
      <c r="E1972" s="2" t="str">
        <f>"FES1162595791"</f>
        <v>FES1162595791</v>
      </c>
      <c r="F1972" s="3">
        <v>43082</v>
      </c>
      <c r="G1972" s="2">
        <v>201806</v>
      </c>
      <c r="H1972" s="2" t="s">
        <v>74</v>
      </c>
      <c r="I1972" s="2" t="s">
        <v>75</v>
      </c>
      <c r="J1972" s="2" t="s">
        <v>97</v>
      </c>
      <c r="K1972" s="2" t="s">
        <v>77</v>
      </c>
      <c r="L1972" s="2" t="s">
        <v>115</v>
      </c>
      <c r="M1972" s="2" t="s">
        <v>116</v>
      </c>
      <c r="N1972" s="2" t="s">
        <v>2322</v>
      </c>
      <c r="O1972" s="2" t="s">
        <v>101</v>
      </c>
      <c r="P1972" s="2" t="str">
        <f>"2170606584                    "</f>
        <v xml:space="preserve">2170606584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5.03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</v>
      </c>
      <c r="BJ1972" s="2">
        <v>0.2</v>
      </c>
      <c r="BK1972" s="2">
        <v>1</v>
      </c>
      <c r="BL1972" s="2">
        <v>35.89</v>
      </c>
      <c r="BM1972" s="2">
        <v>5.0199999999999996</v>
      </c>
      <c r="BN1972" s="2">
        <v>40.909999999999997</v>
      </c>
      <c r="BO1972" s="2">
        <v>40.909999999999997</v>
      </c>
      <c r="BR1972" s="2" t="s">
        <v>103</v>
      </c>
      <c r="BS1972" s="3">
        <v>43083</v>
      </c>
      <c r="BT1972" s="4">
        <v>0.30277777777777776</v>
      </c>
      <c r="BU1972" s="2" t="s">
        <v>2323</v>
      </c>
      <c r="BV1972" s="2" t="s">
        <v>85</v>
      </c>
      <c r="BY1972" s="2">
        <v>1200</v>
      </c>
      <c r="CA1972" s="2" t="s">
        <v>119</v>
      </c>
      <c r="CC1972" s="2" t="s">
        <v>116</v>
      </c>
      <c r="CD1972" s="2">
        <v>1460</v>
      </c>
      <c r="CE1972" s="2" t="s">
        <v>120</v>
      </c>
      <c r="CF1972" s="3">
        <v>43084</v>
      </c>
      <c r="CI1972" s="2">
        <v>1</v>
      </c>
      <c r="CJ1972" s="2">
        <v>1</v>
      </c>
      <c r="CK1972" s="2">
        <v>22</v>
      </c>
      <c r="CL1972" s="2" t="s">
        <v>89</v>
      </c>
    </row>
    <row r="1973" spans="1:90">
      <c r="A1973" s="2" t="s">
        <v>71</v>
      </c>
      <c r="B1973" s="2" t="s">
        <v>72</v>
      </c>
      <c r="C1973" s="2" t="s">
        <v>73</v>
      </c>
      <c r="E1973" s="2" t="str">
        <f>"FES1162595851"</f>
        <v>FES1162595851</v>
      </c>
      <c r="F1973" s="3">
        <v>43082</v>
      </c>
      <c r="G1973" s="2">
        <v>201806</v>
      </c>
      <c r="H1973" s="2" t="s">
        <v>74</v>
      </c>
      <c r="I1973" s="2" t="s">
        <v>75</v>
      </c>
      <c r="J1973" s="2" t="s">
        <v>97</v>
      </c>
      <c r="K1973" s="2" t="s">
        <v>77</v>
      </c>
      <c r="L1973" s="2" t="s">
        <v>131</v>
      </c>
      <c r="M1973" s="2" t="s">
        <v>132</v>
      </c>
      <c r="N1973" s="2" t="s">
        <v>133</v>
      </c>
      <c r="O1973" s="2" t="s">
        <v>101</v>
      </c>
      <c r="P1973" s="2" t="str">
        <f>"2170607686                    "</f>
        <v xml:space="preserve">2170607686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17.690000000000001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5.0999999999999996</v>
      </c>
      <c r="BJ1973" s="2">
        <v>3.4</v>
      </c>
      <c r="BK1973" s="2">
        <v>5.5</v>
      </c>
      <c r="BL1973" s="2">
        <v>126.28</v>
      </c>
      <c r="BM1973" s="2">
        <v>17.68</v>
      </c>
      <c r="BN1973" s="2">
        <v>143.96</v>
      </c>
      <c r="BO1973" s="2">
        <v>143.96</v>
      </c>
      <c r="BQ1973" s="2" t="s">
        <v>102</v>
      </c>
      <c r="BR1973" s="2" t="s">
        <v>103</v>
      </c>
      <c r="BS1973" s="3">
        <v>43083</v>
      </c>
      <c r="BT1973" s="4">
        <v>0.43194444444444446</v>
      </c>
      <c r="BU1973" s="2" t="s">
        <v>134</v>
      </c>
      <c r="BV1973" s="2" t="s">
        <v>85</v>
      </c>
      <c r="BY1973" s="2">
        <v>16868.599999999999</v>
      </c>
      <c r="CA1973" s="2" t="s">
        <v>135</v>
      </c>
      <c r="CC1973" s="2" t="s">
        <v>132</v>
      </c>
      <c r="CD1973" s="2">
        <v>4302</v>
      </c>
      <c r="CE1973" s="2" t="s">
        <v>95</v>
      </c>
      <c r="CF1973" s="3">
        <v>43084</v>
      </c>
      <c r="CI1973" s="2">
        <v>1</v>
      </c>
      <c r="CJ1973" s="2">
        <v>1</v>
      </c>
      <c r="CK1973" s="2">
        <v>21</v>
      </c>
      <c r="CL1973" s="2" t="s">
        <v>89</v>
      </c>
    </row>
    <row r="1974" spans="1:90">
      <c r="A1974" s="2" t="s">
        <v>71</v>
      </c>
      <c r="B1974" s="2" t="s">
        <v>72</v>
      </c>
      <c r="C1974" s="2" t="s">
        <v>73</v>
      </c>
      <c r="E1974" s="2" t="str">
        <f>"FES1162595804"</f>
        <v>FES1162595804</v>
      </c>
      <c r="F1974" s="3">
        <v>43082</v>
      </c>
      <c r="G1974" s="2">
        <v>201806</v>
      </c>
      <c r="H1974" s="2" t="s">
        <v>74</v>
      </c>
      <c r="I1974" s="2" t="s">
        <v>75</v>
      </c>
      <c r="J1974" s="2" t="s">
        <v>97</v>
      </c>
      <c r="K1974" s="2" t="s">
        <v>77</v>
      </c>
      <c r="L1974" s="2" t="s">
        <v>136</v>
      </c>
      <c r="M1974" s="2" t="s">
        <v>137</v>
      </c>
      <c r="N1974" s="2" t="s">
        <v>258</v>
      </c>
      <c r="O1974" s="2" t="s">
        <v>101</v>
      </c>
      <c r="P1974" s="2" t="str">
        <f>"2170607616                    "</f>
        <v xml:space="preserve">2170607616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6.43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</v>
      </c>
      <c r="BJ1974" s="2">
        <v>0.2</v>
      </c>
      <c r="BK1974" s="2">
        <v>1</v>
      </c>
      <c r="BL1974" s="2">
        <v>45.93</v>
      </c>
      <c r="BM1974" s="2">
        <v>6.43</v>
      </c>
      <c r="BN1974" s="2">
        <v>52.36</v>
      </c>
      <c r="BO1974" s="2">
        <v>52.36</v>
      </c>
      <c r="BQ1974" s="2" t="s">
        <v>102</v>
      </c>
      <c r="BR1974" s="2" t="s">
        <v>103</v>
      </c>
      <c r="BS1974" s="3">
        <v>43083</v>
      </c>
      <c r="BT1974" s="4">
        <v>0.44791666666666669</v>
      </c>
      <c r="BU1974" s="2" t="s">
        <v>114</v>
      </c>
      <c r="BV1974" s="2" t="s">
        <v>85</v>
      </c>
      <c r="BY1974" s="2">
        <v>1200</v>
      </c>
      <c r="CC1974" s="2" t="s">
        <v>137</v>
      </c>
      <c r="CD1974" s="2">
        <v>6001</v>
      </c>
      <c r="CE1974" s="2" t="s">
        <v>120</v>
      </c>
      <c r="CF1974" s="3">
        <v>43084</v>
      </c>
      <c r="CI1974" s="2">
        <v>1</v>
      </c>
      <c r="CJ1974" s="2">
        <v>1</v>
      </c>
      <c r="CK1974" s="2">
        <v>21</v>
      </c>
      <c r="CL1974" s="2" t="s">
        <v>89</v>
      </c>
    </row>
    <row r="1975" spans="1:90">
      <c r="A1975" s="2" t="s">
        <v>71</v>
      </c>
      <c r="B1975" s="2" t="s">
        <v>72</v>
      </c>
      <c r="C1975" s="2" t="s">
        <v>73</v>
      </c>
      <c r="E1975" s="2" t="str">
        <f>"FES1162595793"</f>
        <v>FES1162595793</v>
      </c>
      <c r="F1975" s="3">
        <v>43082</v>
      </c>
      <c r="G1975" s="2">
        <v>201806</v>
      </c>
      <c r="H1975" s="2" t="s">
        <v>74</v>
      </c>
      <c r="I1975" s="2" t="s">
        <v>75</v>
      </c>
      <c r="J1975" s="2" t="s">
        <v>97</v>
      </c>
      <c r="K1975" s="2" t="s">
        <v>77</v>
      </c>
      <c r="L1975" s="2" t="s">
        <v>145</v>
      </c>
      <c r="M1975" s="2" t="s">
        <v>146</v>
      </c>
      <c r="N1975" s="2" t="s">
        <v>1876</v>
      </c>
      <c r="O1975" s="2" t="s">
        <v>101</v>
      </c>
      <c r="P1975" s="2" t="str">
        <f>"21706060705                   "</f>
        <v xml:space="preserve">21706060705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6.43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45.93</v>
      </c>
      <c r="BM1975" s="2">
        <v>6.43</v>
      </c>
      <c r="BN1975" s="2">
        <v>52.36</v>
      </c>
      <c r="BO1975" s="2">
        <v>52.36</v>
      </c>
      <c r="BQ1975" s="2" t="s">
        <v>187</v>
      </c>
      <c r="BR1975" s="2" t="s">
        <v>103</v>
      </c>
      <c r="BS1975" s="3">
        <v>43083</v>
      </c>
      <c r="BT1975" s="4">
        <v>0.4284722222222222</v>
      </c>
      <c r="BU1975" s="2" t="s">
        <v>2324</v>
      </c>
      <c r="BV1975" s="2" t="s">
        <v>85</v>
      </c>
      <c r="BY1975" s="2">
        <v>1200</v>
      </c>
      <c r="CA1975" s="2" t="s">
        <v>183</v>
      </c>
      <c r="CC1975" s="2" t="s">
        <v>146</v>
      </c>
      <c r="CD1975" s="2">
        <v>5201</v>
      </c>
      <c r="CE1975" s="2" t="s">
        <v>120</v>
      </c>
      <c r="CF1975" s="3">
        <v>43088</v>
      </c>
      <c r="CI1975" s="2">
        <v>1</v>
      </c>
      <c r="CJ1975" s="2">
        <v>1</v>
      </c>
      <c r="CK1975" s="2">
        <v>21</v>
      </c>
      <c r="CL1975" s="2" t="s">
        <v>89</v>
      </c>
    </row>
    <row r="1976" spans="1:90">
      <c r="A1976" s="2" t="s">
        <v>71</v>
      </c>
      <c r="B1976" s="2" t="s">
        <v>72</v>
      </c>
      <c r="C1976" s="2" t="s">
        <v>73</v>
      </c>
      <c r="E1976" s="2" t="str">
        <f>"FES1162595787"</f>
        <v>FES1162595787</v>
      </c>
      <c r="F1976" s="3">
        <v>43082</v>
      </c>
      <c r="G1976" s="2">
        <v>201806</v>
      </c>
      <c r="H1976" s="2" t="s">
        <v>74</v>
      </c>
      <c r="I1976" s="2" t="s">
        <v>75</v>
      </c>
      <c r="J1976" s="2" t="s">
        <v>97</v>
      </c>
      <c r="K1976" s="2" t="s">
        <v>77</v>
      </c>
      <c r="L1976" s="2" t="s">
        <v>860</v>
      </c>
      <c r="M1976" s="2" t="s">
        <v>861</v>
      </c>
      <c r="N1976" s="2" t="s">
        <v>862</v>
      </c>
      <c r="O1976" s="2" t="s">
        <v>101</v>
      </c>
      <c r="P1976" s="2" t="str">
        <f>"2170607614                    "</f>
        <v xml:space="preserve">2170607614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6.43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1</v>
      </c>
      <c r="BJ1976" s="2">
        <v>0.2</v>
      </c>
      <c r="BK1976" s="2">
        <v>1</v>
      </c>
      <c r="BL1976" s="2">
        <v>45.93</v>
      </c>
      <c r="BM1976" s="2">
        <v>6.43</v>
      </c>
      <c r="BN1976" s="2">
        <v>52.36</v>
      </c>
      <c r="BO1976" s="2">
        <v>52.36</v>
      </c>
      <c r="BQ1976" s="2" t="s">
        <v>187</v>
      </c>
      <c r="BR1976" s="2" t="s">
        <v>103</v>
      </c>
      <c r="BS1976" s="3">
        <v>43083</v>
      </c>
      <c r="BT1976" s="4">
        <v>0.41666666666666669</v>
      </c>
      <c r="BU1976" s="2" t="s">
        <v>2325</v>
      </c>
      <c r="BV1976" s="2" t="s">
        <v>85</v>
      </c>
      <c r="BY1976" s="2">
        <v>1200</v>
      </c>
      <c r="CA1976" s="2" t="s">
        <v>2149</v>
      </c>
      <c r="CC1976" s="2" t="s">
        <v>861</v>
      </c>
      <c r="CD1976" s="2">
        <v>7140</v>
      </c>
      <c r="CE1976" s="2" t="s">
        <v>120</v>
      </c>
      <c r="CF1976" s="3">
        <v>43084</v>
      </c>
      <c r="CI1976" s="2">
        <v>1</v>
      </c>
      <c r="CJ1976" s="2">
        <v>1</v>
      </c>
      <c r="CK1976" s="2">
        <v>21</v>
      </c>
      <c r="CL1976" s="2" t="s">
        <v>89</v>
      </c>
    </row>
    <row r="1977" spans="1:90">
      <c r="A1977" s="2" t="s">
        <v>71</v>
      </c>
      <c r="B1977" s="2" t="s">
        <v>72</v>
      </c>
      <c r="C1977" s="2" t="s">
        <v>73</v>
      </c>
      <c r="E1977" s="2" t="str">
        <f>"FES1162595844"</f>
        <v>FES1162595844</v>
      </c>
      <c r="F1977" s="3">
        <v>43082</v>
      </c>
      <c r="G1977" s="2">
        <v>201806</v>
      </c>
      <c r="H1977" s="2" t="s">
        <v>74</v>
      </c>
      <c r="I1977" s="2" t="s">
        <v>75</v>
      </c>
      <c r="J1977" s="2" t="s">
        <v>97</v>
      </c>
      <c r="K1977" s="2" t="s">
        <v>77</v>
      </c>
      <c r="L1977" s="2" t="s">
        <v>168</v>
      </c>
      <c r="M1977" s="2" t="s">
        <v>169</v>
      </c>
      <c r="N1977" s="2" t="s">
        <v>1099</v>
      </c>
      <c r="O1977" s="2" t="s">
        <v>101</v>
      </c>
      <c r="P1977" s="2" t="str">
        <f>"2170607680                    "</f>
        <v xml:space="preserve">2170607680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6.43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45.93</v>
      </c>
      <c r="BM1977" s="2">
        <v>6.43</v>
      </c>
      <c r="BN1977" s="2">
        <v>52.36</v>
      </c>
      <c r="BO1977" s="2">
        <v>52.36</v>
      </c>
      <c r="BQ1977" s="2" t="s">
        <v>82</v>
      </c>
      <c r="BR1977" s="2" t="s">
        <v>103</v>
      </c>
      <c r="BS1977" s="3">
        <v>43083</v>
      </c>
      <c r="BT1977" s="4">
        <v>0.40625</v>
      </c>
      <c r="BU1977" s="2" t="s">
        <v>1100</v>
      </c>
      <c r="BV1977" s="2" t="s">
        <v>85</v>
      </c>
      <c r="BY1977" s="2">
        <v>1200</v>
      </c>
      <c r="CA1977" s="2" t="s">
        <v>172</v>
      </c>
      <c r="CC1977" s="2" t="s">
        <v>169</v>
      </c>
      <c r="CD1977" s="2">
        <v>3610</v>
      </c>
      <c r="CE1977" s="2" t="s">
        <v>120</v>
      </c>
      <c r="CF1977" s="3">
        <v>43084</v>
      </c>
      <c r="CI1977" s="2">
        <v>1</v>
      </c>
      <c r="CJ1977" s="2">
        <v>1</v>
      </c>
      <c r="CK1977" s="2">
        <v>21</v>
      </c>
      <c r="CL1977" s="2" t="s">
        <v>89</v>
      </c>
    </row>
    <row r="1978" spans="1:90">
      <c r="A1978" s="2" t="s">
        <v>71</v>
      </c>
      <c r="B1978" s="2" t="s">
        <v>72</v>
      </c>
      <c r="C1978" s="2" t="s">
        <v>73</v>
      </c>
      <c r="E1978" s="2" t="str">
        <f>"FES1162595842"</f>
        <v>FES1162595842</v>
      </c>
      <c r="F1978" s="3">
        <v>43082</v>
      </c>
      <c r="G1978" s="2">
        <v>201806</v>
      </c>
      <c r="H1978" s="2" t="s">
        <v>74</v>
      </c>
      <c r="I1978" s="2" t="s">
        <v>75</v>
      </c>
      <c r="J1978" s="2" t="s">
        <v>97</v>
      </c>
      <c r="K1978" s="2" t="s">
        <v>77</v>
      </c>
      <c r="L1978" s="2" t="s">
        <v>136</v>
      </c>
      <c r="M1978" s="2" t="s">
        <v>137</v>
      </c>
      <c r="N1978" s="2" t="s">
        <v>178</v>
      </c>
      <c r="O1978" s="2" t="s">
        <v>101</v>
      </c>
      <c r="P1978" s="2" t="str">
        <f>"2170607677                    "</f>
        <v xml:space="preserve">2170607677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6.43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1</v>
      </c>
      <c r="BJ1978" s="2">
        <v>0.2</v>
      </c>
      <c r="BK1978" s="2">
        <v>1</v>
      </c>
      <c r="BL1978" s="2">
        <v>45.93</v>
      </c>
      <c r="BM1978" s="2">
        <v>6.43</v>
      </c>
      <c r="BN1978" s="2">
        <v>52.36</v>
      </c>
      <c r="BO1978" s="2">
        <v>52.36</v>
      </c>
      <c r="BQ1978" s="2" t="s">
        <v>102</v>
      </c>
      <c r="BR1978" s="2" t="s">
        <v>103</v>
      </c>
      <c r="BS1978" s="3">
        <v>43083</v>
      </c>
      <c r="BT1978" s="4">
        <v>0.4375</v>
      </c>
      <c r="BU1978" s="2" t="s">
        <v>179</v>
      </c>
      <c r="BV1978" s="2" t="s">
        <v>85</v>
      </c>
      <c r="BY1978" s="2">
        <v>1200</v>
      </c>
      <c r="CA1978" s="2" t="s">
        <v>180</v>
      </c>
      <c r="CC1978" s="2" t="s">
        <v>137</v>
      </c>
      <c r="CD1978" s="2">
        <v>6001</v>
      </c>
      <c r="CE1978" s="2" t="s">
        <v>120</v>
      </c>
      <c r="CF1978" s="3">
        <v>43084</v>
      </c>
      <c r="CI1978" s="2">
        <v>1</v>
      </c>
      <c r="CJ1978" s="2">
        <v>1</v>
      </c>
      <c r="CK1978" s="2">
        <v>21</v>
      </c>
      <c r="CL1978" s="2" t="s">
        <v>89</v>
      </c>
    </row>
    <row r="1979" spans="1:90">
      <c r="A1979" s="2" t="s">
        <v>71</v>
      </c>
      <c r="B1979" s="2" t="s">
        <v>72</v>
      </c>
      <c r="C1979" s="2" t="s">
        <v>73</v>
      </c>
      <c r="E1979" s="2" t="str">
        <f>"FES1162595840"</f>
        <v>FES1162595840</v>
      </c>
      <c r="F1979" s="3">
        <v>43082</v>
      </c>
      <c r="G1979" s="2">
        <v>201806</v>
      </c>
      <c r="H1979" s="2" t="s">
        <v>74</v>
      </c>
      <c r="I1979" s="2" t="s">
        <v>75</v>
      </c>
      <c r="J1979" s="2" t="s">
        <v>97</v>
      </c>
      <c r="K1979" s="2" t="s">
        <v>77</v>
      </c>
      <c r="L1979" s="2" t="s">
        <v>759</v>
      </c>
      <c r="M1979" s="2" t="s">
        <v>760</v>
      </c>
      <c r="N1979" s="2" t="s">
        <v>1476</v>
      </c>
      <c r="O1979" s="2" t="s">
        <v>101</v>
      </c>
      <c r="P1979" s="2" t="str">
        <f>"2170607671                    "</f>
        <v xml:space="preserve">2170607671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6.43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1</v>
      </c>
      <c r="BJ1979" s="2">
        <v>0.2</v>
      </c>
      <c r="BK1979" s="2">
        <v>1</v>
      </c>
      <c r="BL1979" s="2">
        <v>45.93</v>
      </c>
      <c r="BM1979" s="2">
        <v>6.43</v>
      </c>
      <c r="BN1979" s="2">
        <v>52.36</v>
      </c>
      <c r="BO1979" s="2">
        <v>52.36</v>
      </c>
      <c r="BQ1979" s="2" t="s">
        <v>82</v>
      </c>
      <c r="BR1979" s="2" t="s">
        <v>103</v>
      </c>
      <c r="BS1979" s="3">
        <v>43083</v>
      </c>
      <c r="BT1979" s="4">
        <v>0.39999999999999997</v>
      </c>
      <c r="BU1979" s="2" t="s">
        <v>2282</v>
      </c>
      <c r="BV1979" s="2" t="s">
        <v>85</v>
      </c>
      <c r="BY1979" s="2">
        <v>1200</v>
      </c>
      <c r="CA1979" s="2" t="s">
        <v>578</v>
      </c>
      <c r="CC1979" s="2" t="s">
        <v>760</v>
      </c>
      <c r="CD1979" s="2">
        <v>4026</v>
      </c>
      <c r="CE1979" s="2" t="s">
        <v>120</v>
      </c>
      <c r="CF1979" s="3">
        <v>43084</v>
      </c>
      <c r="CI1979" s="2">
        <v>1</v>
      </c>
      <c r="CJ1979" s="2">
        <v>1</v>
      </c>
      <c r="CK1979" s="2">
        <v>21</v>
      </c>
      <c r="CL1979" s="2" t="s">
        <v>89</v>
      </c>
    </row>
    <row r="1980" spans="1:90">
      <c r="A1980" s="2" t="s">
        <v>71</v>
      </c>
      <c r="B1980" s="2" t="s">
        <v>72</v>
      </c>
      <c r="C1980" s="2" t="s">
        <v>73</v>
      </c>
      <c r="E1980" s="2" t="str">
        <f>"FES1162595814"</f>
        <v>FES1162595814</v>
      </c>
      <c r="F1980" s="3">
        <v>43082</v>
      </c>
      <c r="G1980" s="2">
        <v>201806</v>
      </c>
      <c r="H1980" s="2" t="s">
        <v>74</v>
      </c>
      <c r="I1980" s="2" t="s">
        <v>75</v>
      </c>
      <c r="J1980" s="2" t="s">
        <v>97</v>
      </c>
      <c r="K1980" s="2" t="s">
        <v>77</v>
      </c>
      <c r="L1980" s="2" t="s">
        <v>253</v>
      </c>
      <c r="M1980" s="2" t="s">
        <v>254</v>
      </c>
      <c r="N1980" s="2" t="s">
        <v>2326</v>
      </c>
      <c r="O1980" s="2" t="s">
        <v>101</v>
      </c>
      <c r="P1980" s="2" t="str">
        <f>"2170607630                    "</f>
        <v xml:space="preserve">2170607630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6.43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1</v>
      </c>
      <c r="BJ1980" s="2">
        <v>0.2</v>
      </c>
      <c r="BK1980" s="2">
        <v>1</v>
      </c>
      <c r="BL1980" s="2">
        <v>45.93</v>
      </c>
      <c r="BM1980" s="2">
        <v>6.43</v>
      </c>
      <c r="BN1980" s="2">
        <v>52.36</v>
      </c>
      <c r="BO1980" s="2">
        <v>52.36</v>
      </c>
      <c r="BQ1980" s="2" t="s">
        <v>82</v>
      </c>
      <c r="BR1980" s="2" t="s">
        <v>103</v>
      </c>
      <c r="BS1980" s="3">
        <v>43083</v>
      </c>
      <c r="BT1980" s="4">
        <v>0.42708333333333331</v>
      </c>
      <c r="BU1980" s="2" t="s">
        <v>2327</v>
      </c>
      <c r="BV1980" s="2" t="s">
        <v>85</v>
      </c>
      <c r="BY1980" s="2">
        <v>1200</v>
      </c>
      <c r="CA1980" s="2" t="s">
        <v>257</v>
      </c>
      <c r="CC1980" s="2" t="s">
        <v>254</v>
      </c>
      <c r="CD1980" s="2">
        <v>1900</v>
      </c>
      <c r="CE1980" s="2" t="s">
        <v>120</v>
      </c>
      <c r="CF1980" s="3">
        <v>43088</v>
      </c>
      <c r="CI1980" s="2">
        <v>1</v>
      </c>
      <c r="CJ1980" s="2">
        <v>1</v>
      </c>
      <c r="CK1980" s="2">
        <v>21</v>
      </c>
      <c r="CL1980" s="2" t="s">
        <v>89</v>
      </c>
    </row>
    <row r="1981" spans="1:90">
      <c r="A1981" s="2" t="s">
        <v>71</v>
      </c>
      <c r="B1981" s="2" t="s">
        <v>72</v>
      </c>
      <c r="C1981" s="2" t="s">
        <v>73</v>
      </c>
      <c r="E1981" s="2" t="str">
        <f>"FES1162595696"</f>
        <v>FES1162595696</v>
      </c>
      <c r="F1981" s="3">
        <v>43082</v>
      </c>
      <c r="G1981" s="2">
        <v>201806</v>
      </c>
      <c r="H1981" s="2" t="s">
        <v>74</v>
      </c>
      <c r="I1981" s="2" t="s">
        <v>75</v>
      </c>
      <c r="J1981" s="2" t="s">
        <v>97</v>
      </c>
      <c r="K1981" s="2" t="s">
        <v>77</v>
      </c>
      <c r="L1981" s="2" t="s">
        <v>74</v>
      </c>
      <c r="M1981" s="2" t="s">
        <v>75</v>
      </c>
      <c r="N1981" s="2" t="s">
        <v>353</v>
      </c>
      <c r="O1981" s="2" t="s">
        <v>101</v>
      </c>
      <c r="P1981" s="2" t="str">
        <f>"2170607294                    "</f>
        <v xml:space="preserve">2170607294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5.03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4</v>
      </c>
      <c r="BJ1981" s="2">
        <v>2.4</v>
      </c>
      <c r="BK1981" s="2">
        <v>4</v>
      </c>
      <c r="BL1981" s="2">
        <v>35.89</v>
      </c>
      <c r="BM1981" s="2">
        <v>5.0199999999999996</v>
      </c>
      <c r="BN1981" s="2">
        <v>40.909999999999997</v>
      </c>
      <c r="BO1981" s="2">
        <v>40.909999999999997</v>
      </c>
      <c r="BQ1981" s="2" t="s">
        <v>102</v>
      </c>
      <c r="BR1981" s="2" t="s">
        <v>103</v>
      </c>
      <c r="BS1981" s="3">
        <v>43083</v>
      </c>
      <c r="BT1981" s="4">
        <v>0.3347222222222222</v>
      </c>
      <c r="BU1981" s="2" t="s">
        <v>2328</v>
      </c>
      <c r="BV1981" s="2" t="s">
        <v>85</v>
      </c>
      <c r="BY1981" s="2">
        <v>11760</v>
      </c>
      <c r="CA1981" s="2" t="s">
        <v>355</v>
      </c>
      <c r="CC1981" s="2" t="s">
        <v>75</v>
      </c>
      <c r="CD1981" s="2">
        <v>1600</v>
      </c>
      <c r="CE1981" s="2" t="s">
        <v>356</v>
      </c>
      <c r="CF1981" s="3">
        <v>43084</v>
      </c>
      <c r="CI1981" s="2">
        <v>1</v>
      </c>
      <c r="CJ1981" s="2">
        <v>1</v>
      </c>
      <c r="CK1981" s="2">
        <v>22</v>
      </c>
      <c r="CL1981" s="2" t="s">
        <v>89</v>
      </c>
    </row>
    <row r="1982" spans="1:90">
      <c r="A1982" s="2" t="s">
        <v>71</v>
      </c>
      <c r="B1982" s="2" t="s">
        <v>72</v>
      </c>
      <c r="C1982" s="2" t="s">
        <v>73</v>
      </c>
      <c r="E1982" s="2" t="str">
        <f>"FES1162595806"</f>
        <v>FES1162595806</v>
      </c>
      <c r="F1982" s="3">
        <v>43082</v>
      </c>
      <c r="G1982" s="2">
        <v>201806</v>
      </c>
      <c r="H1982" s="2" t="s">
        <v>74</v>
      </c>
      <c r="I1982" s="2" t="s">
        <v>75</v>
      </c>
      <c r="J1982" s="2" t="s">
        <v>97</v>
      </c>
      <c r="K1982" s="2" t="s">
        <v>77</v>
      </c>
      <c r="L1982" s="2" t="s">
        <v>106</v>
      </c>
      <c r="M1982" s="2" t="s">
        <v>107</v>
      </c>
      <c r="N1982" s="2" t="s">
        <v>845</v>
      </c>
      <c r="O1982" s="2" t="s">
        <v>101</v>
      </c>
      <c r="P1982" s="2" t="str">
        <f>"2170607619                    "</f>
        <v xml:space="preserve">2170607619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5.03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1</v>
      </c>
      <c r="BJ1982" s="2">
        <v>0.2</v>
      </c>
      <c r="BK1982" s="2">
        <v>1</v>
      </c>
      <c r="BL1982" s="2">
        <v>35.89</v>
      </c>
      <c r="BM1982" s="2">
        <v>5.0199999999999996</v>
      </c>
      <c r="BN1982" s="2">
        <v>40.909999999999997</v>
      </c>
      <c r="BO1982" s="2">
        <v>40.909999999999997</v>
      </c>
      <c r="BQ1982" s="2" t="s">
        <v>128</v>
      </c>
      <c r="BR1982" s="2" t="s">
        <v>103</v>
      </c>
      <c r="BS1982" s="3">
        <v>43083</v>
      </c>
      <c r="BT1982" s="4">
        <v>0.34722222222222227</v>
      </c>
      <c r="BU1982" s="2" t="s">
        <v>2329</v>
      </c>
      <c r="BV1982" s="2" t="s">
        <v>85</v>
      </c>
      <c r="BY1982" s="2">
        <v>1200</v>
      </c>
      <c r="CA1982" s="2" t="s">
        <v>453</v>
      </c>
      <c r="CC1982" s="2" t="s">
        <v>107</v>
      </c>
      <c r="CD1982" s="2">
        <v>2042</v>
      </c>
      <c r="CE1982" s="2" t="s">
        <v>120</v>
      </c>
      <c r="CF1982" s="3">
        <v>43087</v>
      </c>
      <c r="CI1982" s="2">
        <v>1</v>
      </c>
      <c r="CJ1982" s="2">
        <v>1</v>
      </c>
      <c r="CK1982" s="2">
        <v>22</v>
      </c>
      <c r="CL1982" s="2" t="s">
        <v>89</v>
      </c>
    </row>
    <row r="1983" spans="1:90">
      <c r="A1983" s="2" t="s">
        <v>71</v>
      </c>
      <c r="B1983" s="2" t="s">
        <v>72</v>
      </c>
      <c r="C1983" s="2" t="s">
        <v>73</v>
      </c>
      <c r="E1983" s="2" t="str">
        <f>"FES1162595845"</f>
        <v>FES1162595845</v>
      </c>
      <c r="F1983" s="3">
        <v>43082</v>
      </c>
      <c r="G1983" s="2">
        <v>201806</v>
      </c>
      <c r="H1983" s="2" t="s">
        <v>74</v>
      </c>
      <c r="I1983" s="2" t="s">
        <v>75</v>
      </c>
      <c r="J1983" s="2" t="s">
        <v>97</v>
      </c>
      <c r="K1983" s="2" t="s">
        <v>77</v>
      </c>
      <c r="L1983" s="2" t="s">
        <v>173</v>
      </c>
      <c r="M1983" s="2" t="s">
        <v>174</v>
      </c>
      <c r="N1983" s="2" t="s">
        <v>2258</v>
      </c>
      <c r="O1983" s="2" t="s">
        <v>101</v>
      </c>
      <c r="P1983" s="2" t="str">
        <f>"2170607681                    "</f>
        <v xml:space="preserve">2170607681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6.43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1</v>
      </c>
      <c r="BJ1983" s="2">
        <v>0.2</v>
      </c>
      <c r="BK1983" s="2">
        <v>1</v>
      </c>
      <c r="BL1983" s="2">
        <v>45.93</v>
      </c>
      <c r="BM1983" s="2">
        <v>6.43</v>
      </c>
      <c r="BN1983" s="2">
        <v>52.36</v>
      </c>
      <c r="BO1983" s="2">
        <v>52.36</v>
      </c>
      <c r="BQ1983" s="2" t="s">
        <v>82</v>
      </c>
      <c r="BR1983" s="2" t="s">
        <v>103</v>
      </c>
      <c r="BS1983" s="3">
        <v>43083</v>
      </c>
      <c r="BT1983" s="4">
        <v>0.52083333333333337</v>
      </c>
      <c r="BU1983" s="2" t="s">
        <v>2259</v>
      </c>
      <c r="BV1983" s="2" t="s">
        <v>89</v>
      </c>
      <c r="BW1983" s="2" t="s">
        <v>149</v>
      </c>
      <c r="BX1983" s="2" t="s">
        <v>368</v>
      </c>
      <c r="BY1983" s="2">
        <v>1200</v>
      </c>
      <c r="CA1983" s="2" t="s">
        <v>510</v>
      </c>
      <c r="CC1983" s="2" t="s">
        <v>174</v>
      </c>
      <c r="CD1983" s="2">
        <v>7500</v>
      </c>
      <c r="CE1983" s="2" t="s">
        <v>120</v>
      </c>
      <c r="CF1983" s="3">
        <v>43084</v>
      </c>
      <c r="CI1983" s="2">
        <v>1</v>
      </c>
      <c r="CJ1983" s="2">
        <v>1</v>
      </c>
      <c r="CK1983" s="2">
        <v>21</v>
      </c>
      <c r="CL1983" s="2" t="s">
        <v>89</v>
      </c>
    </row>
    <row r="1984" spans="1:90">
      <c r="A1984" s="2" t="s">
        <v>71</v>
      </c>
      <c r="B1984" s="2" t="s">
        <v>72</v>
      </c>
      <c r="C1984" s="2" t="s">
        <v>73</v>
      </c>
      <c r="E1984" s="2" t="str">
        <f>"FES1162595834"</f>
        <v>FES1162595834</v>
      </c>
      <c r="F1984" s="3">
        <v>43082</v>
      </c>
      <c r="G1984" s="2">
        <v>201806</v>
      </c>
      <c r="H1984" s="2" t="s">
        <v>74</v>
      </c>
      <c r="I1984" s="2" t="s">
        <v>75</v>
      </c>
      <c r="J1984" s="2" t="s">
        <v>97</v>
      </c>
      <c r="K1984" s="2" t="s">
        <v>77</v>
      </c>
      <c r="L1984" s="2" t="s">
        <v>90</v>
      </c>
      <c r="M1984" s="2" t="s">
        <v>91</v>
      </c>
      <c r="N1984" s="2" t="s">
        <v>1158</v>
      </c>
      <c r="O1984" s="2" t="s">
        <v>101</v>
      </c>
      <c r="P1984" s="2" t="str">
        <f>"217060677                     "</f>
        <v xml:space="preserve">217060677 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5.03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35.89</v>
      </c>
      <c r="BM1984" s="2">
        <v>5.0199999999999996</v>
      </c>
      <c r="BN1984" s="2">
        <v>40.909999999999997</v>
      </c>
      <c r="BO1984" s="2">
        <v>40.909999999999997</v>
      </c>
      <c r="BQ1984" s="2" t="s">
        <v>1159</v>
      </c>
      <c r="BR1984" s="2" t="s">
        <v>103</v>
      </c>
      <c r="BS1984" s="3">
        <v>43083</v>
      </c>
      <c r="BT1984" s="4">
        <v>0.4375</v>
      </c>
      <c r="BU1984" s="2" t="s">
        <v>2330</v>
      </c>
      <c r="BV1984" s="2" t="s">
        <v>85</v>
      </c>
      <c r="BY1984" s="2">
        <v>1200</v>
      </c>
      <c r="CA1984" s="2" t="s">
        <v>347</v>
      </c>
      <c r="CC1984" s="2" t="s">
        <v>91</v>
      </c>
      <c r="CD1984" s="2">
        <v>1559</v>
      </c>
      <c r="CE1984" s="2" t="s">
        <v>120</v>
      </c>
      <c r="CF1984" s="3">
        <v>43084</v>
      </c>
      <c r="CI1984" s="2">
        <v>1</v>
      </c>
      <c r="CJ1984" s="2">
        <v>1</v>
      </c>
      <c r="CK1984" s="2">
        <v>22</v>
      </c>
      <c r="CL1984" s="2" t="s">
        <v>89</v>
      </c>
    </row>
    <row r="1985" spans="1:90">
      <c r="A1985" s="2" t="s">
        <v>71</v>
      </c>
      <c r="B1985" s="2" t="s">
        <v>72</v>
      </c>
      <c r="C1985" s="2" t="s">
        <v>73</v>
      </c>
      <c r="E1985" s="2" t="str">
        <f>"FES1162595790"</f>
        <v>FES1162595790</v>
      </c>
      <c r="F1985" s="3">
        <v>43082</v>
      </c>
      <c r="G1985" s="2">
        <v>201806</v>
      </c>
      <c r="H1985" s="2" t="s">
        <v>74</v>
      </c>
      <c r="I1985" s="2" t="s">
        <v>75</v>
      </c>
      <c r="J1985" s="2" t="s">
        <v>97</v>
      </c>
      <c r="K1985" s="2" t="s">
        <v>77</v>
      </c>
      <c r="L1985" s="2" t="s">
        <v>173</v>
      </c>
      <c r="M1985" s="2" t="s">
        <v>174</v>
      </c>
      <c r="N1985" s="2" t="s">
        <v>508</v>
      </c>
      <c r="O1985" s="2" t="s">
        <v>101</v>
      </c>
      <c r="P1985" s="2" t="str">
        <f>"2170606533                    "</f>
        <v xml:space="preserve">2170606533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6.43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1</v>
      </c>
      <c r="BJ1985" s="2">
        <v>0.2</v>
      </c>
      <c r="BK1985" s="2">
        <v>1</v>
      </c>
      <c r="BL1985" s="2">
        <v>45.93</v>
      </c>
      <c r="BM1985" s="2">
        <v>6.43</v>
      </c>
      <c r="BN1985" s="2">
        <v>52.36</v>
      </c>
      <c r="BO1985" s="2">
        <v>52.36</v>
      </c>
      <c r="BQ1985" s="2" t="s">
        <v>142</v>
      </c>
      <c r="BR1985" s="2" t="s">
        <v>103</v>
      </c>
      <c r="BS1985" s="3">
        <v>43083</v>
      </c>
      <c r="BT1985" s="4">
        <v>0.52083333333333337</v>
      </c>
      <c r="BU1985" s="2" t="s">
        <v>267</v>
      </c>
      <c r="BV1985" s="2" t="s">
        <v>89</v>
      </c>
      <c r="BW1985" s="2" t="s">
        <v>149</v>
      </c>
      <c r="BX1985" s="2" t="s">
        <v>368</v>
      </c>
      <c r="BY1985" s="2">
        <v>1200</v>
      </c>
      <c r="CA1985" s="2" t="s">
        <v>510</v>
      </c>
      <c r="CC1985" s="2" t="s">
        <v>174</v>
      </c>
      <c r="CD1985" s="2">
        <v>7500</v>
      </c>
      <c r="CE1985" s="2" t="s">
        <v>120</v>
      </c>
      <c r="CF1985" s="3">
        <v>43084</v>
      </c>
      <c r="CI1985" s="2">
        <v>1</v>
      </c>
      <c r="CJ1985" s="2">
        <v>1</v>
      </c>
      <c r="CK1985" s="2">
        <v>21</v>
      </c>
      <c r="CL1985" s="2" t="s">
        <v>89</v>
      </c>
    </row>
    <row r="1986" spans="1:90">
      <c r="A1986" s="2" t="s">
        <v>71</v>
      </c>
      <c r="B1986" s="2" t="s">
        <v>72</v>
      </c>
      <c r="C1986" s="2" t="s">
        <v>73</v>
      </c>
      <c r="E1986" s="2" t="str">
        <f>"FES1162595820"</f>
        <v>FES1162595820</v>
      </c>
      <c r="F1986" s="3">
        <v>43082</v>
      </c>
      <c r="G1986" s="2">
        <v>201806</v>
      </c>
      <c r="H1986" s="2" t="s">
        <v>74</v>
      </c>
      <c r="I1986" s="2" t="s">
        <v>75</v>
      </c>
      <c r="J1986" s="2" t="s">
        <v>97</v>
      </c>
      <c r="K1986" s="2" t="s">
        <v>77</v>
      </c>
      <c r="L1986" s="2" t="s">
        <v>173</v>
      </c>
      <c r="M1986" s="2" t="s">
        <v>174</v>
      </c>
      <c r="N1986" s="2" t="s">
        <v>2331</v>
      </c>
      <c r="O1986" s="2" t="s">
        <v>101</v>
      </c>
      <c r="P1986" s="2" t="str">
        <f>"2170607063                    "</f>
        <v xml:space="preserve">2170607063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6.43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45.93</v>
      </c>
      <c r="BM1986" s="2">
        <v>6.43</v>
      </c>
      <c r="BN1986" s="2">
        <v>52.36</v>
      </c>
      <c r="BO1986" s="2">
        <v>52.36</v>
      </c>
      <c r="BR1986" s="2" t="s">
        <v>103</v>
      </c>
      <c r="BS1986" s="3">
        <v>43083</v>
      </c>
      <c r="BT1986" s="4">
        <v>0.45347222222222222</v>
      </c>
      <c r="BU1986" s="2" t="s">
        <v>2332</v>
      </c>
      <c r="BV1986" s="2" t="s">
        <v>85</v>
      </c>
      <c r="BY1986" s="2">
        <v>1200</v>
      </c>
      <c r="CA1986" s="2" t="s">
        <v>1261</v>
      </c>
      <c r="CC1986" s="2" t="s">
        <v>174</v>
      </c>
      <c r="CD1986" s="2">
        <v>7800</v>
      </c>
      <c r="CE1986" s="2" t="s">
        <v>120</v>
      </c>
      <c r="CF1986" s="3">
        <v>43087</v>
      </c>
      <c r="CI1986" s="2">
        <v>1</v>
      </c>
      <c r="CJ1986" s="2">
        <v>1</v>
      </c>
      <c r="CK1986" s="2">
        <v>21</v>
      </c>
      <c r="CL1986" s="2" t="s">
        <v>89</v>
      </c>
    </row>
    <row r="1987" spans="1:90">
      <c r="A1987" s="2" t="s">
        <v>71</v>
      </c>
      <c r="B1987" s="2" t="s">
        <v>72</v>
      </c>
      <c r="C1987" s="2" t="s">
        <v>73</v>
      </c>
      <c r="E1987" s="2" t="str">
        <f>"FES1162595690"</f>
        <v>FES1162595690</v>
      </c>
      <c r="F1987" s="3">
        <v>43082</v>
      </c>
      <c r="G1987" s="2">
        <v>201806</v>
      </c>
      <c r="H1987" s="2" t="s">
        <v>74</v>
      </c>
      <c r="I1987" s="2" t="s">
        <v>75</v>
      </c>
      <c r="J1987" s="2" t="s">
        <v>97</v>
      </c>
      <c r="K1987" s="2" t="s">
        <v>77</v>
      </c>
      <c r="L1987" s="2" t="s">
        <v>106</v>
      </c>
      <c r="M1987" s="2" t="s">
        <v>107</v>
      </c>
      <c r="N1987" s="2" t="s">
        <v>108</v>
      </c>
      <c r="O1987" s="2" t="s">
        <v>101</v>
      </c>
      <c r="P1987" s="2" t="str">
        <f>"2170607533                    "</f>
        <v xml:space="preserve">2170607533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5.03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35.89</v>
      </c>
      <c r="BM1987" s="2">
        <v>5.0199999999999996</v>
      </c>
      <c r="BN1987" s="2">
        <v>40.909999999999997</v>
      </c>
      <c r="BO1987" s="2">
        <v>40.909999999999997</v>
      </c>
      <c r="BQ1987" s="2" t="s">
        <v>82</v>
      </c>
      <c r="BR1987" s="2" t="s">
        <v>103</v>
      </c>
      <c r="BS1987" s="3">
        <v>43083</v>
      </c>
      <c r="BT1987" s="4">
        <v>0.40277777777777773</v>
      </c>
      <c r="BU1987" s="2" t="s">
        <v>1227</v>
      </c>
      <c r="BV1987" s="2" t="s">
        <v>85</v>
      </c>
      <c r="BY1987" s="2">
        <v>1200</v>
      </c>
      <c r="CA1987" s="2" t="s">
        <v>110</v>
      </c>
      <c r="CC1987" s="2" t="s">
        <v>107</v>
      </c>
      <c r="CD1987" s="2">
        <v>2094</v>
      </c>
      <c r="CE1987" s="2" t="s">
        <v>120</v>
      </c>
      <c r="CF1987" s="3">
        <v>43084</v>
      </c>
      <c r="CI1987" s="2">
        <v>1</v>
      </c>
      <c r="CJ1987" s="2">
        <v>1</v>
      </c>
      <c r="CK1987" s="2">
        <v>22</v>
      </c>
      <c r="CL1987" s="2" t="s">
        <v>89</v>
      </c>
    </row>
    <row r="1988" spans="1:90">
      <c r="A1988" s="2" t="s">
        <v>71</v>
      </c>
      <c r="B1988" s="2" t="s">
        <v>72</v>
      </c>
      <c r="C1988" s="2" t="s">
        <v>73</v>
      </c>
      <c r="E1988" s="2" t="str">
        <f>"FES1162595692"</f>
        <v>FES1162595692</v>
      </c>
      <c r="F1988" s="3">
        <v>43082</v>
      </c>
      <c r="G1988" s="2">
        <v>201806</v>
      </c>
      <c r="H1988" s="2" t="s">
        <v>74</v>
      </c>
      <c r="I1988" s="2" t="s">
        <v>75</v>
      </c>
      <c r="J1988" s="2" t="s">
        <v>97</v>
      </c>
      <c r="K1988" s="2" t="s">
        <v>77</v>
      </c>
      <c r="L1988" s="2" t="s">
        <v>253</v>
      </c>
      <c r="M1988" s="2" t="s">
        <v>254</v>
      </c>
      <c r="N1988" s="2" t="s">
        <v>773</v>
      </c>
      <c r="O1988" s="2" t="s">
        <v>101</v>
      </c>
      <c r="P1988" s="2" t="str">
        <f>"2170607510                    "</f>
        <v xml:space="preserve">2170607510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6.43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45.93</v>
      </c>
      <c r="BM1988" s="2">
        <v>6.43</v>
      </c>
      <c r="BN1988" s="2">
        <v>52.36</v>
      </c>
      <c r="BO1988" s="2">
        <v>52.36</v>
      </c>
      <c r="BQ1988" s="2" t="s">
        <v>82</v>
      </c>
      <c r="BR1988" s="2" t="s">
        <v>103</v>
      </c>
      <c r="BS1988" s="3">
        <v>43083</v>
      </c>
      <c r="BT1988" s="4">
        <v>0.52430555555555558</v>
      </c>
      <c r="BU1988" s="2" t="s">
        <v>2333</v>
      </c>
      <c r="BV1988" s="2" t="s">
        <v>89</v>
      </c>
      <c r="BY1988" s="2">
        <v>1200</v>
      </c>
      <c r="CA1988" s="2" t="s">
        <v>293</v>
      </c>
      <c r="CC1988" s="2" t="s">
        <v>254</v>
      </c>
      <c r="CD1988" s="2">
        <v>1911</v>
      </c>
      <c r="CE1988" s="2" t="s">
        <v>120</v>
      </c>
      <c r="CF1988" s="3">
        <v>43088</v>
      </c>
      <c r="CI1988" s="2">
        <v>1</v>
      </c>
      <c r="CJ1988" s="2">
        <v>1</v>
      </c>
      <c r="CK1988" s="2">
        <v>21</v>
      </c>
      <c r="CL1988" s="2" t="s">
        <v>89</v>
      </c>
    </row>
    <row r="1989" spans="1:90">
      <c r="A1989" s="2" t="s">
        <v>71</v>
      </c>
      <c r="B1989" s="2" t="s">
        <v>72</v>
      </c>
      <c r="C1989" s="2" t="s">
        <v>73</v>
      </c>
      <c r="E1989" s="2" t="str">
        <f>"FES1162595682"</f>
        <v>FES1162595682</v>
      </c>
      <c r="F1989" s="3">
        <v>43082</v>
      </c>
      <c r="G1989" s="2">
        <v>201806</v>
      </c>
      <c r="H1989" s="2" t="s">
        <v>74</v>
      </c>
      <c r="I1989" s="2" t="s">
        <v>75</v>
      </c>
      <c r="J1989" s="2" t="s">
        <v>97</v>
      </c>
      <c r="K1989" s="2" t="s">
        <v>77</v>
      </c>
      <c r="L1989" s="2" t="s">
        <v>325</v>
      </c>
      <c r="M1989" s="2" t="s">
        <v>326</v>
      </c>
      <c r="N1989" s="2" t="s">
        <v>1129</v>
      </c>
      <c r="O1989" s="2" t="s">
        <v>101</v>
      </c>
      <c r="P1989" s="2" t="str">
        <f>"21706004189                   "</f>
        <v xml:space="preserve">21706004189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6.43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45.93</v>
      </c>
      <c r="BM1989" s="2">
        <v>6.43</v>
      </c>
      <c r="BN1989" s="2">
        <v>52.36</v>
      </c>
      <c r="BO1989" s="2">
        <v>52.36</v>
      </c>
      <c r="BQ1989" s="2" t="s">
        <v>102</v>
      </c>
      <c r="BR1989" s="2" t="s">
        <v>103</v>
      </c>
      <c r="BS1989" s="3">
        <v>43083</v>
      </c>
      <c r="BT1989" s="4">
        <v>0.4284722222222222</v>
      </c>
      <c r="BU1989" s="2" t="s">
        <v>2334</v>
      </c>
      <c r="BV1989" s="2" t="s">
        <v>85</v>
      </c>
      <c r="BY1989" s="2">
        <v>1200</v>
      </c>
      <c r="CA1989" s="2" t="s">
        <v>1010</v>
      </c>
      <c r="CC1989" s="2" t="s">
        <v>326</v>
      </c>
      <c r="CD1989" s="2">
        <v>1939</v>
      </c>
      <c r="CE1989" s="2" t="s">
        <v>120</v>
      </c>
      <c r="CF1989" s="3">
        <v>43088</v>
      </c>
      <c r="CI1989" s="2">
        <v>1</v>
      </c>
      <c r="CJ1989" s="2">
        <v>1</v>
      </c>
      <c r="CK1989" s="2">
        <v>21</v>
      </c>
      <c r="CL1989" s="2" t="s">
        <v>89</v>
      </c>
    </row>
    <row r="1990" spans="1:90">
      <c r="A1990" s="2" t="s">
        <v>71</v>
      </c>
      <c r="B1990" s="2" t="s">
        <v>72</v>
      </c>
      <c r="C1990" s="2" t="s">
        <v>73</v>
      </c>
      <c r="E1990" s="2" t="str">
        <f>"FES1162595694"</f>
        <v>FES1162595694</v>
      </c>
      <c r="F1990" s="3">
        <v>43082</v>
      </c>
      <c r="G1990" s="2">
        <v>201806</v>
      </c>
      <c r="H1990" s="2" t="s">
        <v>74</v>
      </c>
      <c r="I1990" s="2" t="s">
        <v>75</v>
      </c>
      <c r="J1990" s="2" t="s">
        <v>97</v>
      </c>
      <c r="K1990" s="2" t="s">
        <v>77</v>
      </c>
      <c r="L1990" s="2" t="s">
        <v>158</v>
      </c>
      <c r="M1990" s="2" t="s">
        <v>159</v>
      </c>
      <c r="N1990" s="2" t="s">
        <v>588</v>
      </c>
      <c r="O1990" s="2" t="s">
        <v>101</v>
      </c>
      <c r="P1990" s="2" t="str">
        <f>"2170604702                    "</f>
        <v xml:space="preserve">2170604702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6.43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45.93</v>
      </c>
      <c r="BM1990" s="2">
        <v>6.43</v>
      </c>
      <c r="BN1990" s="2">
        <v>52.36</v>
      </c>
      <c r="BO1990" s="2">
        <v>52.36</v>
      </c>
      <c r="BQ1990" s="2" t="s">
        <v>102</v>
      </c>
      <c r="BR1990" s="2" t="s">
        <v>103</v>
      </c>
      <c r="BS1990" s="3">
        <v>43083</v>
      </c>
      <c r="BT1990" s="4">
        <v>0.47430555555555554</v>
      </c>
      <c r="BU1990" s="2" t="s">
        <v>1606</v>
      </c>
      <c r="BV1990" s="2" t="s">
        <v>85</v>
      </c>
      <c r="BY1990" s="2">
        <v>1200</v>
      </c>
      <c r="CA1990" s="2" t="s">
        <v>590</v>
      </c>
      <c r="CC1990" s="2" t="s">
        <v>159</v>
      </c>
      <c r="CD1990" s="2">
        <v>40</v>
      </c>
      <c r="CE1990" s="2" t="s">
        <v>120</v>
      </c>
      <c r="CF1990" s="3">
        <v>43088</v>
      </c>
      <c r="CI1990" s="2">
        <v>1</v>
      </c>
      <c r="CJ1990" s="2">
        <v>1</v>
      </c>
      <c r="CK1990" s="2">
        <v>21</v>
      </c>
      <c r="CL1990" s="2" t="s">
        <v>89</v>
      </c>
    </row>
    <row r="1991" spans="1:90">
      <c r="A1991" s="2" t="s">
        <v>71</v>
      </c>
      <c r="B1991" s="2" t="s">
        <v>72</v>
      </c>
      <c r="C1991" s="2" t="s">
        <v>73</v>
      </c>
      <c r="E1991" s="2" t="str">
        <f>"FES1162595762"</f>
        <v>FES1162595762</v>
      </c>
      <c r="F1991" s="3">
        <v>43082</v>
      </c>
      <c r="G1991" s="2">
        <v>201806</v>
      </c>
      <c r="H1991" s="2" t="s">
        <v>74</v>
      </c>
      <c r="I1991" s="2" t="s">
        <v>75</v>
      </c>
      <c r="J1991" s="2" t="s">
        <v>97</v>
      </c>
      <c r="K1991" s="2" t="s">
        <v>77</v>
      </c>
      <c r="L1991" s="2" t="s">
        <v>98</v>
      </c>
      <c r="M1991" s="2" t="s">
        <v>99</v>
      </c>
      <c r="N1991" s="2" t="s">
        <v>2221</v>
      </c>
      <c r="O1991" s="2" t="s">
        <v>101</v>
      </c>
      <c r="P1991" s="2" t="str">
        <f>"2170607579                    "</f>
        <v xml:space="preserve">2170607579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6.43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45.93</v>
      </c>
      <c r="BM1991" s="2">
        <v>6.43</v>
      </c>
      <c r="BN1991" s="2">
        <v>52.36</v>
      </c>
      <c r="BO1991" s="2">
        <v>52.36</v>
      </c>
      <c r="BQ1991" s="2" t="s">
        <v>2335</v>
      </c>
      <c r="BR1991" s="2" t="s">
        <v>103</v>
      </c>
      <c r="BS1991" s="3">
        <v>43083</v>
      </c>
      <c r="BT1991" s="4">
        <v>0.4375</v>
      </c>
      <c r="BU1991" s="2" t="s">
        <v>2222</v>
      </c>
      <c r="BV1991" s="2" t="s">
        <v>85</v>
      </c>
      <c r="BY1991" s="2">
        <v>1200</v>
      </c>
      <c r="CA1991" s="2" t="s">
        <v>497</v>
      </c>
      <c r="CC1991" s="2" t="s">
        <v>99</v>
      </c>
      <c r="CD1991" s="2">
        <v>3201</v>
      </c>
      <c r="CE1991" s="2" t="s">
        <v>120</v>
      </c>
      <c r="CF1991" s="3">
        <v>43084</v>
      </c>
      <c r="CI1991" s="2">
        <v>1</v>
      </c>
      <c r="CJ1991" s="2">
        <v>1</v>
      </c>
      <c r="CK1991" s="2">
        <v>21</v>
      </c>
      <c r="CL1991" s="2" t="s">
        <v>89</v>
      </c>
    </row>
    <row r="1992" spans="1:90">
      <c r="A1992" s="2" t="s">
        <v>71</v>
      </c>
      <c r="B1992" s="2" t="s">
        <v>72</v>
      </c>
      <c r="C1992" s="2" t="s">
        <v>73</v>
      </c>
      <c r="E1992" s="2" t="str">
        <f>"FES1162595740"</f>
        <v>FES1162595740</v>
      </c>
      <c r="F1992" s="3">
        <v>43082</v>
      </c>
      <c r="G1992" s="2">
        <v>201806</v>
      </c>
      <c r="H1992" s="2" t="s">
        <v>74</v>
      </c>
      <c r="I1992" s="2" t="s">
        <v>75</v>
      </c>
      <c r="J1992" s="2" t="s">
        <v>97</v>
      </c>
      <c r="K1992" s="2" t="s">
        <v>77</v>
      </c>
      <c r="L1992" s="2" t="s">
        <v>152</v>
      </c>
      <c r="M1992" s="2" t="s">
        <v>153</v>
      </c>
      <c r="N1992" s="2" t="s">
        <v>2336</v>
      </c>
      <c r="O1992" s="2" t="s">
        <v>101</v>
      </c>
      <c r="P1992" s="2" t="str">
        <f>"2170607554.                   "</f>
        <v xml:space="preserve">2170607554.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5.03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0.2</v>
      </c>
      <c r="BK1992" s="2">
        <v>1</v>
      </c>
      <c r="BL1992" s="2">
        <v>35.89</v>
      </c>
      <c r="BM1992" s="2">
        <v>5.0199999999999996</v>
      </c>
      <c r="BN1992" s="2">
        <v>40.909999999999997</v>
      </c>
      <c r="BO1992" s="2">
        <v>40.909999999999997</v>
      </c>
      <c r="BQ1992" s="2" t="s">
        <v>128</v>
      </c>
      <c r="BR1992" s="2" t="s">
        <v>103</v>
      </c>
      <c r="BS1992" s="3">
        <v>43083</v>
      </c>
      <c r="BT1992" s="4">
        <v>0.59375</v>
      </c>
      <c r="BU1992" s="2" t="s">
        <v>2337</v>
      </c>
      <c r="BV1992" s="2" t="s">
        <v>89</v>
      </c>
      <c r="BW1992" s="2" t="s">
        <v>156</v>
      </c>
      <c r="BX1992" s="2" t="s">
        <v>157</v>
      </c>
      <c r="BY1992" s="2">
        <v>1200</v>
      </c>
      <c r="CC1992" s="2" t="s">
        <v>153</v>
      </c>
      <c r="CD1992" s="2">
        <v>1401</v>
      </c>
      <c r="CE1992" s="2" t="s">
        <v>120</v>
      </c>
      <c r="CF1992" s="3">
        <v>43087</v>
      </c>
      <c r="CI1992" s="2">
        <v>1</v>
      </c>
      <c r="CJ1992" s="2">
        <v>1</v>
      </c>
      <c r="CK1992" s="2">
        <v>22</v>
      </c>
      <c r="CL1992" s="2" t="s">
        <v>89</v>
      </c>
    </row>
    <row r="1993" spans="1:90">
      <c r="A1993" s="2" t="s">
        <v>71</v>
      </c>
      <c r="B1993" s="2" t="s">
        <v>72</v>
      </c>
      <c r="C1993" s="2" t="s">
        <v>73</v>
      </c>
      <c r="E1993" s="2" t="str">
        <f>"FES1162595739"</f>
        <v>FES1162595739</v>
      </c>
      <c r="F1993" s="3">
        <v>43082</v>
      </c>
      <c r="G1993" s="2">
        <v>201806</v>
      </c>
      <c r="H1993" s="2" t="s">
        <v>74</v>
      </c>
      <c r="I1993" s="2" t="s">
        <v>75</v>
      </c>
      <c r="J1993" s="2" t="s">
        <v>97</v>
      </c>
      <c r="K1993" s="2" t="s">
        <v>77</v>
      </c>
      <c r="L1993" s="2" t="s">
        <v>173</v>
      </c>
      <c r="M1993" s="2" t="s">
        <v>174</v>
      </c>
      <c r="N1993" s="2" t="s">
        <v>1387</v>
      </c>
      <c r="O1993" s="2" t="s">
        <v>101</v>
      </c>
      <c r="P1993" s="2" t="str">
        <f>"2170607551                    "</f>
        <v xml:space="preserve">2170607551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6.43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</v>
      </c>
      <c r="BJ1993" s="2">
        <v>0.2</v>
      </c>
      <c r="BK1993" s="2">
        <v>1</v>
      </c>
      <c r="BL1993" s="2">
        <v>45.93</v>
      </c>
      <c r="BM1993" s="2">
        <v>6.43</v>
      </c>
      <c r="BN1993" s="2">
        <v>52.36</v>
      </c>
      <c r="BO1993" s="2">
        <v>52.36</v>
      </c>
      <c r="BQ1993" s="2" t="s">
        <v>82</v>
      </c>
      <c r="BR1993" s="2" t="s">
        <v>103</v>
      </c>
      <c r="BS1993" s="3">
        <v>43083</v>
      </c>
      <c r="BT1993" s="4">
        <v>0.4069444444444445</v>
      </c>
      <c r="BU1993" s="2" t="s">
        <v>2287</v>
      </c>
      <c r="BV1993" s="2" t="s">
        <v>85</v>
      </c>
      <c r="BY1993" s="2">
        <v>1200</v>
      </c>
      <c r="CA1993" s="2" t="s">
        <v>1389</v>
      </c>
      <c r="CC1993" s="2" t="s">
        <v>174</v>
      </c>
      <c r="CD1993" s="2">
        <v>7460</v>
      </c>
      <c r="CE1993" s="2" t="s">
        <v>120</v>
      </c>
      <c r="CF1993" s="3">
        <v>43084</v>
      </c>
      <c r="CI1993" s="2">
        <v>1</v>
      </c>
      <c r="CJ1993" s="2">
        <v>1</v>
      </c>
      <c r="CK1993" s="2">
        <v>21</v>
      </c>
      <c r="CL1993" s="2" t="s">
        <v>89</v>
      </c>
    </row>
    <row r="1994" spans="1:90">
      <c r="A1994" s="2" t="s">
        <v>71</v>
      </c>
      <c r="B1994" s="2" t="s">
        <v>72</v>
      </c>
      <c r="C1994" s="2" t="s">
        <v>73</v>
      </c>
      <c r="E1994" s="2" t="str">
        <f>"FES1162595801"</f>
        <v>FES1162595801</v>
      </c>
      <c r="F1994" s="3">
        <v>43082</v>
      </c>
      <c r="G1994" s="2">
        <v>201806</v>
      </c>
      <c r="H1994" s="2" t="s">
        <v>74</v>
      </c>
      <c r="I1994" s="2" t="s">
        <v>75</v>
      </c>
      <c r="J1994" s="2" t="s">
        <v>97</v>
      </c>
      <c r="K1994" s="2" t="s">
        <v>77</v>
      </c>
      <c r="L1994" s="2" t="s">
        <v>490</v>
      </c>
      <c r="M1994" s="2" t="s">
        <v>491</v>
      </c>
      <c r="N1994" s="2" t="s">
        <v>492</v>
      </c>
      <c r="O1994" s="2" t="s">
        <v>101</v>
      </c>
      <c r="P1994" s="2" t="str">
        <f>"217060736                     "</f>
        <v xml:space="preserve">217060736 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6.43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45.93</v>
      </c>
      <c r="BM1994" s="2">
        <v>6.43</v>
      </c>
      <c r="BN1994" s="2">
        <v>52.36</v>
      </c>
      <c r="BO1994" s="2">
        <v>52.36</v>
      </c>
      <c r="BR1994" s="2" t="s">
        <v>103</v>
      </c>
      <c r="BS1994" s="3">
        <v>43083</v>
      </c>
      <c r="BT1994" s="4">
        <v>0.4375</v>
      </c>
      <c r="BU1994" s="2" t="s">
        <v>1309</v>
      </c>
      <c r="BV1994" s="2" t="s">
        <v>85</v>
      </c>
      <c r="BY1994" s="2">
        <v>1200</v>
      </c>
      <c r="CA1994" s="2" t="s">
        <v>494</v>
      </c>
      <c r="CC1994" s="2" t="s">
        <v>491</v>
      </c>
      <c r="CD1994" s="2">
        <v>3699</v>
      </c>
      <c r="CE1994" s="2" t="s">
        <v>120</v>
      </c>
      <c r="CF1994" s="3">
        <v>43084</v>
      </c>
      <c r="CI1994" s="2">
        <v>1</v>
      </c>
      <c r="CJ1994" s="2">
        <v>1</v>
      </c>
      <c r="CK1994" s="2">
        <v>21</v>
      </c>
      <c r="CL1994" s="2" t="s">
        <v>89</v>
      </c>
    </row>
    <row r="1995" spans="1:90">
      <c r="A1995" s="2" t="s">
        <v>71</v>
      </c>
      <c r="B1995" s="2" t="s">
        <v>72</v>
      </c>
      <c r="C1995" s="2" t="s">
        <v>73</v>
      </c>
      <c r="E1995" s="2" t="str">
        <f>"FES1162595758"</f>
        <v>FES1162595758</v>
      </c>
      <c r="F1995" s="3">
        <v>43082</v>
      </c>
      <c r="G1995" s="2">
        <v>201806</v>
      </c>
      <c r="H1995" s="2" t="s">
        <v>74</v>
      </c>
      <c r="I1995" s="2" t="s">
        <v>75</v>
      </c>
      <c r="J1995" s="2" t="s">
        <v>97</v>
      </c>
      <c r="K1995" s="2" t="s">
        <v>77</v>
      </c>
      <c r="L1995" s="2" t="s">
        <v>221</v>
      </c>
      <c r="M1995" s="2" t="s">
        <v>222</v>
      </c>
      <c r="N1995" s="2" t="s">
        <v>2338</v>
      </c>
      <c r="O1995" s="2" t="s">
        <v>101</v>
      </c>
      <c r="P1995" s="2" t="str">
        <f>"2170607575                    "</f>
        <v xml:space="preserve">2170607575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6.43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1</v>
      </c>
      <c r="BJ1995" s="2">
        <v>0.2</v>
      </c>
      <c r="BK1995" s="2">
        <v>1</v>
      </c>
      <c r="BL1995" s="2">
        <v>45.93</v>
      </c>
      <c r="BM1995" s="2">
        <v>6.43</v>
      </c>
      <c r="BN1995" s="2">
        <v>52.36</v>
      </c>
      <c r="BO1995" s="2">
        <v>52.36</v>
      </c>
      <c r="BQ1995" s="2" t="s">
        <v>128</v>
      </c>
      <c r="BR1995" s="2" t="s">
        <v>103</v>
      </c>
      <c r="BS1995" s="3">
        <v>43083</v>
      </c>
      <c r="BT1995" s="4">
        <v>0.4465277777777778</v>
      </c>
      <c r="BU1995" s="2" t="s">
        <v>2339</v>
      </c>
      <c r="BV1995" s="2" t="s">
        <v>85</v>
      </c>
      <c r="BY1995" s="2">
        <v>1200</v>
      </c>
      <c r="CA1995" s="2" t="s">
        <v>225</v>
      </c>
      <c r="CC1995" s="2" t="s">
        <v>222</v>
      </c>
      <c r="CD1995" s="2">
        <v>4110</v>
      </c>
      <c r="CE1995" s="2" t="s">
        <v>120</v>
      </c>
      <c r="CF1995" s="3">
        <v>43084</v>
      </c>
      <c r="CI1995" s="2">
        <v>1</v>
      </c>
      <c r="CJ1995" s="2">
        <v>1</v>
      </c>
      <c r="CK1995" s="2">
        <v>21</v>
      </c>
      <c r="CL1995" s="2" t="s">
        <v>89</v>
      </c>
    </row>
    <row r="1996" spans="1:90">
      <c r="A1996" s="2" t="s">
        <v>71</v>
      </c>
      <c r="B1996" s="2" t="s">
        <v>72</v>
      </c>
      <c r="C1996" s="2" t="s">
        <v>73</v>
      </c>
      <c r="E1996" s="2" t="str">
        <f>"FES1162595761"</f>
        <v>FES1162595761</v>
      </c>
      <c r="F1996" s="3">
        <v>43082</v>
      </c>
      <c r="G1996" s="2">
        <v>201806</v>
      </c>
      <c r="H1996" s="2" t="s">
        <v>74</v>
      </c>
      <c r="I1996" s="2" t="s">
        <v>75</v>
      </c>
      <c r="J1996" s="2" t="s">
        <v>97</v>
      </c>
      <c r="K1996" s="2" t="s">
        <v>77</v>
      </c>
      <c r="L1996" s="2" t="s">
        <v>168</v>
      </c>
      <c r="M1996" s="2" t="s">
        <v>169</v>
      </c>
      <c r="N1996" s="2" t="s">
        <v>2340</v>
      </c>
      <c r="O1996" s="2" t="s">
        <v>101</v>
      </c>
      <c r="P1996" s="2" t="str">
        <f>"2170607578                    "</f>
        <v xml:space="preserve">2170607578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6.43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45.93</v>
      </c>
      <c r="BM1996" s="2">
        <v>6.43</v>
      </c>
      <c r="BN1996" s="2">
        <v>52.36</v>
      </c>
      <c r="BO1996" s="2">
        <v>52.36</v>
      </c>
      <c r="BQ1996" s="2" t="s">
        <v>2341</v>
      </c>
      <c r="BR1996" s="2" t="s">
        <v>103</v>
      </c>
      <c r="BS1996" s="3">
        <v>43083</v>
      </c>
      <c r="BT1996" s="4">
        <v>0.39930555555555558</v>
      </c>
      <c r="BU1996" s="2" t="s">
        <v>2342</v>
      </c>
      <c r="BV1996" s="2" t="s">
        <v>85</v>
      </c>
      <c r="BY1996" s="2">
        <v>1200</v>
      </c>
      <c r="CA1996" s="2" t="s">
        <v>172</v>
      </c>
      <c r="CC1996" s="2" t="s">
        <v>169</v>
      </c>
      <c r="CD1996" s="2">
        <v>3600</v>
      </c>
      <c r="CE1996" s="2" t="s">
        <v>120</v>
      </c>
      <c r="CF1996" s="3">
        <v>43084</v>
      </c>
      <c r="CI1996" s="2">
        <v>1</v>
      </c>
      <c r="CJ1996" s="2">
        <v>1</v>
      </c>
      <c r="CK1996" s="2">
        <v>21</v>
      </c>
      <c r="CL1996" s="2" t="s">
        <v>89</v>
      </c>
    </row>
    <row r="1997" spans="1:90">
      <c r="A1997" s="2" t="s">
        <v>71</v>
      </c>
      <c r="B1997" s="2" t="s">
        <v>72</v>
      </c>
      <c r="C1997" s="2" t="s">
        <v>73</v>
      </c>
      <c r="E1997" s="2" t="str">
        <f>"FES1162595617"</f>
        <v>FES1162595617</v>
      </c>
      <c r="F1997" s="3">
        <v>43082</v>
      </c>
      <c r="G1997" s="2">
        <v>201806</v>
      </c>
      <c r="H1997" s="2" t="s">
        <v>74</v>
      </c>
      <c r="I1997" s="2" t="s">
        <v>75</v>
      </c>
      <c r="J1997" s="2" t="s">
        <v>97</v>
      </c>
      <c r="K1997" s="2" t="s">
        <v>77</v>
      </c>
      <c r="L1997" s="2" t="s">
        <v>1624</v>
      </c>
      <c r="M1997" s="2" t="s">
        <v>1625</v>
      </c>
      <c r="N1997" s="2" t="s">
        <v>2316</v>
      </c>
      <c r="O1997" s="2" t="s">
        <v>101</v>
      </c>
      <c r="P1997" s="2" t="str">
        <f>"2170607040                    "</f>
        <v xml:space="preserve">2170607040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12.47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1</v>
      </c>
      <c r="BJ1997" s="2">
        <v>0.2</v>
      </c>
      <c r="BK1997" s="2">
        <v>1</v>
      </c>
      <c r="BL1997" s="2">
        <v>89</v>
      </c>
      <c r="BM1997" s="2">
        <v>12.46</v>
      </c>
      <c r="BN1997" s="2">
        <v>101.46</v>
      </c>
      <c r="BO1997" s="2">
        <v>101.46</v>
      </c>
      <c r="BQ1997" s="2" t="s">
        <v>187</v>
      </c>
      <c r="BR1997" s="2" t="s">
        <v>103</v>
      </c>
      <c r="BS1997" s="3">
        <v>43083</v>
      </c>
      <c r="BT1997" s="4">
        <v>0.41666666666666669</v>
      </c>
      <c r="BU1997" s="2" t="s">
        <v>2343</v>
      </c>
      <c r="BV1997" s="2" t="s">
        <v>85</v>
      </c>
      <c r="BY1997" s="2">
        <v>1200</v>
      </c>
      <c r="CC1997" s="2" t="s">
        <v>1625</v>
      </c>
      <c r="CD1997" s="2">
        <v>4449</v>
      </c>
      <c r="CE1997" s="2" t="s">
        <v>120</v>
      </c>
      <c r="CF1997" s="3">
        <v>43084</v>
      </c>
      <c r="CI1997" s="2">
        <v>1</v>
      </c>
      <c r="CJ1997" s="2">
        <v>1</v>
      </c>
      <c r="CK1997" s="2">
        <v>23</v>
      </c>
      <c r="CL1997" s="2" t="s">
        <v>89</v>
      </c>
    </row>
    <row r="1998" spans="1:90">
      <c r="A1998" s="2" t="s">
        <v>71</v>
      </c>
      <c r="B1998" s="2" t="s">
        <v>72</v>
      </c>
      <c r="C1998" s="2" t="s">
        <v>73</v>
      </c>
      <c r="E1998" s="2" t="str">
        <f>"FES1162595723"</f>
        <v>FES1162595723</v>
      </c>
      <c r="F1998" s="3">
        <v>43082</v>
      </c>
      <c r="G1998" s="2">
        <v>201806</v>
      </c>
      <c r="H1998" s="2" t="s">
        <v>74</v>
      </c>
      <c r="I1998" s="2" t="s">
        <v>75</v>
      </c>
      <c r="J1998" s="2" t="s">
        <v>97</v>
      </c>
      <c r="K1998" s="2" t="s">
        <v>77</v>
      </c>
      <c r="L1998" s="2" t="s">
        <v>74</v>
      </c>
      <c r="M1998" s="2" t="s">
        <v>75</v>
      </c>
      <c r="N1998" s="2" t="s">
        <v>1251</v>
      </c>
      <c r="O1998" s="2" t="s">
        <v>101</v>
      </c>
      <c r="P1998" s="2" t="str">
        <f>"217060529                     "</f>
        <v xml:space="preserve">217060529 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5.03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1</v>
      </c>
      <c r="BJ1998" s="2">
        <v>0.2</v>
      </c>
      <c r="BK1998" s="2">
        <v>1</v>
      </c>
      <c r="BL1998" s="2">
        <v>35.89</v>
      </c>
      <c r="BM1998" s="2">
        <v>5.0199999999999996</v>
      </c>
      <c r="BN1998" s="2">
        <v>40.909999999999997</v>
      </c>
      <c r="BO1998" s="2">
        <v>40.909999999999997</v>
      </c>
      <c r="BQ1998" s="2" t="s">
        <v>102</v>
      </c>
      <c r="BR1998" s="2" t="s">
        <v>103</v>
      </c>
      <c r="BS1998" s="3">
        <v>43083</v>
      </c>
      <c r="BT1998" s="4">
        <v>0.35694444444444445</v>
      </c>
      <c r="BU1998" s="2" t="s">
        <v>1429</v>
      </c>
      <c r="BV1998" s="2" t="s">
        <v>85</v>
      </c>
      <c r="BY1998" s="2">
        <v>1200</v>
      </c>
      <c r="CA1998" s="2" t="s">
        <v>392</v>
      </c>
      <c r="CC1998" s="2" t="s">
        <v>75</v>
      </c>
      <c r="CD1998" s="2">
        <v>1609</v>
      </c>
      <c r="CE1998" s="2" t="s">
        <v>120</v>
      </c>
      <c r="CF1998" s="3">
        <v>43084</v>
      </c>
      <c r="CI1998" s="2">
        <v>1</v>
      </c>
      <c r="CJ1998" s="2">
        <v>1</v>
      </c>
      <c r="CK1998" s="2">
        <v>22</v>
      </c>
      <c r="CL1998" s="2" t="s">
        <v>89</v>
      </c>
    </row>
    <row r="1999" spans="1:90">
      <c r="A1999" s="2" t="s">
        <v>71</v>
      </c>
      <c r="B1999" s="2" t="s">
        <v>72</v>
      </c>
      <c r="C1999" s="2" t="s">
        <v>73</v>
      </c>
      <c r="E1999" s="2" t="str">
        <f>"FES1162595752"</f>
        <v>FES1162595752</v>
      </c>
      <c r="F1999" s="3">
        <v>43082</v>
      </c>
      <c r="G1999" s="2">
        <v>201806</v>
      </c>
      <c r="H1999" s="2" t="s">
        <v>74</v>
      </c>
      <c r="I1999" s="2" t="s">
        <v>75</v>
      </c>
      <c r="J1999" s="2" t="s">
        <v>97</v>
      </c>
      <c r="K1999" s="2" t="s">
        <v>77</v>
      </c>
      <c r="L1999" s="2" t="s">
        <v>158</v>
      </c>
      <c r="M1999" s="2" t="s">
        <v>159</v>
      </c>
      <c r="N1999" s="2" t="s">
        <v>588</v>
      </c>
      <c r="O1999" s="2" t="s">
        <v>101</v>
      </c>
      <c r="P1999" s="2" t="str">
        <f>"2170607548                    "</f>
        <v xml:space="preserve">2170607548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6.43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</v>
      </c>
      <c r="BJ1999" s="2">
        <v>0.2</v>
      </c>
      <c r="BK1999" s="2">
        <v>1</v>
      </c>
      <c r="BL1999" s="2">
        <v>45.93</v>
      </c>
      <c r="BM1999" s="2">
        <v>6.43</v>
      </c>
      <c r="BN1999" s="2">
        <v>52.36</v>
      </c>
      <c r="BO1999" s="2">
        <v>52.36</v>
      </c>
      <c r="BQ1999" s="2" t="s">
        <v>102</v>
      </c>
      <c r="BR1999" s="2" t="s">
        <v>103</v>
      </c>
      <c r="BS1999" s="3">
        <v>43083</v>
      </c>
      <c r="BT1999" s="4">
        <v>0.47430555555555554</v>
      </c>
      <c r="BU1999" s="2" t="s">
        <v>1606</v>
      </c>
      <c r="BV1999" s="2" t="s">
        <v>85</v>
      </c>
      <c r="BY1999" s="2">
        <v>1200</v>
      </c>
      <c r="CA1999" s="2" t="s">
        <v>590</v>
      </c>
      <c r="CC1999" s="2" t="s">
        <v>159</v>
      </c>
      <c r="CD1999" s="2">
        <v>40</v>
      </c>
      <c r="CE1999" s="2" t="s">
        <v>120</v>
      </c>
      <c r="CF1999" s="3">
        <v>43088</v>
      </c>
      <c r="CI1999" s="2">
        <v>1</v>
      </c>
      <c r="CJ1999" s="2">
        <v>1</v>
      </c>
      <c r="CK1999" s="2">
        <v>21</v>
      </c>
      <c r="CL1999" s="2" t="s">
        <v>89</v>
      </c>
    </row>
    <row r="2000" spans="1:90">
      <c r="A2000" s="2" t="s">
        <v>71</v>
      </c>
      <c r="B2000" s="2" t="s">
        <v>72</v>
      </c>
      <c r="C2000" s="2" t="s">
        <v>73</v>
      </c>
      <c r="E2000" s="2" t="str">
        <f>"FES1162595658"</f>
        <v>FES1162595658</v>
      </c>
      <c r="F2000" s="3">
        <v>43082</v>
      </c>
      <c r="G2000" s="2">
        <v>201806</v>
      </c>
      <c r="H2000" s="2" t="s">
        <v>74</v>
      </c>
      <c r="I2000" s="2" t="s">
        <v>75</v>
      </c>
      <c r="J2000" s="2" t="s">
        <v>97</v>
      </c>
      <c r="K2000" s="2" t="s">
        <v>77</v>
      </c>
      <c r="L2000" s="2" t="s">
        <v>173</v>
      </c>
      <c r="M2000" s="2" t="s">
        <v>174</v>
      </c>
      <c r="N2000" s="2" t="s">
        <v>2042</v>
      </c>
      <c r="O2000" s="2" t="s">
        <v>101</v>
      </c>
      <c r="P2000" s="2" t="str">
        <f>"2170607487                    "</f>
        <v xml:space="preserve">2170607487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59.49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8.8000000000000007</v>
      </c>
      <c r="BJ2000" s="2">
        <v>18.399999999999999</v>
      </c>
      <c r="BK2000" s="2">
        <v>18.5</v>
      </c>
      <c r="BL2000" s="2">
        <v>424.7</v>
      </c>
      <c r="BM2000" s="2">
        <v>59.46</v>
      </c>
      <c r="BN2000" s="2">
        <v>484.16</v>
      </c>
      <c r="BO2000" s="2">
        <v>484.16</v>
      </c>
      <c r="BR2000" s="2" t="s">
        <v>103</v>
      </c>
      <c r="BS2000" s="3">
        <v>43083</v>
      </c>
      <c r="BT2000" s="4">
        <v>0.6645833333333333</v>
      </c>
      <c r="BU2000" s="2" t="s">
        <v>2344</v>
      </c>
      <c r="BV2000" s="2" t="s">
        <v>89</v>
      </c>
      <c r="BW2000" s="2" t="s">
        <v>313</v>
      </c>
      <c r="BX2000" s="2" t="s">
        <v>246</v>
      </c>
      <c r="BY2000" s="2">
        <v>92042.19</v>
      </c>
      <c r="CA2000" s="2" t="s">
        <v>743</v>
      </c>
      <c r="CC2000" s="2" t="s">
        <v>174</v>
      </c>
      <c r="CD2000" s="2">
        <v>7925</v>
      </c>
      <c r="CE2000" s="2" t="s">
        <v>95</v>
      </c>
      <c r="CF2000" s="3">
        <v>43084</v>
      </c>
      <c r="CI2000" s="2">
        <v>1</v>
      </c>
      <c r="CJ2000" s="2">
        <v>1</v>
      </c>
      <c r="CK2000" s="2">
        <v>21</v>
      </c>
      <c r="CL2000" s="2" t="s">
        <v>89</v>
      </c>
    </row>
    <row r="2001" spans="1:90">
      <c r="A2001" s="2" t="s">
        <v>71</v>
      </c>
      <c r="B2001" s="2" t="s">
        <v>72</v>
      </c>
      <c r="C2001" s="2" t="s">
        <v>73</v>
      </c>
      <c r="E2001" s="2" t="str">
        <f>"FES1162595679"</f>
        <v>FES1162595679</v>
      </c>
      <c r="F2001" s="3">
        <v>43082</v>
      </c>
      <c r="G2001" s="2">
        <v>201806</v>
      </c>
      <c r="H2001" s="2" t="s">
        <v>74</v>
      </c>
      <c r="I2001" s="2" t="s">
        <v>75</v>
      </c>
      <c r="J2001" s="2" t="s">
        <v>97</v>
      </c>
      <c r="K2001" s="2" t="s">
        <v>77</v>
      </c>
      <c r="L2001" s="2" t="s">
        <v>168</v>
      </c>
      <c r="M2001" s="2" t="s">
        <v>169</v>
      </c>
      <c r="N2001" s="2" t="s">
        <v>170</v>
      </c>
      <c r="O2001" s="2" t="s">
        <v>101</v>
      </c>
      <c r="P2001" s="2" t="str">
        <f>"2170607521                    "</f>
        <v xml:space="preserve">2170607521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6.43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</v>
      </c>
      <c r="BJ2001" s="2">
        <v>0.2</v>
      </c>
      <c r="BK2001" s="2">
        <v>1</v>
      </c>
      <c r="BL2001" s="2">
        <v>45.93</v>
      </c>
      <c r="BM2001" s="2">
        <v>6.43</v>
      </c>
      <c r="BN2001" s="2">
        <v>52.36</v>
      </c>
      <c r="BO2001" s="2">
        <v>52.36</v>
      </c>
      <c r="BQ2001" s="2" t="s">
        <v>128</v>
      </c>
      <c r="BR2001" s="2" t="s">
        <v>103</v>
      </c>
      <c r="BS2001" s="3">
        <v>43083</v>
      </c>
      <c r="BT2001" s="4">
        <v>0.38541666666666669</v>
      </c>
      <c r="BU2001" s="2" t="s">
        <v>171</v>
      </c>
      <c r="BV2001" s="2" t="s">
        <v>85</v>
      </c>
      <c r="BY2001" s="2">
        <v>1200</v>
      </c>
      <c r="CA2001" s="2" t="s">
        <v>172</v>
      </c>
      <c r="CC2001" s="2" t="s">
        <v>169</v>
      </c>
      <c r="CD2001" s="2">
        <v>3610</v>
      </c>
      <c r="CE2001" s="2" t="s">
        <v>120</v>
      </c>
      <c r="CF2001" s="3">
        <v>43084</v>
      </c>
      <c r="CI2001" s="2">
        <v>1</v>
      </c>
      <c r="CJ2001" s="2">
        <v>1</v>
      </c>
      <c r="CK2001" s="2">
        <v>21</v>
      </c>
      <c r="CL2001" s="2" t="s">
        <v>89</v>
      </c>
    </row>
    <row r="2002" spans="1:90">
      <c r="A2002" s="2" t="s">
        <v>71</v>
      </c>
      <c r="B2002" s="2" t="s">
        <v>72</v>
      </c>
      <c r="C2002" s="2" t="s">
        <v>73</v>
      </c>
      <c r="E2002" s="2" t="str">
        <f>"FES1162595708"</f>
        <v>FES1162595708</v>
      </c>
      <c r="F2002" s="3">
        <v>43082</v>
      </c>
      <c r="G2002" s="2">
        <v>201806</v>
      </c>
      <c r="H2002" s="2" t="s">
        <v>74</v>
      </c>
      <c r="I2002" s="2" t="s">
        <v>75</v>
      </c>
      <c r="J2002" s="2" t="s">
        <v>97</v>
      </c>
      <c r="K2002" s="2" t="s">
        <v>77</v>
      </c>
      <c r="L2002" s="2" t="s">
        <v>158</v>
      </c>
      <c r="M2002" s="2" t="s">
        <v>159</v>
      </c>
      <c r="N2002" s="2" t="s">
        <v>588</v>
      </c>
      <c r="O2002" s="2" t="s">
        <v>101</v>
      </c>
      <c r="P2002" s="2" t="str">
        <f>"2170600404                    "</f>
        <v xml:space="preserve">2170600404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6.43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45.93</v>
      </c>
      <c r="BM2002" s="2">
        <v>6.43</v>
      </c>
      <c r="BN2002" s="2">
        <v>52.36</v>
      </c>
      <c r="BO2002" s="2">
        <v>52.36</v>
      </c>
      <c r="BQ2002" s="2" t="s">
        <v>102</v>
      </c>
      <c r="BR2002" s="2" t="s">
        <v>103</v>
      </c>
      <c r="BS2002" s="3">
        <v>43083</v>
      </c>
      <c r="BT2002" s="4">
        <v>0.47430555555555554</v>
      </c>
      <c r="BU2002" s="2" t="s">
        <v>1606</v>
      </c>
      <c r="BV2002" s="2" t="s">
        <v>85</v>
      </c>
      <c r="BY2002" s="2">
        <v>1200</v>
      </c>
      <c r="CA2002" s="2" t="s">
        <v>590</v>
      </c>
      <c r="CC2002" s="2" t="s">
        <v>159</v>
      </c>
      <c r="CD2002" s="2">
        <v>40</v>
      </c>
      <c r="CE2002" s="2" t="s">
        <v>120</v>
      </c>
      <c r="CF2002" s="3">
        <v>43088</v>
      </c>
      <c r="CI2002" s="2">
        <v>1</v>
      </c>
      <c r="CJ2002" s="2">
        <v>1</v>
      </c>
      <c r="CK2002" s="2">
        <v>21</v>
      </c>
      <c r="CL2002" s="2" t="s">
        <v>89</v>
      </c>
    </row>
    <row r="2003" spans="1:90">
      <c r="A2003" s="2" t="s">
        <v>71</v>
      </c>
      <c r="B2003" s="2" t="s">
        <v>72</v>
      </c>
      <c r="C2003" s="2" t="s">
        <v>73</v>
      </c>
      <c r="E2003" s="2" t="str">
        <f>"FES1162595710"</f>
        <v>FES1162595710</v>
      </c>
      <c r="F2003" s="3">
        <v>43082</v>
      </c>
      <c r="G2003" s="2">
        <v>201806</v>
      </c>
      <c r="H2003" s="2" t="s">
        <v>74</v>
      </c>
      <c r="I2003" s="2" t="s">
        <v>75</v>
      </c>
      <c r="J2003" s="2" t="s">
        <v>97</v>
      </c>
      <c r="K2003" s="2" t="s">
        <v>77</v>
      </c>
      <c r="L2003" s="2" t="s">
        <v>158</v>
      </c>
      <c r="M2003" s="2" t="s">
        <v>159</v>
      </c>
      <c r="N2003" s="2" t="s">
        <v>588</v>
      </c>
      <c r="O2003" s="2" t="s">
        <v>101</v>
      </c>
      <c r="P2003" s="2" t="str">
        <f>"2170601307                    "</f>
        <v xml:space="preserve">2170601307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6.43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45.93</v>
      </c>
      <c r="BM2003" s="2">
        <v>6.43</v>
      </c>
      <c r="BN2003" s="2">
        <v>52.36</v>
      </c>
      <c r="BO2003" s="2">
        <v>52.36</v>
      </c>
      <c r="BQ2003" s="2" t="s">
        <v>102</v>
      </c>
      <c r="BR2003" s="2" t="s">
        <v>103</v>
      </c>
      <c r="BS2003" s="3">
        <v>43083</v>
      </c>
      <c r="BT2003" s="4">
        <v>0.47430555555555554</v>
      </c>
      <c r="BU2003" s="2" t="s">
        <v>1606</v>
      </c>
      <c r="BV2003" s="2" t="s">
        <v>85</v>
      </c>
      <c r="BY2003" s="2">
        <v>1200</v>
      </c>
      <c r="CA2003" s="2" t="s">
        <v>590</v>
      </c>
      <c r="CC2003" s="2" t="s">
        <v>159</v>
      </c>
      <c r="CD2003" s="2">
        <v>40</v>
      </c>
      <c r="CE2003" s="2" t="s">
        <v>120</v>
      </c>
      <c r="CF2003" s="3">
        <v>43088</v>
      </c>
      <c r="CI2003" s="2">
        <v>1</v>
      </c>
      <c r="CJ2003" s="2">
        <v>1</v>
      </c>
      <c r="CK2003" s="2">
        <v>21</v>
      </c>
      <c r="CL2003" s="2" t="s">
        <v>89</v>
      </c>
    </row>
    <row r="2004" spans="1:90">
      <c r="A2004" s="2" t="s">
        <v>71</v>
      </c>
      <c r="B2004" s="2" t="s">
        <v>72</v>
      </c>
      <c r="C2004" s="2" t="s">
        <v>73</v>
      </c>
      <c r="E2004" s="2" t="str">
        <f>"FES1162595784"</f>
        <v>FES1162595784</v>
      </c>
      <c r="F2004" s="3">
        <v>43082</v>
      </c>
      <c r="G2004" s="2">
        <v>201806</v>
      </c>
      <c r="H2004" s="2" t="s">
        <v>74</v>
      </c>
      <c r="I2004" s="2" t="s">
        <v>75</v>
      </c>
      <c r="J2004" s="2" t="s">
        <v>97</v>
      </c>
      <c r="K2004" s="2" t="s">
        <v>77</v>
      </c>
      <c r="L2004" s="2" t="s">
        <v>98</v>
      </c>
      <c r="M2004" s="2" t="s">
        <v>99</v>
      </c>
      <c r="N2004" s="2" t="s">
        <v>1365</v>
      </c>
      <c r="O2004" s="2" t="s">
        <v>101</v>
      </c>
      <c r="P2004" s="2" t="str">
        <f>"2170607606                    "</f>
        <v xml:space="preserve">2170607606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6.43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1</v>
      </c>
      <c r="BJ2004" s="2">
        <v>0.2</v>
      </c>
      <c r="BK2004" s="2">
        <v>1</v>
      </c>
      <c r="BL2004" s="2">
        <v>45.93</v>
      </c>
      <c r="BM2004" s="2">
        <v>6.43</v>
      </c>
      <c r="BN2004" s="2">
        <v>52.36</v>
      </c>
      <c r="BO2004" s="2">
        <v>52.36</v>
      </c>
      <c r="BQ2004" s="2" t="s">
        <v>128</v>
      </c>
      <c r="BR2004" s="2" t="s">
        <v>103</v>
      </c>
      <c r="BS2004" s="3">
        <v>43083</v>
      </c>
      <c r="BT2004" s="4">
        <v>0.43055555555555558</v>
      </c>
      <c r="BU2004" s="2" t="s">
        <v>2345</v>
      </c>
      <c r="BV2004" s="2" t="s">
        <v>85</v>
      </c>
      <c r="BY2004" s="2">
        <v>1200</v>
      </c>
      <c r="CA2004" s="2" t="s">
        <v>497</v>
      </c>
      <c r="CC2004" s="2" t="s">
        <v>99</v>
      </c>
      <c r="CD2004" s="2">
        <v>3201</v>
      </c>
      <c r="CE2004" s="2" t="s">
        <v>120</v>
      </c>
      <c r="CF2004" s="3">
        <v>43084</v>
      </c>
      <c r="CI2004" s="2">
        <v>1</v>
      </c>
      <c r="CJ2004" s="2">
        <v>1</v>
      </c>
      <c r="CK2004" s="2">
        <v>21</v>
      </c>
      <c r="CL2004" s="2" t="s">
        <v>89</v>
      </c>
    </row>
    <row r="2005" spans="1:90">
      <c r="A2005" s="2" t="s">
        <v>71</v>
      </c>
      <c r="B2005" s="2" t="s">
        <v>72</v>
      </c>
      <c r="C2005" s="2" t="s">
        <v>73</v>
      </c>
      <c r="E2005" s="2" t="str">
        <f>"FES1162595745"</f>
        <v>FES1162595745</v>
      </c>
      <c r="F2005" s="3">
        <v>43082</v>
      </c>
      <c r="G2005" s="2">
        <v>201806</v>
      </c>
      <c r="H2005" s="2" t="s">
        <v>74</v>
      </c>
      <c r="I2005" s="2" t="s">
        <v>75</v>
      </c>
      <c r="J2005" s="2" t="s">
        <v>97</v>
      </c>
      <c r="K2005" s="2" t="s">
        <v>77</v>
      </c>
      <c r="L2005" s="2" t="s">
        <v>173</v>
      </c>
      <c r="M2005" s="2" t="s">
        <v>174</v>
      </c>
      <c r="N2005" s="2" t="s">
        <v>175</v>
      </c>
      <c r="O2005" s="2" t="s">
        <v>101</v>
      </c>
      <c r="P2005" s="2" t="str">
        <f>"2170607560                    "</f>
        <v xml:space="preserve">2170607560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6.43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</v>
      </c>
      <c r="BJ2005" s="2">
        <v>0.2</v>
      </c>
      <c r="BK2005" s="2">
        <v>1</v>
      </c>
      <c r="BL2005" s="2">
        <v>45.93</v>
      </c>
      <c r="BM2005" s="2">
        <v>6.43</v>
      </c>
      <c r="BN2005" s="2">
        <v>52.36</v>
      </c>
      <c r="BO2005" s="2">
        <v>52.36</v>
      </c>
      <c r="BQ2005" s="2" t="s">
        <v>102</v>
      </c>
      <c r="BR2005" s="2" t="s">
        <v>103</v>
      </c>
      <c r="BS2005" s="3">
        <v>43083</v>
      </c>
      <c r="BT2005" s="4">
        <v>0.4055555555555555</v>
      </c>
      <c r="BU2005" s="2" t="s">
        <v>176</v>
      </c>
      <c r="BV2005" s="2" t="s">
        <v>85</v>
      </c>
      <c r="BY2005" s="2">
        <v>1200</v>
      </c>
      <c r="CA2005" s="2" t="s">
        <v>177</v>
      </c>
      <c r="CC2005" s="2" t="s">
        <v>174</v>
      </c>
      <c r="CD2005" s="2">
        <v>7405</v>
      </c>
      <c r="CE2005" s="2" t="s">
        <v>120</v>
      </c>
      <c r="CF2005" s="3">
        <v>43084</v>
      </c>
      <c r="CI2005" s="2">
        <v>1</v>
      </c>
      <c r="CJ2005" s="2">
        <v>1</v>
      </c>
      <c r="CK2005" s="2">
        <v>21</v>
      </c>
      <c r="CL2005" s="2" t="s">
        <v>89</v>
      </c>
    </row>
    <row r="2006" spans="1:90">
      <c r="A2006" s="2" t="s">
        <v>71</v>
      </c>
      <c r="B2006" s="2" t="s">
        <v>72</v>
      </c>
      <c r="C2006" s="2" t="s">
        <v>73</v>
      </c>
      <c r="E2006" s="2" t="str">
        <f>"FES1162595776"</f>
        <v>FES1162595776</v>
      </c>
      <c r="F2006" s="3">
        <v>43082</v>
      </c>
      <c r="G2006" s="2">
        <v>201806</v>
      </c>
      <c r="H2006" s="2" t="s">
        <v>74</v>
      </c>
      <c r="I2006" s="2" t="s">
        <v>75</v>
      </c>
      <c r="J2006" s="2" t="s">
        <v>97</v>
      </c>
      <c r="K2006" s="2" t="s">
        <v>77</v>
      </c>
      <c r="L2006" s="2" t="s">
        <v>131</v>
      </c>
      <c r="M2006" s="2" t="s">
        <v>132</v>
      </c>
      <c r="N2006" s="2" t="s">
        <v>133</v>
      </c>
      <c r="O2006" s="2" t="s">
        <v>101</v>
      </c>
      <c r="P2006" s="2" t="str">
        <f>"2170607593                    "</f>
        <v xml:space="preserve">2170607593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6.43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45.93</v>
      </c>
      <c r="BM2006" s="2">
        <v>6.43</v>
      </c>
      <c r="BN2006" s="2">
        <v>52.36</v>
      </c>
      <c r="BO2006" s="2">
        <v>52.36</v>
      </c>
      <c r="BQ2006" s="2" t="s">
        <v>102</v>
      </c>
      <c r="BR2006" s="2" t="s">
        <v>103</v>
      </c>
      <c r="BS2006" s="3">
        <v>43083</v>
      </c>
      <c r="BT2006" s="4">
        <v>0.43194444444444446</v>
      </c>
      <c r="BU2006" s="2" t="s">
        <v>134</v>
      </c>
      <c r="BV2006" s="2" t="s">
        <v>85</v>
      </c>
      <c r="BY2006" s="2">
        <v>1200</v>
      </c>
      <c r="CA2006" s="2" t="s">
        <v>135</v>
      </c>
      <c r="CC2006" s="2" t="s">
        <v>132</v>
      </c>
      <c r="CD2006" s="2">
        <v>4302</v>
      </c>
      <c r="CE2006" s="2" t="s">
        <v>120</v>
      </c>
      <c r="CF2006" s="3">
        <v>43084</v>
      </c>
      <c r="CI2006" s="2">
        <v>1</v>
      </c>
      <c r="CJ2006" s="2">
        <v>1</v>
      </c>
      <c r="CK2006" s="2">
        <v>21</v>
      </c>
      <c r="CL2006" s="2" t="s">
        <v>89</v>
      </c>
    </row>
    <row r="2007" spans="1:90">
      <c r="A2007" s="2" t="s">
        <v>71</v>
      </c>
      <c r="B2007" s="2" t="s">
        <v>72</v>
      </c>
      <c r="C2007" s="2" t="s">
        <v>73</v>
      </c>
      <c r="E2007" s="2" t="str">
        <f>"FES1162595585"</f>
        <v>FES1162595585</v>
      </c>
      <c r="F2007" s="3">
        <v>43082</v>
      </c>
      <c r="G2007" s="2">
        <v>201806</v>
      </c>
      <c r="H2007" s="2" t="s">
        <v>74</v>
      </c>
      <c r="I2007" s="2" t="s">
        <v>75</v>
      </c>
      <c r="J2007" s="2" t="s">
        <v>97</v>
      </c>
      <c r="K2007" s="2" t="s">
        <v>77</v>
      </c>
      <c r="L2007" s="2" t="s">
        <v>136</v>
      </c>
      <c r="M2007" s="2" t="s">
        <v>137</v>
      </c>
      <c r="N2007" s="2" t="s">
        <v>258</v>
      </c>
      <c r="O2007" s="2" t="s">
        <v>81</v>
      </c>
      <c r="P2007" s="2" t="str">
        <f>"2170607430                    "</f>
        <v xml:space="preserve">2170607430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25.57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2</v>
      </c>
      <c r="BI2007" s="2">
        <v>36.5</v>
      </c>
      <c r="BJ2007" s="2">
        <v>10.8</v>
      </c>
      <c r="BK2007" s="2">
        <v>37</v>
      </c>
      <c r="BL2007" s="2">
        <v>187.55</v>
      </c>
      <c r="BM2007" s="2">
        <v>26.26</v>
      </c>
      <c r="BN2007" s="2">
        <v>213.81</v>
      </c>
      <c r="BO2007" s="2">
        <v>213.81</v>
      </c>
      <c r="BQ2007" s="2" t="s">
        <v>102</v>
      </c>
      <c r="BR2007" s="2" t="s">
        <v>103</v>
      </c>
      <c r="BS2007" s="3">
        <v>43087</v>
      </c>
      <c r="BT2007" s="4">
        <v>0.37152777777777773</v>
      </c>
      <c r="BU2007" s="2" t="s">
        <v>2346</v>
      </c>
      <c r="BV2007" s="2" t="s">
        <v>89</v>
      </c>
      <c r="BW2007" s="2" t="s">
        <v>313</v>
      </c>
      <c r="BX2007" s="2" t="s">
        <v>2347</v>
      </c>
      <c r="BY2007" s="2">
        <v>54033.64</v>
      </c>
      <c r="CA2007" s="2" t="s">
        <v>315</v>
      </c>
      <c r="CC2007" s="2" t="s">
        <v>137</v>
      </c>
      <c r="CD2007" s="2">
        <v>6001</v>
      </c>
      <c r="CE2007" s="2" t="s">
        <v>95</v>
      </c>
      <c r="CF2007" s="3">
        <v>43088</v>
      </c>
      <c r="CI2007" s="2">
        <v>2</v>
      </c>
      <c r="CJ2007" s="2">
        <v>3</v>
      </c>
      <c r="CK2007" s="2" t="s">
        <v>271</v>
      </c>
      <c r="CL2007" s="2" t="s">
        <v>89</v>
      </c>
    </row>
    <row r="2008" spans="1:90">
      <c r="A2008" s="2" t="s">
        <v>71</v>
      </c>
      <c r="B2008" s="2" t="s">
        <v>72</v>
      </c>
      <c r="C2008" s="2" t="s">
        <v>73</v>
      </c>
      <c r="E2008" s="2" t="str">
        <f>"FES1162595858"</f>
        <v>FES1162595858</v>
      </c>
      <c r="F2008" s="3">
        <v>43082</v>
      </c>
      <c r="G2008" s="2">
        <v>201806</v>
      </c>
      <c r="H2008" s="2" t="s">
        <v>74</v>
      </c>
      <c r="I2008" s="2" t="s">
        <v>75</v>
      </c>
      <c r="J2008" s="2" t="s">
        <v>97</v>
      </c>
      <c r="K2008" s="2" t="s">
        <v>77</v>
      </c>
      <c r="L2008" s="2" t="s">
        <v>74</v>
      </c>
      <c r="M2008" s="2" t="s">
        <v>75</v>
      </c>
      <c r="N2008" s="2" t="s">
        <v>1404</v>
      </c>
      <c r="O2008" s="2" t="s">
        <v>81</v>
      </c>
      <c r="P2008" s="2" t="str">
        <f>"2170607511                    "</f>
        <v xml:space="preserve">2170607511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20.87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3</v>
      </c>
      <c r="BI2008" s="2">
        <v>46</v>
      </c>
      <c r="BJ2008" s="2">
        <v>53.3</v>
      </c>
      <c r="BK2008" s="2">
        <v>54</v>
      </c>
      <c r="BL2008" s="2">
        <v>153.96</v>
      </c>
      <c r="BM2008" s="2">
        <v>21.55</v>
      </c>
      <c r="BN2008" s="2">
        <v>175.51</v>
      </c>
      <c r="BO2008" s="2">
        <v>175.51</v>
      </c>
      <c r="BQ2008" s="2" t="s">
        <v>1405</v>
      </c>
      <c r="BR2008" s="2" t="s">
        <v>103</v>
      </c>
      <c r="BS2008" s="3">
        <v>43083</v>
      </c>
      <c r="BT2008" s="4">
        <v>0.4236111111111111</v>
      </c>
      <c r="BU2008" s="2" t="s">
        <v>2348</v>
      </c>
      <c r="BV2008" s="2" t="s">
        <v>85</v>
      </c>
      <c r="BY2008" s="2">
        <v>165800</v>
      </c>
      <c r="CC2008" s="2" t="s">
        <v>75</v>
      </c>
      <c r="CD2008" s="2">
        <v>1601</v>
      </c>
      <c r="CE2008" s="2" t="s">
        <v>87</v>
      </c>
      <c r="CF2008" s="3">
        <v>43088</v>
      </c>
      <c r="CI2008" s="2">
        <v>1</v>
      </c>
      <c r="CJ2008" s="2">
        <v>1</v>
      </c>
      <c r="CK2008" s="2" t="s">
        <v>96</v>
      </c>
      <c r="CL2008" s="2" t="s">
        <v>89</v>
      </c>
    </row>
    <row r="2009" spans="1:90">
      <c r="A2009" s="2" t="s">
        <v>71</v>
      </c>
      <c r="B2009" s="2" t="s">
        <v>72</v>
      </c>
      <c r="C2009" s="2" t="s">
        <v>73</v>
      </c>
      <c r="E2009" s="2" t="str">
        <f>"FES1162595687"</f>
        <v>FES1162595687</v>
      </c>
      <c r="F2009" s="3">
        <v>43082</v>
      </c>
      <c r="G2009" s="2">
        <v>201806</v>
      </c>
      <c r="H2009" s="2" t="s">
        <v>74</v>
      </c>
      <c r="I2009" s="2" t="s">
        <v>75</v>
      </c>
      <c r="J2009" s="2" t="s">
        <v>97</v>
      </c>
      <c r="K2009" s="2" t="s">
        <v>77</v>
      </c>
      <c r="L2009" s="2" t="s">
        <v>136</v>
      </c>
      <c r="M2009" s="2" t="s">
        <v>137</v>
      </c>
      <c r="N2009" s="2" t="s">
        <v>580</v>
      </c>
      <c r="O2009" s="2" t="s">
        <v>81</v>
      </c>
      <c r="P2009" s="2" t="str">
        <f>"2170607527                    "</f>
        <v xml:space="preserve">2170607527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23.32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3</v>
      </c>
      <c r="BI2009" s="2">
        <v>32.6</v>
      </c>
      <c r="BJ2009" s="2">
        <v>20</v>
      </c>
      <c r="BK2009" s="2">
        <v>33</v>
      </c>
      <c r="BL2009" s="2">
        <v>171.46</v>
      </c>
      <c r="BM2009" s="2">
        <v>24</v>
      </c>
      <c r="BN2009" s="2">
        <v>195.46</v>
      </c>
      <c r="BO2009" s="2">
        <v>195.46</v>
      </c>
      <c r="BQ2009" s="2" t="s">
        <v>102</v>
      </c>
      <c r="BR2009" s="2" t="s">
        <v>103</v>
      </c>
      <c r="BS2009" s="3">
        <v>43087</v>
      </c>
      <c r="BT2009" s="4">
        <v>0.4548611111111111</v>
      </c>
      <c r="BU2009" s="2" t="s">
        <v>2349</v>
      </c>
      <c r="BV2009" s="2" t="s">
        <v>89</v>
      </c>
      <c r="BW2009" s="2" t="s">
        <v>437</v>
      </c>
      <c r="BX2009" s="2" t="s">
        <v>2347</v>
      </c>
      <c r="BY2009" s="2">
        <v>99803.51</v>
      </c>
      <c r="CA2009" s="2" t="s">
        <v>315</v>
      </c>
      <c r="CC2009" s="2" t="s">
        <v>137</v>
      </c>
      <c r="CD2009" s="2">
        <v>6001</v>
      </c>
      <c r="CE2009" s="2" t="s">
        <v>95</v>
      </c>
      <c r="CF2009" s="3">
        <v>43088</v>
      </c>
      <c r="CI2009" s="2">
        <v>2</v>
      </c>
      <c r="CJ2009" s="2">
        <v>3</v>
      </c>
      <c r="CK2009" s="2" t="s">
        <v>271</v>
      </c>
      <c r="CL2009" s="2" t="s">
        <v>89</v>
      </c>
    </row>
    <row r="2010" spans="1:90">
      <c r="A2010" s="2" t="s">
        <v>71</v>
      </c>
      <c r="B2010" s="2" t="s">
        <v>72</v>
      </c>
      <c r="C2010" s="2" t="s">
        <v>73</v>
      </c>
      <c r="E2010" s="2" t="str">
        <f>"FES1162594888"</f>
        <v>FES1162594888</v>
      </c>
      <c r="F2010" s="3">
        <v>43082</v>
      </c>
      <c r="G2010" s="2">
        <v>201806</v>
      </c>
      <c r="H2010" s="2" t="s">
        <v>74</v>
      </c>
      <c r="I2010" s="2" t="s">
        <v>75</v>
      </c>
      <c r="J2010" s="2" t="s">
        <v>97</v>
      </c>
      <c r="K2010" s="2" t="s">
        <v>77</v>
      </c>
      <c r="L2010" s="2" t="s">
        <v>285</v>
      </c>
      <c r="M2010" s="2" t="s">
        <v>159</v>
      </c>
      <c r="N2010" s="2" t="s">
        <v>2350</v>
      </c>
      <c r="O2010" s="2" t="s">
        <v>81</v>
      </c>
      <c r="P2010" s="2" t="str">
        <f>"2170606781                    "</f>
        <v xml:space="preserve">2170606781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22.01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4</v>
      </c>
      <c r="BI2010" s="2">
        <v>46.2</v>
      </c>
      <c r="BJ2010" s="2">
        <v>42.5</v>
      </c>
      <c r="BK2010" s="2">
        <v>47</v>
      </c>
      <c r="BL2010" s="2">
        <v>162.1</v>
      </c>
      <c r="BM2010" s="2">
        <v>22.69</v>
      </c>
      <c r="BN2010" s="2">
        <v>184.79</v>
      </c>
      <c r="BO2010" s="2">
        <v>184.79</v>
      </c>
      <c r="BR2010" s="2" t="s">
        <v>103</v>
      </c>
      <c r="BS2010" s="3">
        <v>43090</v>
      </c>
      <c r="BT2010" s="4">
        <v>0.57222222222222219</v>
      </c>
      <c r="BU2010" s="2" t="s">
        <v>2351</v>
      </c>
      <c r="BW2010" s="2" t="s">
        <v>156</v>
      </c>
      <c r="BX2010" s="2" t="s">
        <v>668</v>
      </c>
      <c r="BY2010" s="2">
        <v>212409.52</v>
      </c>
      <c r="CC2010" s="2" t="s">
        <v>159</v>
      </c>
      <c r="CD2010" s="2">
        <v>1</v>
      </c>
      <c r="CE2010" s="2" t="s">
        <v>95</v>
      </c>
      <c r="CF2010" s="3">
        <v>43091</v>
      </c>
      <c r="CI2010" s="2">
        <v>0</v>
      </c>
      <c r="CJ2010" s="2">
        <v>0</v>
      </c>
      <c r="CK2010" s="2" t="s">
        <v>289</v>
      </c>
      <c r="CL2010" s="2" t="s">
        <v>89</v>
      </c>
    </row>
    <row r="2011" spans="1:90">
      <c r="A2011" s="2" t="s">
        <v>71</v>
      </c>
      <c r="B2011" s="2" t="s">
        <v>72</v>
      </c>
      <c r="C2011" s="2" t="s">
        <v>73</v>
      </c>
      <c r="E2011" s="2" t="str">
        <f>"FES1162595702"</f>
        <v>FES1162595702</v>
      </c>
      <c r="F2011" s="3">
        <v>43082</v>
      </c>
      <c r="G2011" s="2">
        <v>201806</v>
      </c>
      <c r="H2011" s="2" t="s">
        <v>74</v>
      </c>
      <c r="I2011" s="2" t="s">
        <v>75</v>
      </c>
      <c r="J2011" s="2" t="s">
        <v>97</v>
      </c>
      <c r="K2011" s="2" t="s">
        <v>77</v>
      </c>
      <c r="L2011" s="2" t="s">
        <v>74</v>
      </c>
      <c r="M2011" s="2" t="s">
        <v>75</v>
      </c>
      <c r="N2011" s="2" t="s">
        <v>1251</v>
      </c>
      <c r="O2011" s="2" t="s">
        <v>81</v>
      </c>
      <c r="P2011" s="2" t="str">
        <f>"2170600374                    "</f>
        <v xml:space="preserve">2170600374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40.86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3</v>
      </c>
      <c r="BI2011" s="2">
        <v>120</v>
      </c>
      <c r="BJ2011" s="2">
        <v>80.3</v>
      </c>
      <c r="BK2011" s="2">
        <v>120</v>
      </c>
      <c r="BL2011" s="2">
        <v>296.70999999999998</v>
      </c>
      <c r="BM2011" s="2">
        <v>41.54</v>
      </c>
      <c r="BN2011" s="2">
        <v>338.25</v>
      </c>
      <c r="BO2011" s="2">
        <v>338.25</v>
      </c>
      <c r="BQ2011" s="2" t="s">
        <v>102</v>
      </c>
      <c r="BR2011" s="2" t="s">
        <v>103</v>
      </c>
      <c r="BS2011" s="3">
        <v>43084</v>
      </c>
      <c r="BT2011" s="4">
        <v>0.54166666666666663</v>
      </c>
      <c r="BU2011" s="2" t="s">
        <v>2352</v>
      </c>
      <c r="BV2011" s="2" t="s">
        <v>89</v>
      </c>
      <c r="BW2011" s="2" t="s">
        <v>149</v>
      </c>
      <c r="BX2011" s="2" t="s">
        <v>276</v>
      </c>
      <c r="BY2011" s="2">
        <v>133760</v>
      </c>
      <c r="CC2011" s="2" t="s">
        <v>75</v>
      </c>
      <c r="CD2011" s="2">
        <v>1609</v>
      </c>
      <c r="CE2011" s="2" t="s">
        <v>95</v>
      </c>
      <c r="CF2011" s="3">
        <v>43088</v>
      </c>
      <c r="CI2011" s="2">
        <v>1</v>
      </c>
      <c r="CJ2011" s="2">
        <v>2</v>
      </c>
      <c r="CK2011" s="2" t="s">
        <v>96</v>
      </c>
      <c r="CL2011" s="2" t="s">
        <v>89</v>
      </c>
    </row>
    <row r="2012" spans="1:90">
      <c r="A2012" s="2" t="s">
        <v>71</v>
      </c>
      <c r="B2012" s="2" t="s">
        <v>72</v>
      </c>
      <c r="C2012" s="2" t="s">
        <v>73</v>
      </c>
      <c r="E2012" s="2" t="str">
        <f>"FES1162595701"</f>
        <v>FES1162595701</v>
      </c>
      <c r="F2012" s="3">
        <v>43082</v>
      </c>
      <c r="G2012" s="2">
        <v>201806</v>
      </c>
      <c r="H2012" s="2" t="s">
        <v>74</v>
      </c>
      <c r="I2012" s="2" t="s">
        <v>75</v>
      </c>
      <c r="J2012" s="2" t="s">
        <v>97</v>
      </c>
      <c r="K2012" s="2" t="s">
        <v>77</v>
      </c>
      <c r="L2012" s="2" t="s">
        <v>835</v>
      </c>
      <c r="M2012" s="2" t="s">
        <v>836</v>
      </c>
      <c r="N2012" s="2" t="s">
        <v>1078</v>
      </c>
      <c r="O2012" s="2" t="s">
        <v>81</v>
      </c>
      <c r="P2012" s="2" t="str">
        <f>"2170608433                    "</f>
        <v xml:space="preserve">2170608433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17.68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23</v>
      </c>
      <c r="BJ2012" s="2">
        <v>22.4</v>
      </c>
      <c r="BK2012" s="2">
        <v>23</v>
      </c>
      <c r="BL2012" s="2">
        <v>131.22</v>
      </c>
      <c r="BM2012" s="2">
        <v>18.37</v>
      </c>
      <c r="BN2012" s="2">
        <v>149.59</v>
      </c>
      <c r="BO2012" s="2">
        <v>149.59</v>
      </c>
      <c r="BQ2012" s="2" t="s">
        <v>187</v>
      </c>
      <c r="BR2012" s="2" t="s">
        <v>103</v>
      </c>
      <c r="BS2012" s="2" t="s">
        <v>185</v>
      </c>
      <c r="BY2012" s="2">
        <v>111843</v>
      </c>
      <c r="CC2012" s="2" t="s">
        <v>836</v>
      </c>
      <c r="CD2012" s="2">
        <v>7349</v>
      </c>
      <c r="CE2012" s="2" t="s">
        <v>1004</v>
      </c>
      <c r="CI2012" s="2">
        <v>2</v>
      </c>
      <c r="CJ2012" s="2" t="s">
        <v>185</v>
      </c>
      <c r="CK2012" s="2" t="s">
        <v>271</v>
      </c>
      <c r="CL2012" s="2" t="s">
        <v>89</v>
      </c>
    </row>
    <row r="2013" spans="1:90">
      <c r="A2013" s="2" t="s">
        <v>71</v>
      </c>
      <c r="B2013" s="2" t="s">
        <v>72</v>
      </c>
      <c r="C2013" s="2" t="s">
        <v>73</v>
      </c>
      <c r="E2013" s="2" t="str">
        <f>"FES1162595722"</f>
        <v>FES1162595722</v>
      </c>
      <c r="F2013" s="3">
        <v>43082</v>
      </c>
      <c r="G2013" s="2">
        <v>201806</v>
      </c>
      <c r="H2013" s="2" t="s">
        <v>74</v>
      </c>
      <c r="I2013" s="2" t="s">
        <v>75</v>
      </c>
      <c r="J2013" s="2" t="s">
        <v>97</v>
      </c>
      <c r="K2013" s="2" t="s">
        <v>77</v>
      </c>
      <c r="L2013" s="2" t="s">
        <v>136</v>
      </c>
      <c r="M2013" s="2" t="s">
        <v>137</v>
      </c>
      <c r="N2013" s="2" t="s">
        <v>178</v>
      </c>
      <c r="O2013" s="2" t="s">
        <v>81</v>
      </c>
      <c r="P2013" s="2" t="str">
        <f>"2170605290                    "</f>
        <v xml:space="preserve">2170605290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17.68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23</v>
      </c>
      <c r="BJ2013" s="2">
        <v>11.5</v>
      </c>
      <c r="BK2013" s="2">
        <v>23</v>
      </c>
      <c r="BL2013" s="2">
        <v>131.22</v>
      </c>
      <c r="BM2013" s="2">
        <v>18.37</v>
      </c>
      <c r="BN2013" s="2">
        <v>149.59</v>
      </c>
      <c r="BO2013" s="2">
        <v>149.59</v>
      </c>
      <c r="BQ2013" s="2" t="s">
        <v>102</v>
      </c>
      <c r="BR2013" s="2" t="s">
        <v>103</v>
      </c>
      <c r="BS2013" s="3">
        <v>43084</v>
      </c>
      <c r="BT2013" s="4">
        <v>0.33333333333333331</v>
      </c>
      <c r="BU2013" s="2" t="s">
        <v>2353</v>
      </c>
      <c r="BV2013" s="2" t="s">
        <v>85</v>
      </c>
      <c r="BY2013" s="2">
        <v>57570</v>
      </c>
      <c r="CA2013" s="2" t="s">
        <v>180</v>
      </c>
      <c r="CC2013" s="2" t="s">
        <v>137</v>
      </c>
      <c r="CD2013" s="2">
        <v>6001</v>
      </c>
      <c r="CE2013" s="2" t="s">
        <v>87</v>
      </c>
      <c r="CF2013" s="3">
        <v>43084</v>
      </c>
      <c r="CI2013" s="2">
        <v>2</v>
      </c>
      <c r="CJ2013" s="2">
        <v>2</v>
      </c>
      <c r="CK2013" s="2" t="s">
        <v>271</v>
      </c>
      <c r="CL2013" s="2" t="s">
        <v>89</v>
      </c>
    </row>
    <row r="2014" spans="1:90">
      <c r="A2014" s="2" t="s">
        <v>71</v>
      </c>
      <c r="B2014" s="2" t="s">
        <v>72</v>
      </c>
      <c r="C2014" s="2" t="s">
        <v>73</v>
      </c>
      <c r="E2014" s="2" t="str">
        <f>"FES1162595709"</f>
        <v>FES1162595709</v>
      </c>
      <c r="F2014" s="3">
        <v>43082</v>
      </c>
      <c r="G2014" s="2">
        <v>201806</v>
      </c>
      <c r="H2014" s="2" t="s">
        <v>74</v>
      </c>
      <c r="I2014" s="2" t="s">
        <v>75</v>
      </c>
      <c r="J2014" s="2" t="s">
        <v>97</v>
      </c>
      <c r="K2014" s="2" t="s">
        <v>77</v>
      </c>
      <c r="L2014" s="2" t="s">
        <v>1278</v>
      </c>
      <c r="M2014" s="2" t="s">
        <v>1279</v>
      </c>
      <c r="N2014" s="2" t="s">
        <v>1280</v>
      </c>
      <c r="O2014" s="2" t="s">
        <v>81</v>
      </c>
      <c r="P2014" s="2" t="str">
        <f>"2170600766                    "</f>
        <v xml:space="preserve">2170600766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39.659999999999997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2</v>
      </c>
      <c r="BI2014" s="2">
        <v>62</v>
      </c>
      <c r="BJ2014" s="2">
        <v>39.4</v>
      </c>
      <c r="BK2014" s="2">
        <v>62</v>
      </c>
      <c r="BL2014" s="2">
        <v>288.14</v>
      </c>
      <c r="BM2014" s="2">
        <v>40.340000000000003</v>
      </c>
      <c r="BN2014" s="2">
        <v>328.48</v>
      </c>
      <c r="BO2014" s="2">
        <v>328.48</v>
      </c>
      <c r="BQ2014" s="2" t="s">
        <v>82</v>
      </c>
      <c r="BR2014" s="2" t="s">
        <v>103</v>
      </c>
      <c r="BS2014" s="3">
        <v>43084</v>
      </c>
      <c r="BT2014" s="4">
        <v>0.3125</v>
      </c>
      <c r="BU2014" s="2" t="s">
        <v>2179</v>
      </c>
      <c r="BV2014" s="2" t="s">
        <v>89</v>
      </c>
      <c r="BW2014" s="2" t="s">
        <v>149</v>
      </c>
      <c r="BX2014" s="2" t="s">
        <v>513</v>
      </c>
      <c r="BY2014" s="2">
        <v>98496</v>
      </c>
      <c r="CA2014" s="2" t="s">
        <v>2180</v>
      </c>
      <c r="CC2014" s="2" t="s">
        <v>1279</v>
      </c>
      <c r="CD2014" s="2">
        <v>2410</v>
      </c>
      <c r="CE2014" s="2" t="s">
        <v>87</v>
      </c>
      <c r="CF2014" s="3">
        <v>43088</v>
      </c>
      <c r="CI2014" s="2">
        <v>1</v>
      </c>
      <c r="CJ2014" s="2">
        <v>2</v>
      </c>
      <c r="CK2014" s="2" t="s">
        <v>271</v>
      </c>
      <c r="CL2014" s="2" t="s">
        <v>89</v>
      </c>
    </row>
    <row r="2015" spans="1:90">
      <c r="A2015" s="2" t="s">
        <v>71</v>
      </c>
      <c r="B2015" s="2" t="s">
        <v>72</v>
      </c>
      <c r="C2015" s="2" t="s">
        <v>73</v>
      </c>
      <c r="E2015" s="2" t="str">
        <f>"FES1162596011"</f>
        <v>FES1162596011</v>
      </c>
      <c r="F2015" s="3">
        <v>43083</v>
      </c>
      <c r="G2015" s="2">
        <v>201806</v>
      </c>
      <c r="H2015" s="2" t="s">
        <v>74</v>
      </c>
      <c r="I2015" s="2" t="s">
        <v>75</v>
      </c>
      <c r="J2015" s="2" t="s">
        <v>97</v>
      </c>
      <c r="K2015" s="2" t="s">
        <v>77</v>
      </c>
      <c r="L2015" s="2" t="s">
        <v>136</v>
      </c>
      <c r="M2015" s="2" t="s">
        <v>137</v>
      </c>
      <c r="N2015" s="2" t="s">
        <v>138</v>
      </c>
      <c r="O2015" s="2" t="s">
        <v>101</v>
      </c>
      <c r="P2015" s="2" t="str">
        <f>"2170604962                    "</f>
        <v xml:space="preserve">2170604962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57.88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13.8</v>
      </c>
      <c r="BJ2015" s="2">
        <v>17.8</v>
      </c>
      <c r="BK2015" s="2">
        <v>18</v>
      </c>
      <c r="BL2015" s="2">
        <v>413.22</v>
      </c>
      <c r="BM2015" s="2">
        <v>57.85</v>
      </c>
      <c r="BN2015" s="2">
        <v>471.07</v>
      </c>
      <c r="BO2015" s="2">
        <v>471.07</v>
      </c>
      <c r="BQ2015" s="2" t="s">
        <v>82</v>
      </c>
      <c r="BR2015" s="2" t="s">
        <v>103</v>
      </c>
      <c r="BS2015" s="3">
        <v>43084</v>
      </c>
      <c r="BT2015" s="4">
        <v>0.375</v>
      </c>
      <c r="BU2015" s="2" t="s">
        <v>139</v>
      </c>
      <c r="BV2015" s="2" t="s">
        <v>85</v>
      </c>
      <c r="BY2015" s="2">
        <v>89092.91</v>
      </c>
      <c r="CA2015" s="2" t="s">
        <v>140</v>
      </c>
      <c r="CC2015" s="2" t="s">
        <v>137</v>
      </c>
      <c r="CD2015" s="2">
        <v>6001</v>
      </c>
      <c r="CE2015" s="2" t="s">
        <v>95</v>
      </c>
      <c r="CF2015" s="3">
        <v>43088</v>
      </c>
      <c r="CI2015" s="2">
        <v>1</v>
      </c>
      <c r="CJ2015" s="2">
        <v>1</v>
      </c>
      <c r="CK2015" s="2">
        <v>21</v>
      </c>
      <c r="CL2015" s="2" t="s">
        <v>89</v>
      </c>
    </row>
    <row r="2016" spans="1:90">
      <c r="A2016" s="2" t="s">
        <v>71</v>
      </c>
      <c r="B2016" s="2" t="s">
        <v>72</v>
      </c>
      <c r="C2016" s="2" t="s">
        <v>73</v>
      </c>
      <c r="E2016" s="2" t="str">
        <f>"FES1162595987"</f>
        <v>FES1162595987</v>
      </c>
      <c r="F2016" s="3">
        <v>43083</v>
      </c>
      <c r="G2016" s="2">
        <v>201806</v>
      </c>
      <c r="H2016" s="2" t="s">
        <v>74</v>
      </c>
      <c r="I2016" s="2" t="s">
        <v>75</v>
      </c>
      <c r="J2016" s="2" t="s">
        <v>97</v>
      </c>
      <c r="K2016" s="2" t="s">
        <v>77</v>
      </c>
      <c r="L2016" s="2" t="s">
        <v>111</v>
      </c>
      <c r="M2016" s="2" t="s">
        <v>112</v>
      </c>
      <c r="N2016" s="2" t="s">
        <v>113</v>
      </c>
      <c r="O2016" s="2" t="s">
        <v>101</v>
      </c>
      <c r="P2016" s="2" t="str">
        <f>"2170604289                    "</f>
        <v xml:space="preserve">2170604289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12.87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3.9</v>
      </c>
      <c r="BJ2016" s="2">
        <v>1.7</v>
      </c>
      <c r="BK2016" s="2">
        <v>4</v>
      </c>
      <c r="BL2016" s="2">
        <v>91.85</v>
      </c>
      <c r="BM2016" s="2">
        <v>12.86</v>
      </c>
      <c r="BN2016" s="2">
        <v>104.71</v>
      </c>
      <c r="BO2016" s="2">
        <v>104.71</v>
      </c>
      <c r="BQ2016" s="2" t="s">
        <v>82</v>
      </c>
      <c r="BR2016" s="2" t="s">
        <v>103</v>
      </c>
      <c r="BS2016" s="3">
        <v>43084</v>
      </c>
      <c r="BT2016" s="4">
        <v>0.43055555555555558</v>
      </c>
      <c r="BU2016" s="2" t="s">
        <v>114</v>
      </c>
      <c r="BV2016" s="2" t="s">
        <v>85</v>
      </c>
      <c r="BY2016" s="2">
        <v>8551.4500000000007</v>
      </c>
      <c r="CA2016" s="2" t="s">
        <v>2354</v>
      </c>
      <c r="CC2016" s="2" t="s">
        <v>112</v>
      </c>
      <c r="CD2016" s="2">
        <v>6220</v>
      </c>
      <c r="CE2016" s="2" t="s">
        <v>95</v>
      </c>
      <c r="CF2016" s="3">
        <v>43088</v>
      </c>
      <c r="CI2016" s="2">
        <v>1</v>
      </c>
      <c r="CJ2016" s="2">
        <v>1</v>
      </c>
      <c r="CK2016" s="2">
        <v>21</v>
      </c>
      <c r="CL2016" s="2" t="s">
        <v>89</v>
      </c>
    </row>
    <row r="2017" spans="1:90">
      <c r="A2017" s="2" t="s">
        <v>71</v>
      </c>
      <c r="B2017" s="2" t="s">
        <v>72</v>
      </c>
      <c r="C2017" s="2" t="s">
        <v>73</v>
      </c>
      <c r="E2017" s="2" t="str">
        <f>"FES1162595915"</f>
        <v>FES1162595915</v>
      </c>
      <c r="F2017" s="3">
        <v>43083</v>
      </c>
      <c r="G2017" s="2">
        <v>201806</v>
      </c>
      <c r="H2017" s="2" t="s">
        <v>74</v>
      </c>
      <c r="I2017" s="2" t="s">
        <v>75</v>
      </c>
      <c r="J2017" s="2" t="s">
        <v>97</v>
      </c>
      <c r="K2017" s="2" t="s">
        <v>77</v>
      </c>
      <c r="L2017" s="2" t="s">
        <v>131</v>
      </c>
      <c r="M2017" s="2" t="s">
        <v>132</v>
      </c>
      <c r="N2017" s="2" t="s">
        <v>228</v>
      </c>
      <c r="O2017" s="2" t="s">
        <v>101</v>
      </c>
      <c r="P2017" s="2" t="str">
        <f>"2170607751                    "</f>
        <v xml:space="preserve">2170607751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16.079999999999998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2.5</v>
      </c>
      <c r="BJ2017" s="2">
        <v>4.5999999999999996</v>
      </c>
      <c r="BK2017" s="2">
        <v>5</v>
      </c>
      <c r="BL2017" s="2">
        <v>114.8</v>
      </c>
      <c r="BM2017" s="2">
        <v>16.07</v>
      </c>
      <c r="BN2017" s="2">
        <v>130.87</v>
      </c>
      <c r="BO2017" s="2">
        <v>130.87</v>
      </c>
      <c r="BQ2017" s="2" t="s">
        <v>229</v>
      </c>
      <c r="BR2017" s="2" t="s">
        <v>103</v>
      </c>
      <c r="BS2017" s="3">
        <v>43084</v>
      </c>
      <c r="BT2017" s="4">
        <v>0.3923611111111111</v>
      </c>
      <c r="BU2017" s="2" t="s">
        <v>230</v>
      </c>
      <c r="BV2017" s="2" t="s">
        <v>85</v>
      </c>
      <c r="BY2017" s="2">
        <v>23226.36</v>
      </c>
      <c r="CA2017" s="2" t="s">
        <v>231</v>
      </c>
      <c r="CC2017" s="2" t="s">
        <v>132</v>
      </c>
      <c r="CD2017" s="2">
        <v>4300</v>
      </c>
      <c r="CE2017" s="2" t="s">
        <v>95</v>
      </c>
      <c r="CF2017" s="3">
        <v>43087</v>
      </c>
      <c r="CI2017" s="2">
        <v>1</v>
      </c>
      <c r="CJ2017" s="2">
        <v>1</v>
      </c>
      <c r="CK2017" s="2">
        <v>21</v>
      </c>
      <c r="CL2017" s="2" t="s">
        <v>89</v>
      </c>
    </row>
    <row r="2018" spans="1:90">
      <c r="A2018" s="2" t="s">
        <v>71</v>
      </c>
      <c r="B2018" s="2" t="s">
        <v>72</v>
      </c>
      <c r="C2018" s="2" t="s">
        <v>73</v>
      </c>
      <c r="E2018" s="2" t="str">
        <f>"FES1162595918"</f>
        <v>FES1162595918</v>
      </c>
      <c r="F2018" s="3">
        <v>43083</v>
      </c>
      <c r="G2018" s="2">
        <v>201806</v>
      </c>
      <c r="H2018" s="2" t="s">
        <v>74</v>
      </c>
      <c r="I2018" s="2" t="s">
        <v>75</v>
      </c>
      <c r="J2018" s="2" t="s">
        <v>97</v>
      </c>
      <c r="K2018" s="2" t="s">
        <v>77</v>
      </c>
      <c r="L2018" s="2" t="s">
        <v>883</v>
      </c>
      <c r="M2018" s="2" t="s">
        <v>884</v>
      </c>
      <c r="N2018" s="2" t="s">
        <v>934</v>
      </c>
      <c r="O2018" s="2" t="s">
        <v>101</v>
      </c>
      <c r="P2018" s="2" t="str">
        <f>"21705911987                   "</f>
        <v xml:space="preserve">21705911987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6.43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</v>
      </c>
      <c r="BJ2018" s="2">
        <v>0.2</v>
      </c>
      <c r="BK2018" s="2">
        <v>1</v>
      </c>
      <c r="BL2018" s="2">
        <v>45.93</v>
      </c>
      <c r="BM2018" s="2">
        <v>6.43</v>
      </c>
      <c r="BN2018" s="2">
        <v>52.36</v>
      </c>
      <c r="BO2018" s="2">
        <v>52.36</v>
      </c>
      <c r="BQ2018" s="2" t="s">
        <v>82</v>
      </c>
      <c r="BR2018" s="2" t="s">
        <v>103</v>
      </c>
      <c r="BS2018" s="3">
        <v>43084</v>
      </c>
      <c r="BT2018" s="4">
        <v>0.42569444444444443</v>
      </c>
      <c r="BU2018" s="2" t="s">
        <v>935</v>
      </c>
      <c r="BV2018" s="2" t="s">
        <v>85</v>
      </c>
      <c r="BY2018" s="2">
        <v>1200</v>
      </c>
      <c r="CA2018" s="2" t="s">
        <v>936</v>
      </c>
      <c r="CC2018" s="2" t="s">
        <v>884</v>
      </c>
      <c r="CD2018" s="2">
        <v>7600</v>
      </c>
      <c r="CE2018" s="2" t="s">
        <v>120</v>
      </c>
      <c r="CF2018" s="3">
        <v>43087</v>
      </c>
      <c r="CI2018" s="2">
        <v>1</v>
      </c>
      <c r="CJ2018" s="2">
        <v>1</v>
      </c>
      <c r="CK2018" s="2">
        <v>21</v>
      </c>
      <c r="CL2018" s="2" t="s">
        <v>89</v>
      </c>
    </row>
    <row r="2019" spans="1:90">
      <c r="A2019" s="2" t="s">
        <v>71</v>
      </c>
      <c r="B2019" s="2" t="s">
        <v>72</v>
      </c>
      <c r="C2019" s="2" t="s">
        <v>73</v>
      </c>
      <c r="E2019" s="2" t="str">
        <f>"FES1162596163"</f>
        <v>FES1162596163</v>
      </c>
      <c r="F2019" s="3">
        <v>43083</v>
      </c>
      <c r="G2019" s="2">
        <v>201806</v>
      </c>
      <c r="H2019" s="2" t="s">
        <v>74</v>
      </c>
      <c r="I2019" s="2" t="s">
        <v>75</v>
      </c>
      <c r="J2019" s="2" t="s">
        <v>97</v>
      </c>
      <c r="K2019" s="2" t="s">
        <v>77</v>
      </c>
      <c r="L2019" s="2" t="s">
        <v>2355</v>
      </c>
      <c r="M2019" s="2" t="s">
        <v>2356</v>
      </c>
      <c r="N2019" s="2" t="s">
        <v>2357</v>
      </c>
      <c r="O2019" s="2" t="s">
        <v>101</v>
      </c>
      <c r="P2019" s="2" t="str">
        <f>"2170605183                    "</f>
        <v xml:space="preserve">2170605183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12.47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89</v>
      </c>
      <c r="BM2019" s="2">
        <v>12.46</v>
      </c>
      <c r="BN2019" s="2">
        <v>101.46</v>
      </c>
      <c r="BO2019" s="2">
        <v>101.46</v>
      </c>
      <c r="BR2019" s="2" t="s">
        <v>103</v>
      </c>
      <c r="BS2019" s="3">
        <v>43084</v>
      </c>
      <c r="BT2019" s="4">
        <v>0.5</v>
      </c>
      <c r="BU2019" s="2" t="s">
        <v>2358</v>
      </c>
      <c r="BV2019" s="2" t="s">
        <v>85</v>
      </c>
      <c r="BY2019" s="2">
        <v>1200</v>
      </c>
      <c r="CA2019" s="2" t="s">
        <v>2359</v>
      </c>
      <c r="CC2019" s="2" t="s">
        <v>2356</v>
      </c>
      <c r="CD2019" s="2">
        <v>1390</v>
      </c>
      <c r="CE2019" s="2" t="s">
        <v>120</v>
      </c>
      <c r="CF2019" s="3">
        <v>43089</v>
      </c>
      <c r="CI2019" s="2">
        <v>3</v>
      </c>
      <c r="CJ2019" s="2">
        <v>1</v>
      </c>
      <c r="CK2019" s="2">
        <v>23</v>
      </c>
      <c r="CL2019" s="2" t="s">
        <v>89</v>
      </c>
    </row>
    <row r="2020" spans="1:90">
      <c r="A2020" s="2" t="s">
        <v>71</v>
      </c>
      <c r="B2020" s="2" t="s">
        <v>72</v>
      </c>
      <c r="C2020" s="2" t="s">
        <v>73</v>
      </c>
      <c r="E2020" s="2" t="str">
        <f>"FES1162595888"</f>
        <v>FES1162595888</v>
      </c>
      <c r="F2020" s="3">
        <v>43083</v>
      </c>
      <c r="G2020" s="2">
        <v>201806</v>
      </c>
      <c r="H2020" s="2" t="s">
        <v>74</v>
      </c>
      <c r="I2020" s="2" t="s">
        <v>75</v>
      </c>
      <c r="J2020" s="2" t="s">
        <v>97</v>
      </c>
      <c r="K2020" s="2" t="s">
        <v>77</v>
      </c>
      <c r="L2020" s="2" t="s">
        <v>136</v>
      </c>
      <c r="M2020" s="2" t="s">
        <v>137</v>
      </c>
      <c r="N2020" s="2" t="s">
        <v>1732</v>
      </c>
      <c r="O2020" s="2" t="s">
        <v>101</v>
      </c>
      <c r="P2020" s="2" t="str">
        <f>"2170607716                    "</f>
        <v xml:space="preserve">2170607716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6.43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</v>
      </c>
      <c r="BJ2020" s="2">
        <v>0.2</v>
      </c>
      <c r="BK2020" s="2">
        <v>1</v>
      </c>
      <c r="BL2020" s="2">
        <v>45.93</v>
      </c>
      <c r="BM2020" s="2">
        <v>6.43</v>
      </c>
      <c r="BN2020" s="2">
        <v>52.36</v>
      </c>
      <c r="BO2020" s="2">
        <v>52.36</v>
      </c>
      <c r="BQ2020" s="2" t="s">
        <v>82</v>
      </c>
      <c r="BR2020" s="2" t="s">
        <v>103</v>
      </c>
      <c r="BS2020" s="3">
        <v>43084</v>
      </c>
      <c r="BT2020" s="4">
        <v>0.35833333333333334</v>
      </c>
      <c r="BU2020" s="2" t="s">
        <v>1947</v>
      </c>
      <c r="BV2020" s="2" t="s">
        <v>85</v>
      </c>
      <c r="BY2020" s="2">
        <v>1200</v>
      </c>
      <c r="CC2020" s="2" t="s">
        <v>137</v>
      </c>
      <c r="CD2020" s="2">
        <v>6001</v>
      </c>
      <c r="CE2020" s="2" t="s">
        <v>120</v>
      </c>
      <c r="CF2020" s="3">
        <v>43088</v>
      </c>
      <c r="CI2020" s="2">
        <v>1</v>
      </c>
      <c r="CJ2020" s="2">
        <v>1</v>
      </c>
      <c r="CK2020" s="2">
        <v>21</v>
      </c>
      <c r="CL2020" s="2" t="s">
        <v>89</v>
      </c>
    </row>
    <row r="2021" spans="1:90">
      <c r="A2021" s="2" t="s">
        <v>71</v>
      </c>
      <c r="B2021" s="2" t="s">
        <v>72</v>
      </c>
      <c r="C2021" s="2" t="s">
        <v>73</v>
      </c>
      <c r="E2021" s="2" t="str">
        <f>"FES1162596218"</f>
        <v>FES1162596218</v>
      </c>
      <c r="F2021" s="3">
        <v>43083</v>
      </c>
      <c r="G2021" s="2">
        <v>201806</v>
      </c>
      <c r="H2021" s="2" t="s">
        <v>74</v>
      </c>
      <c r="I2021" s="2" t="s">
        <v>75</v>
      </c>
      <c r="J2021" s="2" t="s">
        <v>97</v>
      </c>
      <c r="K2021" s="2" t="s">
        <v>77</v>
      </c>
      <c r="L2021" s="2" t="s">
        <v>173</v>
      </c>
      <c r="M2021" s="2" t="s">
        <v>174</v>
      </c>
      <c r="N2021" s="2" t="s">
        <v>1301</v>
      </c>
      <c r="O2021" s="2" t="s">
        <v>101</v>
      </c>
      <c r="P2021" s="2" t="str">
        <f>"21706074532                   "</f>
        <v xml:space="preserve">21706074532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19.3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5.9</v>
      </c>
      <c r="BJ2021" s="2">
        <v>3.5</v>
      </c>
      <c r="BK2021" s="2">
        <v>6</v>
      </c>
      <c r="BL2021" s="2">
        <v>137.76</v>
      </c>
      <c r="BM2021" s="2">
        <v>19.29</v>
      </c>
      <c r="BN2021" s="2">
        <v>157.05000000000001</v>
      </c>
      <c r="BO2021" s="2">
        <v>157.05000000000001</v>
      </c>
      <c r="BQ2021" s="2" t="s">
        <v>82</v>
      </c>
      <c r="BR2021" s="2" t="s">
        <v>103</v>
      </c>
      <c r="BS2021" s="3">
        <v>43084</v>
      </c>
      <c r="BT2021" s="4">
        <v>0.39930555555555558</v>
      </c>
      <c r="BU2021" s="2" t="s">
        <v>2360</v>
      </c>
      <c r="BV2021" s="2" t="s">
        <v>85</v>
      </c>
      <c r="BY2021" s="2">
        <v>17397.38</v>
      </c>
      <c r="CA2021" s="2" t="s">
        <v>378</v>
      </c>
      <c r="CC2021" s="2" t="s">
        <v>174</v>
      </c>
      <c r="CD2021" s="2">
        <v>7493</v>
      </c>
      <c r="CE2021" s="2" t="s">
        <v>95</v>
      </c>
      <c r="CF2021" s="3">
        <v>43087</v>
      </c>
      <c r="CI2021" s="2">
        <v>1</v>
      </c>
      <c r="CJ2021" s="2">
        <v>1</v>
      </c>
      <c r="CK2021" s="2">
        <v>21</v>
      </c>
      <c r="CL2021" s="2" t="s">
        <v>89</v>
      </c>
    </row>
    <row r="2022" spans="1:90">
      <c r="A2022" s="2" t="s">
        <v>71</v>
      </c>
      <c r="B2022" s="2" t="s">
        <v>72</v>
      </c>
      <c r="C2022" s="2" t="s">
        <v>73</v>
      </c>
      <c r="E2022" s="2" t="str">
        <f>"FES1162596212"</f>
        <v>FES1162596212</v>
      </c>
      <c r="F2022" s="3">
        <v>43083</v>
      </c>
      <c r="G2022" s="2">
        <v>201806</v>
      </c>
      <c r="H2022" s="2" t="s">
        <v>74</v>
      </c>
      <c r="I2022" s="2" t="s">
        <v>75</v>
      </c>
      <c r="J2022" s="2" t="s">
        <v>97</v>
      </c>
      <c r="K2022" s="2" t="s">
        <v>77</v>
      </c>
      <c r="L2022" s="2" t="s">
        <v>125</v>
      </c>
      <c r="M2022" s="2" t="s">
        <v>126</v>
      </c>
      <c r="N2022" s="2" t="s">
        <v>2178</v>
      </c>
      <c r="O2022" s="2" t="s">
        <v>101</v>
      </c>
      <c r="P2022" s="2" t="str">
        <f>"2170607961                    "</f>
        <v xml:space="preserve">2170607961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6.43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45.93</v>
      </c>
      <c r="BM2022" s="2">
        <v>6.43</v>
      </c>
      <c r="BN2022" s="2">
        <v>52.36</v>
      </c>
      <c r="BO2022" s="2">
        <v>52.36</v>
      </c>
      <c r="BQ2022" s="2" t="s">
        <v>82</v>
      </c>
      <c r="BR2022" s="2" t="s">
        <v>103</v>
      </c>
      <c r="BS2022" s="3">
        <v>43090</v>
      </c>
      <c r="BT2022" s="4">
        <v>0.48749999999999999</v>
      </c>
      <c r="BU2022" s="2" t="s">
        <v>2361</v>
      </c>
      <c r="BV2022" s="2" t="s">
        <v>89</v>
      </c>
      <c r="BW2022" s="2" t="s">
        <v>471</v>
      </c>
      <c r="BX2022" s="2" t="s">
        <v>1390</v>
      </c>
      <c r="BY2022" s="2">
        <v>1200</v>
      </c>
      <c r="CC2022" s="2" t="s">
        <v>126</v>
      </c>
      <c r="CD2022" s="2">
        <v>4052</v>
      </c>
      <c r="CE2022" s="2" t="s">
        <v>120</v>
      </c>
      <c r="CF2022" s="3">
        <v>43091</v>
      </c>
      <c r="CI2022" s="2">
        <v>1</v>
      </c>
      <c r="CJ2022" s="2">
        <v>5</v>
      </c>
      <c r="CK2022" s="2">
        <v>21</v>
      </c>
      <c r="CL2022" s="2" t="s">
        <v>89</v>
      </c>
    </row>
    <row r="2023" spans="1:90">
      <c r="A2023" s="2" t="s">
        <v>71</v>
      </c>
      <c r="B2023" s="2" t="s">
        <v>72</v>
      </c>
      <c r="C2023" s="2" t="s">
        <v>73</v>
      </c>
      <c r="E2023" s="2" t="str">
        <f>"FES1162596032"</f>
        <v>FES1162596032</v>
      </c>
      <c r="F2023" s="3">
        <v>43083</v>
      </c>
      <c r="G2023" s="2">
        <v>201806</v>
      </c>
      <c r="H2023" s="2" t="s">
        <v>74</v>
      </c>
      <c r="I2023" s="2" t="s">
        <v>75</v>
      </c>
      <c r="J2023" s="2" t="s">
        <v>97</v>
      </c>
      <c r="K2023" s="2" t="s">
        <v>77</v>
      </c>
      <c r="L2023" s="2" t="s">
        <v>90</v>
      </c>
      <c r="M2023" s="2" t="s">
        <v>91</v>
      </c>
      <c r="N2023" s="2" t="s">
        <v>2295</v>
      </c>
      <c r="O2023" s="2" t="s">
        <v>101</v>
      </c>
      <c r="P2023" s="2" t="str">
        <f>"2170607584                    "</f>
        <v xml:space="preserve">2170607584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5.03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35.89</v>
      </c>
      <c r="BM2023" s="2">
        <v>5.0199999999999996</v>
      </c>
      <c r="BN2023" s="2">
        <v>40.909999999999997</v>
      </c>
      <c r="BO2023" s="2">
        <v>40.909999999999997</v>
      </c>
      <c r="BQ2023" s="2" t="s">
        <v>2296</v>
      </c>
      <c r="BR2023" s="2" t="s">
        <v>103</v>
      </c>
      <c r="BS2023" s="3">
        <v>43084</v>
      </c>
      <c r="BT2023" s="4">
        <v>0.41597222222222219</v>
      </c>
      <c r="BU2023" s="2" t="s">
        <v>2362</v>
      </c>
      <c r="BV2023" s="2" t="s">
        <v>85</v>
      </c>
      <c r="BY2023" s="2">
        <v>1200</v>
      </c>
      <c r="CA2023" s="2" t="s">
        <v>347</v>
      </c>
      <c r="CC2023" s="2" t="s">
        <v>91</v>
      </c>
      <c r="CD2023" s="2">
        <v>1559</v>
      </c>
      <c r="CE2023" s="2" t="s">
        <v>120</v>
      </c>
      <c r="CF2023" s="3">
        <v>43087</v>
      </c>
      <c r="CI2023" s="2">
        <v>1</v>
      </c>
      <c r="CJ2023" s="2">
        <v>1</v>
      </c>
      <c r="CK2023" s="2">
        <v>22</v>
      </c>
      <c r="CL2023" s="2" t="s">
        <v>89</v>
      </c>
    </row>
    <row r="2024" spans="1:90">
      <c r="A2024" s="2" t="s">
        <v>71</v>
      </c>
      <c r="B2024" s="2" t="s">
        <v>72</v>
      </c>
      <c r="C2024" s="2" t="s">
        <v>73</v>
      </c>
      <c r="E2024" s="2" t="str">
        <f>"FES1162595892"</f>
        <v>FES1162595892</v>
      </c>
      <c r="F2024" s="3">
        <v>43083</v>
      </c>
      <c r="G2024" s="2">
        <v>201806</v>
      </c>
      <c r="H2024" s="2" t="s">
        <v>74</v>
      </c>
      <c r="I2024" s="2" t="s">
        <v>75</v>
      </c>
      <c r="J2024" s="2" t="s">
        <v>97</v>
      </c>
      <c r="K2024" s="2" t="s">
        <v>77</v>
      </c>
      <c r="L2024" s="2" t="s">
        <v>136</v>
      </c>
      <c r="M2024" s="2" t="s">
        <v>137</v>
      </c>
      <c r="N2024" s="2" t="s">
        <v>138</v>
      </c>
      <c r="O2024" s="2" t="s">
        <v>101</v>
      </c>
      <c r="P2024" s="2" t="str">
        <f>"2170607722                    "</f>
        <v xml:space="preserve">2170607722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6.43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45.93</v>
      </c>
      <c r="BM2024" s="2">
        <v>6.43</v>
      </c>
      <c r="BN2024" s="2">
        <v>52.36</v>
      </c>
      <c r="BO2024" s="2">
        <v>52.36</v>
      </c>
      <c r="BQ2024" s="2" t="s">
        <v>82</v>
      </c>
      <c r="BR2024" s="2" t="s">
        <v>103</v>
      </c>
      <c r="BS2024" s="3">
        <v>43084</v>
      </c>
      <c r="BT2024" s="4">
        <v>0.375</v>
      </c>
      <c r="BU2024" s="2" t="s">
        <v>139</v>
      </c>
      <c r="BV2024" s="2" t="s">
        <v>85</v>
      </c>
      <c r="BY2024" s="2">
        <v>1200</v>
      </c>
      <c r="CA2024" s="2" t="s">
        <v>140</v>
      </c>
      <c r="CC2024" s="2" t="s">
        <v>137</v>
      </c>
      <c r="CD2024" s="2">
        <v>6001</v>
      </c>
      <c r="CE2024" s="2" t="s">
        <v>120</v>
      </c>
      <c r="CF2024" s="3">
        <v>43088</v>
      </c>
      <c r="CI2024" s="2">
        <v>1</v>
      </c>
      <c r="CJ2024" s="2">
        <v>1</v>
      </c>
      <c r="CK2024" s="2">
        <v>21</v>
      </c>
      <c r="CL2024" s="2" t="s">
        <v>89</v>
      </c>
    </row>
    <row r="2025" spans="1:90">
      <c r="A2025" s="2" t="s">
        <v>71</v>
      </c>
      <c r="B2025" s="2" t="s">
        <v>72</v>
      </c>
      <c r="C2025" s="2" t="s">
        <v>73</v>
      </c>
      <c r="E2025" s="2" t="str">
        <f>"FES1162595940"</f>
        <v>FES1162595940</v>
      </c>
      <c r="F2025" s="3">
        <v>43083</v>
      </c>
      <c r="G2025" s="2">
        <v>201806</v>
      </c>
      <c r="H2025" s="2" t="s">
        <v>74</v>
      </c>
      <c r="I2025" s="2" t="s">
        <v>75</v>
      </c>
      <c r="J2025" s="2" t="s">
        <v>97</v>
      </c>
      <c r="K2025" s="2" t="s">
        <v>77</v>
      </c>
      <c r="L2025" s="2" t="s">
        <v>136</v>
      </c>
      <c r="M2025" s="2" t="s">
        <v>137</v>
      </c>
      <c r="N2025" s="2" t="s">
        <v>138</v>
      </c>
      <c r="O2025" s="2" t="s">
        <v>101</v>
      </c>
      <c r="P2025" s="2" t="str">
        <f>"2170604926                    "</f>
        <v xml:space="preserve">2170604926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11.26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2.2000000000000002</v>
      </c>
      <c r="BJ2025" s="2">
        <v>3.3</v>
      </c>
      <c r="BK2025" s="2">
        <v>3.5</v>
      </c>
      <c r="BL2025" s="2">
        <v>80.37</v>
      </c>
      <c r="BM2025" s="2">
        <v>11.25</v>
      </c>
      <c r="BN2025" s="2">
        <v>91.62</v>
      </c>
      <c r="BO2025" s="2">
        <v>91.62</v>
      </c>
      <c r="BQ2025" s="2" t="s">
        <v>82</v>
      </c>
      <c r="BR2025" s="2" t="s">
        <v>103</v>
      </c>
      <c r="BS2025" s="3">
        <v>43084</v>
      </c>
      <c r="BT2025" s="4">
        <v>0.375</v>
      </c>
      <c r="BU2025" s="2" t="s">
        <v>139</v>
      </c>
      <c r="BV2025" s="2" t="s">
        <v>85</v>
      </c>
      <c r="BY2025" s="2">
        <v>16531.2</v>
      </c>
      <c r="CA2025" s="2" t="s">
        <v>140</v>
      </c>
      <c r="CC2025" s="2" t="s">
        <v>137</v>
      </c>
      <c r="CD2025" s="2">
        <v>6001</v>
      </c>
      <c r="CE2025" s="2" t="s">
        <v>95</v>
      </c>
      <c r="CF2025" s="3">
        <v>43088</v>
      </c>
      <c r="CI2025" s="2">
        <v>1</v>
      </c>
      <c r="CJ2025" s="2">
        <v>1</v>
      </c>
      <c r="CK2025" s="2">
        <v>21</v>
      </c>
      <c r="CL2025" s="2" t="s">
        <v>89</v>
      </c>
    </row>
    <row r="2026" spans="1:90">
      <c r="A2026" s="2" t="s">
        <v>71</v>
      </c>
      <c r="B2026" s="2" t="s">
        <v>72</v>
      </c>
      <c r="C2026" s="2" t="s">
        <v>73</v>
      </c>
      <c r="E2026" s="2" t="str">
        <f>"FES1162595920"</f>
        <v>FES1162595920</v>
      </c>
      <c r="F2026" s="3">
        <v>43083</v>
      </c>
      <c r="G2026" s="2">
        <v>201806</v>
      </c>
      <c r="H2026" s="2" t="s">
        <v>74</v>
      </c>
      <c r="I2026" s="2" t="s">
        <v>75</v>
      </c>
      <c r="J2026" s="2" t="s">
        <v>97</v>
      </c>
      <c r="K2026" s="2" t="s">
        <v>77</v>
      </c>
      <c r="L2026" s="2" t="s">
        <v>136</v>
      </c>
      <c r="M2026" s="2" t="s">
        <v>137</v>
      </c>
      <c r="N2026" s="2" t="s">
        <v>1026</v>
      </c>
      <c r="O2026" s="2" t="s">
        <v>101</v>
      </c>
      <c r="P2026" s="2" t="str">
        <f>"2170603715                    "</f>
        <v xml:space="preserve">2170603715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11.26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3.2</v>
      </c>
      <c r="BJ2026" s="2">
        <v>1.8</v>
      </c>
      <c r="BK2026" s="2">
        <v>3.5</v>
      </c>
      <c r="BL2026" s="2">
        <v>80.37</v>
      </c>
      <c r="BM2026" s="2">
        <v>11.25</v>
      </c>
      <c r="BN2026" s="2">
        <v>91.62</v>
      </c>
      <c r="BO2026" s="2">
        <v>91.62</v>
      </c>
      <c r="BQ2026" s="2" t="s">
        <v>102</v>
      </c>
      <c r="BR2026" s="2" t="s">
        <v>103</v>
      </c>
      <c r="BS2026" s="3">
        <v>43084</v>
      </c>
      <c r="BT2026" s="4">
        <v>0.35069444444444442</v>
      </c>
      <c r="BU2026" s="2" t="s">
        <v>2363</v>
      </c>
      <c r="BV2026" s="2" t="s">
        <v>85</v>
      </c>
      <c r="BY2026" s="2">
        <v>8791.11</v>
      </c>
      <c r="CA2026" s="2" t="s">
        <v>2354</v>
      </c>
      <c r="CC2026" s="2" t="s">
        <v>137</v>
      </c>
      <c r="CD2026" s="2">
        <v>6001</v>
      </c>
      <c r="CE2026" s="2" t="s">
        <v>95</v>
      </c>
      <c r="CF2026" s="3">
        <v>43088</v>
      </c>
      <c r="CI2026" s="2">
        <v>1</v>
      </c>
      <c r="CJ2026" s="2">
        <v>1</v>
      </c>
      <c r="CK2026" s="2">
        <v>21</v>
      </c>
      <c r="CL2026" s="2" t="s">
        <v>89</v>
      </c>
    </row>
    <row r="2027" spans="1:90">
      <c r="A2027" s="2" t="s">
        <v>71</v>
      </c>
      <c r="B2027" s="2" t="s">
        <v>72</v>
      </c>
      <c r="C2027" s="2" t="s">
        <v>73</v>
      </c>
      <c r="E2027" s="2" t="str">
        <f>"FES1162595891"</f>
        <v>FES1162595891</v>
      </c>
      <c r="F2027" s="3">
        <v>43083</v>
      </c>
      <c r="G2027" s="2">
        <v>201806</v>
      </c>
      <c r="H2027" s="2" t="s">
        <v>74</v>
      </c>
      <c r="I2027" s="2" t="s">
        <v>75</v>
      </c>
      <c r="J2027" s="2" t="s">
        <v>97</v>
      </c>
      <c r="K2027" s="2" t="s">
        <v>77</v>
      </c>
      <c r="L2027" s="2" t="s">
        <v>235</v>
      </c>
      <c r="M2027" s="2" t="s">
        <v>235</v>
      </c>
      <c r="N2027" s="2" t="s">
        <v>236</v>
      </c>
      <c r="O2027" s="2" t="s">
        <v>101</v>
      </c>
      <c r="P2027" s="2" t="str">
        <f>"2170607721                    "</f>
        <v xml:space="preserve">2170607721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37.799999999999997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6.4</v>
      </c>
      <c r="BJ2027" s="2">
        <v>2.7</v>
      </c>
      <c r="BK2027" s="2">
        <v>6.5</v>
      </c>
      <c r="BL2027" s="2">
        <v>269.85000000000002</v>
      </c>
      <c r="BM2027" s="2">
        <v>37.78</v>
      </c>
      <c r="BN2027" s="2">
        <v>307.63</v>
      </c>
      <c r="BO2027" s="2">
        <v>307.63</v>
      </c>
      <c r="BQ2027" s="2" t="s">
        <v>187</v>
      </c>
      <c r="BR2027" s="2" t="s">
        <v>103</v>
      </c>
      <c r="BS2027" s="3">
        <v>43087</v>
      </c>
      <c r="BT2027" s="4">
        <v>0.625</v>
      </c>
      <c r="BU2027" s="2" t="s">
        <v>2364</v>
      </c>
      <c r="BV2027" s="2" t="s">
        <v>85</v>
      </c>
      <c r="BY2027" s="2">
        <v>13704.29</v>
      </c>
      <c r="CC2027" s="2" t="s">
        <v>235</v>
      </c>
      <c r="CD2027" s="2">
        <v>5470</v>
      </c>
      <c r="CE2027" s="2" t="s">
        <v>87</v>
      </c>
      <c r="CF2027" s="3">
        <v>43091</v>
      </c>
      <c r="CI2027" s="2">
        <v>4</v>
      </c>
      <c r="CJ2027" s="2">
        <v>2</v>
      </c>
      <c r="CK2027" s="2">
        <v>23</v>
      </c>
      <c r="CL2027" s="2" t="s">
        <v>89</v>
      </c>
    </row>
    <row r="2028" spans="1:90">
      <c r="A2028" s="2" t="s">
        <v>71</v>
      </c>
      <c r="B2028" s="2" t="s">
        <v>72</v>
      </c>
      <c r="C2028" s="2" t="s">
        <v>73</v>
      </c>
      <c r="E2028" s="2" t="str">
        <f>"FES1162595946"</f>
        <v>FES1162595946</v>
      </c>
      <c r="F2028" s="3">
        <v>43083</v>
      </c>
      <c r="G2028" s="2">
        <v>201806</v>
      </c>
      <c r="H2028" s="2" t="s">
        <v>74</v>
      </c>
      <c r="I2028" s="2" t="s">
        <v>75</v>
      </c>
      <c r="J2028" s="2" t="s">
        <v>97</v>
      </c>
      <c r="K2028" s="2" t="s">
        <v>77</v>
      </c>
      <c r="L2028" s="2" t="s">
        <v>168</v>
      </c>
      <c r="M2028" s="2" t="s">
        <v>169</v>
      </c>
      <c r="N2028" s="2" t="s">
        <v>217</v>
      </c>
      <c r="O2028" s="2" t="s">
        <v>101</v>
      </c>
      <c r="P2028" s="2" t="str">
        <f>"2170607755                    "</f>
        <v xml:space="preserve">2170607755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14.47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2</v>
      </c>
      <c r="BJ2028" s="2">
        <v>4.0999999999999996</v>
      </c>
      <c r="BK2028" s="2">
        <v>4.5</v>
      </c>
      <c r="BL2028" s="2">
        <v>103.32</v>
      </c>
      <c r="BM2028" s="2">
        <v>14.46</v>
      </c>
      <c r="BN2028" s="2">
        <v>117.78</v>
      </c>
      <c r="BO2028" s="2">
        <v>117.78</v>
      </c>
      <c r="BQ2028" s="2" t="s">
        <v>102</v>
      </c>
      <c r="BR2028" s="2" t="s">
        <v>103</v>
      </c>
      <c r="BS2028" s="3">
        <v>43084</v>
      </c>
      <c r="BT2028" s="4">
        <v>0.44236111111111115</v>
      </c>
      <c r="BU2028" s="2" t="s">
        <v>1074</v>
      </c>
      <c r="BV2028" s="2" t="s">
        <v>85</v>
      </c>
      <c r="BY2028" s="2">
        <v>20358</v>
      </c>
      <c r="CA2028" s="2" t="s">
        <v>220</v>
      </c>
      <c r="CC2028" s="2" t="s">
        <v>169</v>
      </c>
      <c r="CD2028" s="2">
        <v>3620</v>
      </c>
      <c r="CE2028" s="2" t="s">
        <v>95</v>
      </c>
      <c r="CF2028" s="3">
        <v>43087</v>
      </c>
      <c r="CI2028" s="2">
        <v>1</v>
      </c>
      <c r="CJ2028" s="2">
        <v>1</v>
      </c>
      <c r="CK2028" s="2">
        <v>21</v>
      </c>
      <c r="CL2028" s="2" t="s">
        <v>89</v>
      </c>
    </row>
    <row r="2029" spans="1:90">
      <c r="A2029" s="2" t="s">
        <v>71</v>
      </c>
      <c r="B2029" s="2" t="s">
        <v>72</v>
      </c>
      <c r="C2029" s="2" t="s">
        <v>73</v>
      </c>
      <c r="E2029" s="2" t="str">
        <f>"FES1162595794"</f>
        <v>FES1162595794</v>
      </c>
      <c r="F2029" s="3">
        <v>43083</v>
      </c>
      <c r="G2029" s="2">
        <v>201806</v>
      </c>
      <c r="H2029" s="2" t="s">
        <v>74</v>
      </c>
      <c r="I2029" s="2" t="s">
        <v>75</v>
      </c>
      <c r="J2029" s="2" t="s">
        <v>97</v>
      </c>
      <c r="K2029" s="2" t="s">
        <v>77</v>
      </c>
      <c r="L2029" s="2" t="s">
        <v>74</v>
      </c>
      <c r="M2029" s="2" t="s">
        <v>75</v>
      </c>
      <c r="N2029" s="2" t="s">
        <v>204</v>
      </c>
      <c r="O2029" s="2" t="s">
        <v>101</v>
      </c>
      <c r="P2029" s="2" t="str">
        <f>"2170607075                    "</f>
        <v xml:space="preserve">2170607075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5.03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0.4</v>
      </c>
      <c r="BJ2029" s="2">
        <v>0.5</v>
      </c>
      <c r="BK2029" s="2">
        <v>1</v>
      </c>
      <c r="BL2029" s="2">
        <v>35.89</v>
      </c>
      <c r="BM2029" s="2">
        <v>5.0199999999999996</v>
      </c>
      <c r="BN2029" s="2">
        <v>40.909999999999997</v>
      </c>
      <c r="BO2029" s="2">
        <v>40.909999999999997</v>
      </c>
      <c r="BQ2029" s="2" t="s">
        <v>102</v>
      </c>
      <c r="BR2029" s="2" t="s">
        <v>103</v>
      </c>
      <c r="BS2029" s="3">
        <v>43084</v>
      </c>
      <c r="BT2029" s="4">
        <v>0.3125</v>
      </c>
      <c r="BU2029" s="2" t="s">
        <v>205</v>
      </c>
      <c r="BV2029" s="2" t="s">
        <v>85</v>
      </c>
      <c r="BY2029" s="2">
        <v>2440.35</v>
      </c>
      <c r="CA2029" s="2" t="s">
        <v>206</v>
      </c>
      <c r="CC2029" s="2" t="s">
        <v>75</v>
      </c>
      <c r="CD2029" s="2">
        <v>1645</v>
      </c>
      <c r="CE2029" s="2" t="s">
        <v>87</v>
      </c>
      <c r="CF2029" s="3">
        <v>43088</v>
      </c>
      <c r="CI2029" s="2">
        <v>1</v>
      </c>
      <c r="CJ2029" s="2">
        <v>1</v>
      </c>
      <c r="CK2029" s="2">
        <v>22</v>
      </c>
      <c r="CL2029" s="2" t="s">
        <v>89</v>
      </c>
    </row>
    <row r="2030" spans="1:90">
      <c r="A2030" s="2" t="s">
        <v>71</v>
      </c>
      <c r="B2030" s="2" t="s">
        <v>72</v>
      </c>
      <c r="C2030" s="2" t="s">
        <v>73</v>
      </c>
      <c r="E2030" s="2" t="str">
        <f>"FES1162595984"</f>
        <v>FES1162595984</v>
      </c>
      <c r="F2030" s="3">
        <v>43083</v>
      </c>
      <c r="G2030" s="2">
        <v>201806</v>
      </c>
      <c r="H2030" s="2" t="s">
        <v>74</v>
      </c>
      <c r="I2030" s="2" t="s">
        <v>75</v>
      </c>
      <c r="J2030" s="2" t="s">
        <v>97</v>
      </c>
      <c r="K2030" s="2" t="s">
        <v>77</v>
      </c>
      <c r="L2030" s="2" t="s">
        <v>173</v>
      </c>
      <c r="M2030" s="2" t="s">
        <v>174</v>
      </c>
      <c r="N2030" s="2" t="s">
        <v>2365</v>
      </c>
      <c r="O2030" s="2" t="s">
        <v>101</v>
      </c>
      <c r="P2030" s="2" t="str">
        <f>"2170604203                    "</f>
        <v xml:space="preserve">2170604203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6.43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</v>
      </c>
      <c r="BJ2030" s="2">
        <v>0.2</v>
      </c>
      <c r="BK2030" s="2">
        <v>1</v>
      </c>
      <c r="BL2030" s="2">
        <v>45.93</v>
      </c>
      <c r="BM2030" s="2">
        <v>6.43</v>
      </c>
      <c r="BN2030" s="2">
        <v>52.36</v>
      </c>
      <c r="BO2030" s="2">
        <v>52.36</v>
      </c>
      <c r="BR2030" s="2" t="s">
        <v>103</v>
      </c>
      <c r="BS2030" s="3">
        <v>43084</v>
      </c>
      <c r="BT2030" s="4">
        <v>0.49374999999999997</v>
      </c>
      <c r="BU2030" s="2" t="s">
        <v>2366</v>
      </c>
      <c r="BV2030" s="2" t="s">
        <v>89</v>
      </c>
      <c r="BW2030" s="2" t="s">
        <v>149</v>
      </c>
      <c r="BX2030" s="2" t="s">
        <v>246</v>
      </c>
      <c r="BY2030" s="2">
        <v>1200</v>
      </c>
      <c r="CA2030" s="2" t="s">
        <v>1389</v>
      </c>
      <c r="CC2030" s="2" t="s">
        <v>174</v>
      </c>
      <c r="CD2030" s="2">
        <v>7460</v>
      </c>
      <c r="CE2030" s="2" t="s">
        <v>120</v>
      </c>
      <c r="CF2030" s="3">
        <v>43087</v>
      </c>
      <c r="CI2030" s="2">
        <v>1</v>
      </c>
      <c r="CJ2030" s="2">
        <v>1</v>
      </c>
      <c r="CK2030" s="2">
        <v>21</v>
      </c>
      <c r="CL2030" s="2" t="s">
        <v>89</v>
      </c>
    </row>
    <row r="2031" spans="1:90">
      <c r="A2031" s="2" t="s">
        <v>71</v>
      </c>
      <c r="B2031" s="2" t="s">
        <v>72</v>
      </c>
      <c r="C2031" s="2" t="s">
        <v>73</v>
      </c>
      <c r="E2031" s="2" t="str">
        <f>"FES1162595953"</f>
        <v>FES1162595953</v>
      </c>
      <c r="F2031" s="3">
        <v>43083</v>
      </c>
      <c r="G2031" s="2">
        <v>201806</v>
      </c>
      <c r="H2031" s="2" t="s">
        <v>74</v>
      </c>
      <c r="I2031" s="2" t="s">
        <v>75</v>
      </c>
      <c r="J2031" s="2" t="s">
        <v>97</v>
      </c>
      <c r="K2031" s="2" t="s">
        <v>77</v>
      </c>
      <c r="L2031" s="2" t="s">
        <v>835</v>
      </c>
      <c r="M2031" s="2" t="s">
        <v>836</v>
      </c>
      <c r="N2031" s="2" t="s">
        <v>837</v>
      </c>
      <c r="O2031" s="2" t="s">
        <v>101</v>
      </c>
      <c r="P2031" s="2" t="str">
        <f>"2170607763                    "</f>
        <v xml:space="preserve">2170607763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12.47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</v>
      </c>
      <c r="BJ2031" s="2">
        <v>0.2</v>
      </c>
      <c r="BK2031" s="2">
        <v>1</v>
      </c>
      <c r="BL2031" s="2">
        <v>89</v>
      </c>
      <c r="BM2031" s="2">
        <v>12.46</v>
      </c>
      <c r="BN2031" s="2">
        <v>101.46</v>
      </c>
      <c r="BO2031" s="2">
        <v>101.46</v>
      </c>
      <c r="BQ2031" s="2" t="s">
        <v>102</v>
      </c>
      <c r="BR2031" s="2" t="s">
        <v>103</v>
      </c>
      <c r="BS2031" s="3">
        <v>43084</v>
      </c>
      <c r="BT2031" s="4">
        <v>0.50902777777777775</v>
      </c>
      <c r="BU2031" s="2" t="s">
        <v>1496</v>
      </c>
      <c r="BV2031" s="2" t="s">
        <v>85</v>
      </c>
      <c r="BY2031" s="2">
        <v>1200</v>
      </c>
      <c r="CA2031" s="2" t="s">
        <v>840</v>
      </c>
      <c r="CC2031" s="2" t="s">
        <v>836</v>
      </c>
      <c r="CD2031" s="2">
        <v>7349</v>
      </c>
      <c r="CE2031" s="2" t="s">
        <v>120</v>
      </c>
      <c r="CF2031" s="3">
        <v>43087</v>
      </c>
      <c r="CI2031" s="2">
        <v>1</v>
      </c>
      <c r="CJ2031" s="2">
        <v>1</v>
      </c>
      <c r="CK2031" s="2">
        <v>23</v>
      </c>
      <c r="CL2031" s="2" t="s">
        <v>89</v>
      </c>
    </row>
    <row r="2032" spans="1:90">
      <c r="A2032" s="2" t="s">
        <v>71</v>
      </c>
      <c r="B2032" s="2" t="s">
        <v>72</v>
      </c>
      <c r="C2032" s="2" t="s">
        <v>73</v>
      </c>
      <c r="E2032" s="2" t="str">
        <f>"FES1162595929"</f>
        <v>FES1162595929</v>
      </c>
      <c r="F2032" s="3">
        <v>43083</v>
      </c>
      <c r="G2032" s="2">
        <v>201806</v>
      </c>
      <c r="H2032" s="2" t="s">
        <v>74</v>
      </c>
      <c r="I2032" s="2" t="s">
        <v>75</v>
      </c>
      <c r="J2032" s="2" t="s">
        <v>97</v>
      </c>
      <c r="K2032" s="2" t="s">
        <v>77</v>
      </c>
      <c r="L2032" s="2" t="s">
        <v>173</v>
      </c>
      <c r="M2032" s="2" t="s">
        <v>174</v>
      </c>
      <c r="N2032" s="2" t="s">
        <v>2122</v>
      </c>
      <c r="O2032" s="2" t="s">
        <v>101</v>
      </c>
      <c r="P2032" s="2" t="str">
        <f>"2170604304                    "</f>
        <v xml:space="preserve">2170604304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6.43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</v>
      </c>
      <c r="BJ2032" s="2">
        <v>0.2</v>
      </c>
      <c r="BK2032" s="2">
        <v>1</v>
      </c>
      <c r="BL2032" s="2">
        <v>45.93</v>
      </c>
      <c r="BM2032" s="2">
        <v>6.43</v>
      </c>
      <c r="BN2032" s="2">
        <v>52.36</v>
      </c>
      <c r="BO2032" s="2">
        <v>52.36</v>
      </c>
      <c r="BQ2032" s="2" t="s">
        <v>82</v>
      </c>
      <c r="BR2032" s="2" t="s">
        <v>103</v>
      </c>
      <c r="BS2032" s="3">
        <v>43087</v>
      </c>
      <c r="BT2032" s="4">
        <v>0.4909722222222222</v>
      </c>
      <c r="BU2032" s="2" t="s">
        <v>2367</v>
      </c>
      <c r="BV2032" s="2" t="s">
        <v>89</v>
      </c>
      <c r="BW2032" s="2" t="s">
        <v>313</v>
      </c>
      <c r="BX2032" s="2" t="s">
        <v>368</v>
      </c>
      <c r="BY2032" s="2">
        <v>1200</v>
      </c>
      <c r="CA2032" s="2" t="s">
        <v>2368</v>
      </c>
      <c r="CC2032" s="2" t="s">
        <v>174</v>
      </c>
      <c r="CD2032" s="2">
        <v>7405</v>
      </c>
      <c r="CE2032" s="2" t="s">
        <v>120</v>
      </c>
      <c r="CF2032" s="3">
        <v>43088</v>
      </c>
      <c r="CI2032" s="2">
        <v>1</v>
      </c>
      <c r="CJ2032" s="2">
        <v>2</v>
      </c>
      <c r="CK2032" s="2">
        <v>21</v>
      </c>
      <c r="CL2032" s="2" t="s">
        <v>89</v>
      </c>
    </row>
    <row r="2033" spans="1:90">
      <c r="A2033" s="2" t="s">
        <v>71</v>
      </c>
      <c r="B2033" s="2" t="s">
        <v>72</v>
      </c>
      <c r="C2033" s="2" t="s">
        <v>73</v>
      </c>
      <c r="E2033" s="2" t="str">
        <f>"FES1162595975"</f>
        <v>FES1162595975</v>
      </c>
      <c r="F2033" s="3">
        <v>43083</v>
      </c>
      <c r="G2033" s="2">
        <v>201806</v>
      </c>
      <c r="H2033" s="2" t="s">
        <v>74</v>
      </c>
      <c r="I2033" s="2" t="s">
        <v>75</v>
      </c>
      <c r="J2033" s="2" t="s">
        <v>97</v>
      </c>
      <c r="K2033" s="2" t="s">
        <v>77</v>
      </c>
      <c r="L2033" s="2" t="s">
        <v>835</v>
      </c>
      <c r="M2033" s="2" t="s">
        <v>836</v>
      </c>
      <c r="N2033" s="2" t="s">
        <v>2369</v>
      </c>
      <c r="O2033" s="2" t="s">
        <v>101</v>
      </c>
      <c r="P2033" s="2" t="str">
        <f>"2170604142                    "</f>
        <v xml:space="preserve">2170604142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12.47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1</v>
      </c>
      <c r="BJ2033" s="2">
        <v>0.2</v>
      </c>
      <c r="BK2033" s="2">
        <v>1</v>
      </c>
      <c r="BL2033" s="2">
        <v>89</v>
      </c>
      <c r="BM2033" s="2">
        <v>12.46</v>
      </c>
      <c r="BN2033" s="2">
        <v>101.46</v>
      </c>
      <c r="BO2033" s="2">
        <v>101.46</v>
      </c>
      <c r="BQ2033" s="2" t="s">
        <v>82</v>
      </c>
      <c r="BR2033" s="2" t="s">
        <v>103</v>
      </c>
      <c r="BS2033" s="3">
        <v>43084</v>
      </c>
      <c r="BT2033" s="4">
        <v>0.51180555555555551</v>
      </c>
      <c r="BU2033" s="2" t="s">
        <v>2370</v>
      </c>
      <c r="BV2033" s="2" t="s">
        <v>85</v>
      </c>
      <c r="BY2033" s="2">
        <v>1200</v>
      </c>
      <c r="CA2033" s="2" t="s">
        <v>840</v>
      </c>
      <c r="CC2033" s="2" t="s">
        <v>836</v>
      </c>
      <c r="CD2033" s="2">
        <v>7349</v>
      </c>
      <c r="CE2033" s="2" t="s">
        <v>120</v>
      </c>
      <c r="CF2033" s="3">
        <v>43087</v>
      </c>
      <c r="CI2033" s="2">
        <v>1</v>
      </c>
      <c r="CJ2033" s="2">
        <v>1</v>
      </c>
      <c r="CK2033" s="2">
        <v>23</v>
      </c>
      <c r="CL2033" s="2" t="s">
        <v>89</v>
      </c>
    </row>
    <row r="2034" spans="1:90">
      <c r="A2034" s="2" t="s">
        <v>71</v>
      </c>
      <c r="B2034" s="2" t="s">
        <v>72</v>
      </c>
      <c r="C2034" s="2" t="s">
        <v>73</v>
      </c>
      <c r="E2034" s="2" t="str">
        <f>"FES1162595919"</f>
        <v>FES1162595919</v>
      </c>
      <c r="F2034" s="3">
        <v>43083</v>
      </c>
      <c r="G2034" s="2">
        <v>201806</v>
      </c>
      <c r="H2034" s="2" t="s">
        <v>74</v>
      </c>
      <c r="I2034" s="2" t="s">
        <v>75</v>
      </c>
      <c r="J2034" s="2" t="s">
        <v>97</v>
      </c>
      <c r="K2034" s="2" t="s">
        <v>77</v>
      </c>
      <c r="L2034" s="2" t="s">
        <v>883</v>
      </c>
      <c r="M2034" s="2" t="s">
        <v>884</v>
      </c>
      <c r="N2034" s="2" t="s">
        <v>934</v>
      </c>
      <c r="O2034" s="2" t="s">
        <v>101</v>
      </c>
      <c r="P2034" s="2" t="str">
        <f>"217060915990                  "</f>
        <v xml:space="preserve">217060915990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6.43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</v>
      </c>
      <c r="BJ2034" s="2">
        <v>0.2</v>
      </c>
      <c r="BK2034" s="2">
        <v>1</v>
      </c>
      <c r="BL2034" s="2">
        <v>45.93</v>
      </c>
      <c r="BM2034" s="2">
        <v>6.43</v>
      </c>
      <c r="BN2034" s="2">
        <v>52.36</v>
      </c>
      <c r="BO2034" s="2">
        <v>52.36</v>
      </c>
      <c r="BQ2034" s="2" t="s">
        <v>82</v>
      </c>
      <c r="BR2034" s="2" t="s">
        <v>103</v>
      </c>
      <c r="BS2034" s="3">
        <v>43084</v>
      </c>
      <c r="BT2034" s="4">
        <v>0.40833333333333338</v>
      </c>
      <c r="BU2034" s="2" t="s">
        <v>388</v>
      </c>
      <c r="BV2034" s="2" t="s">
        <v>85</v>
      </c>
      <c r="BY2034" s="2">
        <v>1200</v>
      </c>
      <c r="CA2034" s="2" t="s">
        <v>887</v>
      </c>
      <c r="CC2034" s="2" t="s">
        <v>884</v>
      </c>
      <c r="CD2034" s="2">
        <v>7600</v>
      </c>
      <c r="CE2034" s="2" t="s">
        <v>120</v>
      </c>
      <c r="CF2034" s="3">
        <v>43087</v>
      </c>
      <c r="CI2034" s="2">
        <v>1</v>
      </c>
      <c r="CJ2034" s="2">
        <v>1</v>
      </c>
      <c r="CK2034" s="2">
        <v>21</v>
      </c>
      <c r="CL2034" s="2" t="s">
        <v>89</v>
      </c>
    </row>
    <row r="2035" spans="1:90">
      <c r="A2035" s="2" t="s">
        <v>71</v>
      </c>
      <c r="B2035" s="2" t="s">
        <v>72</v>
      </c>
      <c r="C2035" s="2" t="s">
        <v>73</v>
      </c>
      <c r="E2035" s="2" t="str">
        <f>"FES1162595988"</f>
        <v>FES1162595988</v>
      </c>
      <c r="F2035" s="3">
        <v>43083</v>
      </c>
      <c r="G2035" s="2">
        <v>201806</v>
      </c>
      <c r="H2035" s="2" t="s">
        <v>74</v>
      </c>
      <c r="I2035" s="2" t="s">
        <v>75</v>
      </c>
      <c r="J2035" s="2" t="s">
        <v>97</v>
      </c>
      <c r="K2035" s="2" t="s">
        <v>77</v>
      </c>
      <c r="L2035" s="2" t="s">
        <v>173</v>
      </c>
      <c r="M2035" s="2" t="s">
        <v>174</v>
      </c>
      <c r="N2035" s="2" t="s">
        <v>2371</v>
      </c>
      <c r="O2035" s="2" t="s">
        <v>101</v>
      </c>
      <c r="P2035" s="2" t="str">
        <f>"2170604312                    "</f>
        <v xml:space="preserve">2170604312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6.43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1</v>
      </c>
      <c r="BJ2035" s="2">
        <v>0.2</v>
      </c>
      <c r="BK2035" s="2">
        <v>1</v>
      </c>
      <c r="BL2035" s="2">
        <v>45.93</v>
      </c>
      <c r="BM2035" s="2">
        <v>6.43</v>
      </c>
      <c r="BN2035" s="2">
        <v>52.36</v>
      </c>
      <c r="BO2035" s="2">
        <v>52.36</v>
      </c>
      <c r="BQ2035" s="2" t="s">
        <v>102</v>
      </c>
      <c r="BR2035" s="2" t="s">
        <v>103</v>
      </c>
      <c r="BS2035" s="3">
        <v>43088</v>
      </c>
      <c r="BT2035" s="4">
        <v>0.42986111111111108</v>
      </c>
      <c r="BU2035" s="2" t="s">
        <v>2372</v>
      </c>
      <c r="BV2035" s="2" t="s">
        <v>89</v>
      </c>
      <c r="BW2035" s="2" t="s">
        <v>313</v>
      </c>
      <c r="BX2035" s="2" t="s">
        <v>368</v>
      </c>
      <c r="BY2035" s="2">
        <v>1200</v>
      </c>
      <c r="CA2035" s="2" t="s">
        <v>1682</v>
      </c>
      <c r="CC2035" s="2" t="s">
        <v>174</v>
      </c>
      <c r="CD2035" s="2">
        <v>7441</v>
      </c>
      <c r="CE2035" s="2" t="s">
        <v>120</v>
      </c>
      <c r="CF2035" s="3">
        <v>43089</v>
      </c>
      <c r="CI2035" s="2">
        <v>1</v>
      </c>
      <c r="CJ2035" s="2">
        <v>3</v>
      </c>
      <c r="CK2035" s="2">
        <v>21</v>
      </c>
      <c r="CL2035" s="2" t="s">
        <v>89</v>
      </c>
    </row>
    <row r="2036" spans="1:90">
      <c r="A2036" s="2" t="s">
        <v>71</v>
      </c>
      <c r="B2036" s="2" t="s">
        <v>72</v>
      </c>
      <c r="C2036" s="2" t="s">
        <v>73</v>
      </c>
      <c r="E2036" s="2" t="str">
        <f>"FES1162595880"</f>
        <v>FES1162595880</v>
      </c>
      <c r="F2036" s="3">
        <v>43083</v>
      </c>
      <c r="G2036" s="2">
        <v>201806</v>
      </c>
      <c r="H2036" s="2" t="s">
        <v>74</v>
      </c>
      <c r="I2036" s="2" t="s">
        <v>75</v>
      </c>
      <c r="J2036" s="2" t="s">
        <v>97</v>
      </c>
      <c r="K2036" s="2" t="s">
        <v>77</v>
      </c>
      <c r="L2036" s="2" t="s">
        <v>173</v>
      </c>
      <c r="M2036" s="2" t="s">
        <v>174</v>
      </c>
      <c r="N2036" s="2" t="s">
        <v>433</v>
      </c>
      <c r="O2036" s="2" t="s">
        <v>101</v>
      </c>
      <c r="P2036" s="2" t="str">
        <f>"2170605937                    "</f>
        <v xml:space="preserve">2170605937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6.43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</v>
      </c>
      <c r="BJ2036" s="2">
        <v>0.2</v>
      </c>
      <c r="BK2036" s="2">
        <v>1</v>
      </c>
      <c r="BL2036" s="2">
        <v>45.93</v>
      </c>
      <c r="BM2036" s="2">
        <v>6.43</v>
      </c>
      <c r="BN2036" s="2">
        <v>52.36</v>
      </c>
      <c r="BO2036" s="2">
        <v>52.36</v>
      </c>
      <c r="BQ2036" s="2" t="s">
        <v>102</v>
      </c>
      <c r="BR2036" s="2" t="s">
        <v>103</v>
      </c>
      <c r="BS2036" s="3">
        <v>43084</v>
      </c>
      <c r="BT2036" s="4">
        <v>0.49236111111111108</v>
      </c>
      <c r="BU2036" s="2" t="s">
        <v>2373</v>
      </c>
      <c r="BV2036" s="2" t="s">
        <v>89</v>
      </c>
      <c r="BW2036" s="2" t="s">
        <v>149</v>
      </c>
      <c r="BX2036" s="2" t="s">
        <v>246</v>
      </c>
      <c r="BY2036" s="2">
        <v>1200</v>
      </c>
      <c r="CA2036" s="2" t="s">
        <v>1221</v>
      </c>
      <c r="CC2036" s="2" t="s">
        <v>174</v>
      </c>
      <c r="CD2036" s="2">
        <v>7441</v>
      </c>
      <c r="CE2036" s="2" t="s">
        <v>120</v>
      </c>
      <c r="CF2036" s="3">
        <v>43087</v>
      </c>
      <c r="CI2036" s="2">
        <v>1</v>
      </c>
      <c r="CJ2036" s="2">
        <v>1</v>
      </c>
      <c r="CK2036" s="2">
        <v>21</v>
      </c>
      <c r="CL2036" s="2" t="s">
        <v>89</v>
      </c>
    </row>
    <row r="2037" spans="1:90">
      <c r="A2037" s="2" t="s">
        <v>71</v>
      </c>
      <c r="B2037" s="2" t="s">
        <v>72</v>
      </c>
      <c r="C2037" s="2" t="s">
        <v>73</v>
      </c>
      <c r="E2037" s="2" t="str">
        <f>"FES1162595938"</f>
        <v>FES1162595938</v>
      </c>
      <c r="F2037" s="3">
        <v>43083</v>
      </c>
      <c r="G2037" s="2">
        <v>201806</v>
      </c>
      <c r="H2037" s="2" t="s">
        <v>74</v>
      </c>
      <c r="I2037" s="2" t="s">
        <v>75</v>
      </c>
      <c r="J2037" s="2" t="s">
        <v>97</v>
      </c>
      <c r="K2037" s="2" t="s">
        <v>77</v>
      </c>
      <c r="L2037" s="2" t="s">
        <v>173</v>
      </c>
      <c r="M2037" s="2" t="s">
        <v>174</v>
      </c>
      <c r="N2037" s="2" t="s">
        <v>175</v>
      </c>
      <c r="O2037" s="2" t="s">
        <v>101</v>
      </c>
      <c r="P2037" s="2" t="str">
        <f>"2170604891                    "</f>
        <v xml:space="preserve">2170604891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6.43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1</v>
      </c>
      <c r="BJ2037" s="2">
        <v>0.2</v>
      </c>
      <c r="BK2037" s="2">
        <v>1</v>
      </c>
      <c r="BL2037" s="2">
        <v>45.93</v>
      </c>
      <c r="BM2037" s="2">
        <v>6.43</v>
      </c>
      <c r="BN2037" s="2">
        <v>52.36</v>
      </c>
      <c r="BO2037" s="2">
        <v>52.36</v>
      </c>
      <c r="BQ2037" s="2" t="s">
        <v>102</v>
      </c>
      <c r="BR2037" s="2" t="s">
        <v>103</v>
      </c>
      <c r="BS2037" s="3">
        <v>43084</v>
      </c>
      <c r="BT2037" s="4">
        <v>0.49444444444444446</v>
      </c>
      <c r="BU2037" s="2" t="s">
        <v>2374</v>
      </c>
      <c r="BV2037" s="2" t="s">
        <v>89</v>
      </c>
      <c r="BW2037" s="2" t="s">
        <v>149</v>
      </c>
      <c r="BX2037" s="2" t="s">
        <v>246</v>
      </c>
      <c r="BY2037" s="2">
        <v>1200</v>
      </c>
      <c r="CA2037" s="2" t="s">
        <v>1221</v>
      </c>
      <c r="CC2037" s="2" t="s">
        <v>174</v>
      </c>
      <c r="CD2037" s="2">
        <v>7405</v>
      </c>
      <c r="CE2037" s="2" t="s">
        <v>120</v>
      </c>
      <c r="CF2037" s="3">
        <v>43087</v>
      </c>
      <c r="CI2037" s="2">
        <v>1</v>
      </c>
      <c r="CJ2037" s="2">
        <v>1</v>
      </c>
      <c r="CK2037" s="2">
        <v>21</v>
      </c>
      <c r="CL2037" s="2" t="s">
        <v>89</v>
      </c>
    </row>
    <row r="2038" spans="1:90">
      <c r="A2038" s="2" t="s">
        <v>71</v>
      </c>
      <c r="B2038" s="2" t="s">
        <v>72</v>
      </c>
      <c r="C2038" s="2" t="s">
        <v>73</v>
      </c>
      <c r="E2038" s="2" t="str">
        <f>"FES1162595999"</f>
        <v>FES1162595999</v>
      </c>
      <c r="F2038" s="3">
        <v>43083</v>
      </c>
      <c r="G2038" s="2">
        <v>201806</v>
      </c>
      <c r="H2038" s="2" t="s">
        <v>74</v>
      </c>
      <c r="I2038" s="2" t="s">
        <v>75</v>
      </c>
      <c r="J2038" s="2" t="s">
        <v>97</v>
      </c>
      <c r="K2038" s="2" t="s">
        <v>77</v>
      </c>
      <c r="L2038" s="2" t="s">
        <v>526</v>
      </c>
      <c r="M2038" s="2" t="s">
        <v>527</v>
      </c>
      <c r="N2038" s="2" t="s">
        <v>528</v>
      </c>
      <c r="O2038" s="2" t="s">
        <v>101</v>
      </c>
      <c r="P2038" s="2" t="str">
        <f>"2170604630                    "</f>
        <v xml:space="preserve">2170604630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6.43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0.2</v>
      </c>
      <c r="BK2038" s="2">
        <v>1</v>
      </c>
      <c r="BL2038" s="2">
        <v>45.93</v>
      </c>
      <c r="BM2038" s="2">
        <v>6.43</v>
      </c>
      <c r="BN2038" s="2">
        <v>52.36</v>
      </c>
      <c r="BO2038" s="2">
        <v>52.36</v>
      </c>
      <c r="BQ2038" s="2" t="s">
        <v>128</v>
      </c>
      <c r="BR2038" s="2" t="s">
        <v>103</v>
      </c>
      <c r="BS2038" s="3">
        <v>43084</v>
      </c>
      <c r="BT2038" s="4">
        <v>0.41666666666666669</v>
      </c>
      <c r="BU2038" s="2" t="s">
        <v>2375</v>
      </c>
      <c r="BV2038" s="2" t="s">
        <v>85</v>
      </c>
      <c r="BY2038" s="2">
        <v>1200</v>
      </c>
      <c r="CC2038" s="2" t="s">
        <v>527</v>
      </c>
      <c r="CD2038" s="2">
        <v>6850</v>
      </c>
      <c r="CE2038" s="2" t="s">
        <v>120</v>
      </c>
      <c r="CF2038" s="3">
        <v>43087</v>
      </c>
      <c r="CI2038" s="2">
        <v>3</v>
      </c>
      <c r="CJ2038" s="2">
        <v>1</v>
      </c>
      <c r="CK2038" s="2">
        <v>21</v>
      </c>
      <c r="CL2038" s="2" t="s">
        <v>89</v>
      </c>
    </row>
    <row r="2039" spans="1:90">
      <c r="A2039" s="2" t="s">
        <v>71</v>
      </c>
      <c r="B2039" s="2" t="s">
        <v>72</v>
      </c>
      <c r="C2039" s="2" t="s">
        <v>73</v>
      </c>
      <c r="E2039" s="2" t="str">
        <f>"FES1162596024"</f>
        <v>FES1162596024</v>
      </c>
      <c r="F2039" s="3">
        <v>43083</v>
      </c>
      <c r="G2039" s="2">
        <v>201806</v>
      </c>
      <c r="H2039" s="2" t="s">
        <v>74</v>
      </c>
      <c r="I2039" s="2" t="s">
        <v>75</v>
      </c>
      <c r="J2039" s="2" t="s">
        <v>97</v>
      </c>
      <c r="K2039" s="2" t="s">
        <v>77</v>
      </c>
      <c r="L2039" s="2" t="s">
        <v>212</v>
      </c>
      <c r="M2039" s="2" t="s">
        <v>212</v>
      </c>
      <c r="N2039" s="2" t="s">
        <v>213</v>
      </c>
      <c r="O2039" s="2" t="s">
        <v>101</v>
      </c>
      <c r="P2039" s="2" t="str">
        <f>"2170606740                    "</f>
        <v xml:space="preserve">2170606740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6.43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1</v>
      </c>
      <c r="BJ2039" s="2">
        <v>0.2</v>
      </c>
      <c r="BK2039" s="2">
        <v>1</v>
      </c>
      <c r="BL2039" s="2">
        <v>45.93</v>
      </c>
      <c r="BM2039" s="2">
        <v>6.43</v>
      </c>
      <c r="BN2039" s="2">
        <v>52.36</v>
      </c>
      <c r="BO2039" s="2">
        <v>52.36</v>
      </c>
      <c r="BQ2039" s="2" t="s">
        <v>102</v>
      </c>
      <c r="BR2039" s="2" t="s">
        <v>103</v>
      </c>
      <c r="BS2039" s="3">
        <v>43084</v>
      </c>
      <c r="BT2039" s="4">
        <v>0.60972222222222217</v>
      </c>
      <c r="BU2039" s="2" t="s">
        <v>2376</v>
      </c>
      <c r="BV2039" s="2" t="s">
        <v>89</v>
      </c>
      <c r="BW2039" s="2" t="s">
        <v>149</v>
      </c>
      <c r="BX2039" s="2" t="s">
        <v>2377</v>
      </c>
      <c r="BY2039" s="2">
        <v>1200</v>
      </c>
      <c r="CC2039" s="2" t="s">
        <v>212</v>
      </c>
      <c r="CD2039" s="2">
        <v>7646</v>
      </c>
      <c r="CE2039" s="2" t="s">
        <v>120</v>
      </c>
      <c r="CF2039" s="3">
        <v>43087</v>
      </c>
      <c r="CI2039" s="2">
        <v>1</v>
      </c>
      <c r="CJ2039" s="2">
        <v>1</v>
      </c>
      <c r="CK2039" s="2">
        <v>21</v>
      </c>
      <c r="CL2039" s="2" t="s">
        <v>89</v>
      </c>
    </row>
    <row r="2040" spans="1:90">
      <c r="A2040" s="2" t="s">
        <v>71</v>
      </c>
      <c r="B2040" s="2" t="s">
        <v>72</v>
      </c>
      <c r="C2040" s="2" t="s">
        <v>73</v>
      </c>
      <c r="E2040" s="2" t="str">
        <f>"FES1162595887"</f>
        <v>FES1162595887</v>
      </c>
      <c r="F2040" s="3">
        <v>43083</v>
      </c>
      <c r="G2040" s="2">
        <v>201806</v>
      </c>
      <c r="H2040" s="2" t="s">
        <v>74</v>
      </c>
      <c r="I2040" s="2" t="s">
        <v>75</v>
      </c>
      <c r="J2040" s="2" t="s">
        <v>97</v>
      </c>
      <c r="K2040" s="2" t="s">
        <v>77</v>
      </c>
      <c r="L2040" s="2" t="s">
        <v>173</v>
      </c>
      <c r="M2040" s="2" t="s">
        <v>174</v>
      </c>
      <c r="N2040" s="2" t="s">
        <v>433</v>
      </c>
      <c r="O2040" s="2" t="s">
        <v>101</v>
      </c>
      <c r="P2040" s="2" t="str">
        <f>"2170607710                    "</f>
        <v xml:space="preserve">2170607710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6.43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45.93</v>
      </c>
      <c r="BM2040" s="2">
        <v>6.43</v>
      </c>
      <c r="BN2040" s="2">
        <v>52.36</v>
      </c>
      <c r="BO2040" s="2">
        <v>52.36</v>
      </c>
      <c r="BQ2040" s="2" t="s">
        <v>102</v>
      </c>
      <c r="BR2040" s="2" t="s">
        <v>103</v>
      </c>
      <c r="BS2040" s="3">
        <v>43084</v>
      </c>
      <c r="BT2040" s="4">
        <v>0.49236111111111108</v>
      </c>
      <c r="BU2040" s="2" t="s">
        <v>2373</v>
      </c>
      <c r="BV2040" s="2" t="s">
        <v>89</v>
      </c>
      <c r="BW2040" s="2" t="s">
        <v>149</v>
      </c>
      <c r="BX2040" s="2" t="s">
        <v>246</v>
      </c>
      <c r="BY2040" s="2">
        <v>1200</v>
      </c>
      <c r="CA2040" s="2" t="s">
        <v>1221</v>
      </c>
      <c r="CC2040" s="2" t="s">
        <v>174</v>
      </c>
      <c r="CD2040" s="2">
        <v>7441</v>
      </c>
      <c r="CE2040" s="2" t="s">
        <v>120</v>
      </c>
      <c r="CF2040" s="3">
        <v>43087</v>
      </c>
      <c r="CI2040" s="2">
        <v>1</v>
      </c>
      <c r="CJ2040" s="2">
        <v>1</v>
      </c>
      <c r="CK2040" s="2">
        <v>21</v>
      </c>
      <c r="CL2040" s="2" t="s">
        <v>89</v>
      </c>
    </row>
    <row r="2041" spans="1:90">
      <c r="A2041" s="2" t="s">
        <v>71</v>
      </c>
      <c r="B2041" s="2" t="s">
        <v>72</v>
      </c>
      <c r="C2041" s="2" t="s">
        <v>73</v>
      </c>
      <c r="E2041" s="2" t="str">
        <f>"FES1162596034"</f>
        <v>FES1162596034</v>
      </c>
      <c r="F2041" s="3">
        <v>43083</v>
      </c>
      <c r="G2041" s="2">
        <v>201806</v>
      </c>
      <c r="H2041" s="2" t="s">
        <v>74</v>
      </c>
      <c r="I2041" s="2" t="s">
        <v>75</v>
      </c>
      <c r="J2041" s="2" t="s">
        <v>97</v>
      </c>
      <c r="K2041" s="2" t="s">
        <v>77</v>
      </c>
      <c r="L2041" s="2" t="s">
        <v>173</v>
      </c>
      <c r="M2041" s="2" t="s">
        <v>174</v>
      </c>
      <c r="N2041" s="2" t="s">
        <v>323</v>
      </c>
      <c r="O2041" s="2" t="s">
        <v>101</v>
      </c>
      <c r="P2041" s="2" t="str">
        <f>"2170607772                    "</f>
        <v xml:space="preserve">2170607772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6.43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1</v>
      </c>
      <c r="BJ2041" s="2">
        <v>0.2</v>
      </c>
      <c r="BK2041" s="2">
        <v>1</v>
      </c>
      <c r="BL2041" s="2">
        <v>45.93</v>
      </c>
      <c r="BM2041" s="2">
        <v>6.43</v>
      </c>
      <c r="BN2041" s="2">
        <v>52.36</v>
      </c>
      <c r="BO2041" s="2">
        <v>52.36</v>
      </c>
      <c r="BQ2041" s="2" t="s">
        <v>82</v>
      </c>
      <c r="BR2041" s="2" t="s">
        <v>103</v>
      </c>
      <c r="BS2041" s="3">
        <v>43084</v>
      </c>
      <c r="BT2041" s="4">
        <v>0.49583333333333335</v>
      </c>
      <c r="BU2041" s="2" t="s">
        <v>2378</v>
      </c>
      <c r="BV2041" s="2" t="s">
        <v>89</v>
      </c>
      <c r="BW2041" s="2" t="s">
        <v>149</v>
      </c>
      <c r="BX2041" s="2" t="s">
        <v>246</v>
      </c>
      <c r="BY2041" s="2">
        <v>1200</v>
      </c>
      <c r="CA2041" s="2" t="s">
        <v>1221</v>
      </c>
      <c r="CC2041" s="2" t="s">
        <v>174</v>
      </c>
      <c r="CD2041" s="2">
        <v>7405</v>
      </c>
      <c r="CE2041" s="2" t="s">
        <v>120</v>
      </c>
      <c r="CF2041" s="3">
        <v>43087</v>
      </c>
      <c r="CI2041" s="2">
        <v>1</v>
      </c>
      <c r="CJ2041" s="2">
        <v>1</v>
      </c>
      <c r="CK2041" s="2">
        <v>21</v>
      </c>
      <c r="CL2041" s="2" t="s">
        <v>89</v>
      </c>
    </row>
    <row r="2042" spans="1:90">
      <c r="A2042" s="2" t="s">
        <v>71</v>
      </c>
      <c r="B2042" s="2" t="s">
        <v>72</v>
      </c>
      <c r="C2042" s="2" t="s">
        <v>73</v>
      </c>
      <c r="E2042" s="2" t="str">
        <f>"FES1162596023"</f>
        <v>FES1162596023</v>
      </c>
      <c r="F2042" s="3">
        <v>43083</v>
      </c>
      <c r="G2042" s="2">
        <v>201806</v>
      </c>
      <c r="H2042" s="2" t="s">
        <v>74</v>
      </c>
      <c r="I2042" s="2" t="s">
        <v>75</v>
      </c>
      <c r="J2042" s="2" t="s">
        <v>97</v>
      </c>
      <c r="K2042" s="2" t="s">
        <v>77</v>
      </c>
      <c r="L2042" s="2" t="s">
        <v>173</v>
      </c>
      <c r="M2042" s="2" t="s">
        <v>174</v>
      </c>
      <c r="N2042" s="2" t="s">
        <v>232</v>
      </c>
      <c r="O2042" s="2" t="s">
        <v>101</v>
      </c>
      <c r="P2042" s="2" t="str">
        <f>"2170606473                    "</f>
        <v xml:space="preserve">2170606473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6.43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</v>
      </c>
      <c r="BJ2042" s="2">
        <v>0.2</v>
      </c>
      <c r="BK2042" s="2">
        <v>1</v>
      </c>
      <c r="BL2042" s="2">
        <v>45.93</v>
      </c>
      <c r="BM2042" s="2">
        <v>6.43</v>
      </c>
      <c r="BN2042" s="2">
        <v>52.36</v>
      </c>
      <c r="BO2042" s="2">
        <v>52.36</v>
      </c>
      <c r="BQ2042" s="2" t="s">
        <v>102</v>
      </c>
      <c r="BR2042" s="2" t="s">
        <v>103</v>
      </c>
      <c r="BS2042" s="3">
        <v>43084</v>
      </c>
      <c r="BT2042" s="4">
        <v>0.40833333333333338</v>
      </c>
      <c r="BU2042" s="2" t="s">
        <v>2379</v>
      </c>
      <c r="BV2042" s="2" t="s">
        <v>85</v>
      </c>
      <c r="BY2042" s="2">
        <v>1200</v>
      </c>
      <c r="CC2042" s="2" t="s">
        <v>174</v>
      </c>
      <c r="CD2042" s="2">
        <v>7530</v>
      </c>
      <c r="CE2042" s="2" t="s">
        <v>120</v>
      </c>
      <c r="CF2042" s="3">
        <v>43087</v>
      </c>
      <c r="CI2042" s="2">
        <v>1</v>
      </c>
      <c r="CJ2042" s="2">
        <v>1</v>
      </c>
      <c r="CK2042" s="2">
        <v>21</v>
      </c>
      <c r="CL2042" s="2" t="s">
        <v>89</v>
      </c>
    </row>
    <row r="2043" spans="1:90">
      <c r="A2043" s="2" t="s">
        <v>71</v>
      </c>
      <c r="B2043" s="2" t="s">
        <v>72</v>
      </c>
      <c r="C2043" s="2" t="s">
        <v>73</v>
      </c>
      <c r="E2043" s="2" t="str">
        <f>"FES1162596061"</f>
        <v>FES1162596061</v>
      </c>
      <c r="F2043" s="3">
        <v>43083</v>
      </c>
      <c r="G2043" s="2">
        <v>201806</v>
      </c>
      <c r="H2043" s="2" t="s">
        <v>74</v>
      </c>
      <c r="I2043" s="2" t="s">
        <v>75</v>
      </c>
      <c r="J2043" s="2" t="s">
        <v>97</v>
      </c>
      <c r="K2043" s="2" t="s">
        <v>77</v>
      </c>
      <c r="L2043" s="2" t="s">
        <v>173</v>
      </c>
      <c r="M2043" s="2" t="s">
        <v>174</v>
      </c>
      <c r="N2043" s="2" t="s">
        <v>876</v>
      </c>
      <c r="O2043" s="2" t="s">
        <v>101</v>
      </c>
      <c r="P2043" s="2" t="str">
        <f>"2170607803                    "</f>
        <v xml:space="preserve">2170607803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6.43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1</v>
      </c>
      <c r="BJ2043" s="2">
        <v>0.2</v>
      </c>
      <c r="BK2043" s="2">
        <v>1</v>
      </c>
      <c r="BL2043" s="2">
        <v>45.93</v>
      </c>
      <c r="BM2043" s="2">
        <v>6.43</v>
      </c>
      <c r="BN2043" s="2">
        <v>52.36</v>
      </c>
      <c r="BO2043" s="2">
        <v>52.36</v>
      </c>
      <c r="BQ2043" s="2" t="s">
        <v>128</v>
      </c>
      <c r="BR2043" s="2" t="s">
        <v>103</v>
      </c>
      <c r="BS2043" s="3">
        <v>43084</v>
      </c>
      <c r="BT2043" s="4">
        <v>0.41666666666666669</v>
      </c>
      <c r="BU2043" s="2" t="s">
        <v>877</v>
      </c>
      <c r="BV2043" s="2" t="s">
        <v>85</v>
      </c>
      <c r="BY2043" s="2">
        <v>1200</v>
      </c>
      <c r="CA2043" s="2" t="s">
        <v>1682</v>
      </c>
      <c r="CC2043" s="2" t="s">
        <v>174</v>
      </c>
      <c r="CD2043" s="2">
        <v>7441</v>
      </c>
      <c r="CE2043" s="2" t="s">
        <v>120</v>
      </c>
      <c r="CF2043" s="3">
        <v>43087</v>
      </c>
      <c r="CI2043" s="2">
        <v>1</v>
      </c>
      <c r="CJ2043" s="2">
        <v>1</v>
      </c>
      <c r="CK2043" s="2">
        <v>21</v>
      </c>
      <c r="CL2043" s="2" t="s">
        <v>89</v>
      </c>
    </row>
    <row r="2044" spans="1:90">
      <c r="A2044" s="2" t="s">
        <v>71</v>
      </c>
      <c r="B2044" s="2" t="s">
        <v>72</v>
      </c>
      <c r="C2044" s="2" t="s">
        <v>73</v>
      </c>
      <c r="E2044" s="2" t="str">
        <f>"FES1162595939"</f>
        <v>FES1162595939</v>
      </c>
      <c r="F2044" s="3">
        <v>43083</v>
      </c>
      <c r="G2044" s="2">
        <v>201806</v>
      </c>
      <c r="H2044" s="2" t="s">
        <v>74</v>
      </c>
      <c r="I2044" s="2" t="s">
        <v>75</v>
      </c>
      <c r="J2044" s="2" t="s">
        <v>97</v>
      </c>
      <c r="K2044" s="2" t="s">
        <v>77</v>
      </c>
      <c r="L2044" s="2" t="s">
        <v>212</v>
      </c>
      <c r="M2044" s="2" t="s">
        <v>212</v>
      </c>
      <c r="N2044" s="2" t="s">
        <v>370</v>
      </c>
      <c r="O2044" s="2" t="s">
        <v>101</v>
      </c>
      <c r="P2044" s="2" t="str">
        <f>"2170604893                    "</f>
        <v xml:space="preserve">2170604893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6.43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1</v>
      </c>
      <c r="BJ2044" s="2">
        <v>0.2</v>
      </c>
      <c r="BK2044" s="2">
        <v>1</v>
      </c>
      <c r="BL2044" s="2">
        <v>45.93</v>
      </c>
      <c r="BM2044" s="2">
        <v>6.43</v>
      </c>
      <c r="BN2044" s="2">
        <v>52.36</v>
      </c>
      <c r="BO2044" s="2">
        <v>52.36</v>
      </c>
      <c r="BQ2044" s="2" t="s">
        <v>102</v>
      </c>
      <c r="BR2044" s="2" t="s">
        <v>103</v>
      </c>
      <c r="BS2044" s="3">
        <v>43084</v>
      </c>
      <c r="BT2044" s="4">
        <v>0.61458333333333337</v>
      </c>
      <c r="BU2044" s="2" t="s">
        <v>2254</v>
      </c>
      <c r="BV2044" s="2" t="s">
        <v>89</v>
      </c>
      <c r="BW2044" s="2" t="s">
        <v>149</v>
      </c>
      <c r="BX2044" s="2" t="s">
        <v>2377</v>
      </c>
      <c r="BY2044" s="2">
        <v>1200</v>
      </c>
      <c r="CC2044" s="2" t="s">
        <v>212</v>
      </c>
      <c r="CD2044" s="2">
        <v>7646</v>
      </c>
      <c r="CE2044" s="2" t="s">
        <v>120</v>
      </c>
      <c r="CF2044" s="3">
        <v>43087</v>
      </c>
      <c r="CI2044" s="2">
        <v>1</v>
      </c>
      <c r="CJ2044" s="2">
        <v>1</v>
      </c>
      <c r="CK2044" s="2">
        <v>21</v>
      </c>
      <c r="CL2044" s="2" t="s">
        <v>89</v>
      </c>
    </row>
    <row r="2045" spans="1:90">
      <c r="A2045" s="2" t="s">
        <v>71</v>
      </c>
      <c r="B2045" s="2" t="s">
        <v>72</v>
      </c>
      <c r="C2045" s="2" t="s">
        <v>73</v>
      </c>
      <c r="E2045" s="2" t="str">
        <f>"FES1162595932"</f>
        <v>FES1162595932</v>
      </c>
      <c r="F2045" s="3">
        <v>43083</v>
      </c>
      <c r="G2045" s="2">
        <v>201806</v>
      </c>
      <c r="H2045" s="2" t="s">
        <v>74</v>
      </c>
      <c r="I2045" s="2" t="s">
        <v>75</v>
      </c>
      <c r="J2045" s="2" t="s">
        <v>97</v>
      </c>
      <c r="K2045" s="2" t="s">
        <v>77</v>
      </c>
      <c r="L2045" s="2" t="s">
        <v>860</v>
      </c>
      <c r="M2045" s="2" t="s">
        <v>861</v>
      </c>
      <c r="N2045" s="2" t="s">
        <v>862</v>
      </c>
      <c r="O2045" s="2" t="s">
        <v>101</v>
      </c>
      <c r="P2045" s="2" t="str">
        <f>"2170604563                    "</f>
        <v xml:space="preserve">2170604563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6.43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</v>
      </c>
      <c r="BJ2045" s="2">
        <v>0.2</v>
      </c>
      <c r="BK2045" s="2">
        <v>1</v>
      </c>
      <c r="BL2045" s="2">
        <v>45.93</v>
      </c>
      <c r="BM2045" s="2">
        <v>6.43</v>
      </c>
      <c r="BN2045" s="2">
        <v>52.36</v>
      </c>
      <c r="BO2045" s="2">
        <v>52.36</v>
      </c>
      <c r="BQ2045" s="2" t="s">
        <v>82</v>
      </c>
      <c r="BR2045" s="2" t="s">
        <v>103</v>
      </c>
      <c r="BS2045" s="3">
        <v>43084</v>
      </c>
      <c r="BT2045" s="4">
        <v>0.67638888888888893</v>
      </c>
      <c r="BU2045" s="2" t="s">
        <v>863</v>
      </c>
      <c r="BV2045" s="2" t="s">
        <v>89</v>
      </c>
      <c r="BW2045" s="2" t="s">
        <v>149</v>
      </c>
      <c r="BX2045" s="2" t="s">
        <v>368</v>
      </c>
      <c r="BY2045" s="2">
        <v>1200</v>
      </c>
      <c r="CA2045" s="2" t="s">
        <v>542</v>
      </c>
      <c r="CC2045" s="2" t="s">
        <v>861</v>
      </c>
      <c r="CD2045" s="2">
        <v>7140</v>
      </c>
      <c r="CE2045" s="2" t="s">
        <v>120</v>
      </c>
      <c r="CF2045" s="3">
        <v>43087</v>
      </c>
      <c r="CI2045" s="2">
        <v>1</v>
      </c>
      <c r="CJ2045" s="2">
        <v>1</v>
      </c>
      <c r="CK2045" s="2">
        <v>21</v>
      </c>
      <c r="CL2045" s="2" t="s">
        <v>89</v>
      </c>
    </row>
    <row r="2046" spans="1:90">
      <c r="A2046" s="2" t="s">
        <v>71</v>
      </c>
      <c r="B2046" s="2" t="s">
        <v>72</v>
      </c>
      <c r="C2046" s="2" t="s">
        <v>73</v>
      </c>
      <c r="E2046" s="2" t="str">
        <f>"FES1162596030"</f>
        <v>FES1162596030</v>
      </c>
      <c r="F2046" s="3">
        <v>43083</v>
      </c>
      <c r="G2046" s="2">
        <v>201806</v>
      </c>
      <c r="H2046" s="2" t="s">
        <v>74</v>
      </c>
      <c r="I2046" s="2" t="s">
        <v>75</v>
      </c>
      <c r="J2046" s="2" t="s">
        <v>97</v>
      </c>
      <c r="K2046" s="2" t="s">
        <v>77</v>
      </c>
      <c r="L2046" s="2" t="s">
        <v>212</v>
      </c>
      <c r="M2046" s="2" t="s">
        <v>212</v>
      </c>
      <c r="N2046" s="2" t="s">
        <v>904</v>
      </c>
      <c r="O2046" s="2" t="s">
        <v>101</v>
      </c>
      <c r="P2046" s="2" t="str">
        <f>"2170607353                    "</f>
        <v xml:space="preserve">2170607353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6.43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</v>
      </c>
      <c r="BJ2046" s="2">
        <v>0.2</v>
      </c>
      <c r="BK2046" s="2">
        <v>1</v>
      </c>
      <c r="BL2046" s="2">
        <v>45.93</v>
      </c>
      <c r="BM2046" s="2">
        <v>6.43</v>
      </c>
      <c r="BN2046" s="2">
        <v>52.36</v>
      </c>
      <c r="BO2046" s="2">
        <v>52.36</v>
      </c>
      <c r="BQ2046" s="2" t="s">
        <v>82</v>
      </c>
      <c r="BR2046" s="2" t="s">
        <v>103</v>
      </c>
      <c r="BS2046" s="3">
        <v>43084</v>
      </c>
      <c r="BT2046" s="4">
        <v>0.62222222222222223</v>
      </c>
      <c r="BU2046" s="2" t="s">
        <v>2256</v>
      </c>
      <c r="BV2046" s="2" t="s">
        <v>89</v>
      </c>
      <c r="BW2046" s="2" t="s">
        <v>149</v>
      </c>
      <c r="BX2046" s="2" t="s">
        <v>2377</v>
      </c>
      <c r="BY2046" s="2">
        <v>1200</v>
      </c>
      <c r="CC2046" s="2" t="s">
        <v>212</v>
      </c>
      <c r="CD2046" s="2">
        <v>7646</v>
      </c>
      <c r="CE2046" s="2" t="s">
        <v>120</v>
      </c>
      <c r="CF2046" s="3">
        <v>43087</v>
      </c>
      <c r="CI2046" s="2">
        <v>1</v>
      </c>
      <c r="CJ2046" s="2">
        <v>1</v>
      </c>
      <c r="CK2046" s="2">
        <v>21</v>
      </c>
      <c r="CL2046" s="2" t="s">
        <v>89</v>
      </c>
    </row>
    <row r="2047" spans="1:90">
      <c r="A2047" s="2" t="s">
        <v>71</v>
      </c>
      <c r="B2047" s="2" t="s">
        <v>72</v>
      </c>
      <c r="C2047" s="2" t="s">
        <v>73</v>
      </c>
      <c r="E2047" s="2" t="str">
        <f>"FES1162596070"</f>
        <v>FES1162596070</v>
      </c>
      <c r="F2047" s="3">
        <v>43083</v>
      </c>
      <c r="G2047" s="2">
        <v>201806</v>
      </c>
      <c r="H2047" s="2" t="s">
        <v>74</v>
      </c>
      <c r="I2047" s="2" t="s">
        <v>75</v>
      </c>
      <c r="J2047" s="2" t="s">
        <v>97</v>
      </c>
      <c r="K2047" s="2" t="s">
        <v>77</v>
      </c>
      <c r="L2047" s="2" t="s">
        <v>136</v>
      </c>
      <c r="M2047" s="2" t="s">
        <v>137</v>
      </c>
      <c r="N2047" s="2" t="s">
        <v>446</v>
      </c>
      <c r="O2047" s="2" t="s">
        <v>101</v>
      </c>
      <c r="P2047" s="2" t="str">
        <f>"2170607816                    "</f>
        <v xml:space="preserve">2170607816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6.43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1</v>
      </c>
      <c r="BJ2047" s="2">
        <v>0.2</v>
      </c>
      <c r="BK2047" s="2">
        <v>1</v>
      </c>
      <c r="BL2047" s="2">
        <v>45.93</v>
      </c>
      <c r="BM2047" s="2">
        <v>6.43</v>
      </c>
      <c r="BN2047" s="2">
        <v>52.36</v>
      </c>
      <c r="BO2047" s="2">
        <v>52.36</v>
      </c>
      <c r="BQ2047" s="2" t="s">
        <v>102</v>
      </c>
      <c r="BR2047" s="2" t="s">
        <v>103</v>
      </c>
      <c r="BS2047" s="3">
        <v>43084</v>
      </c>
      <c r="BT2047" s="4">
        <v>0.33333333333333331</v>
      </c>
      <c r="BU2047" s="2" t="s">
        <v>2125</v>
      </c>
      <c r="BV2047" s="2" t="s">
        <v>85</v>
      </c>
      <c r="BY2047" s="2">
        <v>1200</v>
      </c>
      <c r="CA2047" s="2" t="s">
        <v>140</v>
      </c>
      <c r="CC2047" s="2" t="s">
        <v>137</v>
      </c>
      <c r="CD2047" s="2">
        <v>6012</v>
      </c>
      <c r="CE2047" s="2" t="s">
        <v>120</v>
      </c>
      <c r="CF2047" s="3">
        <v>43088</v>
      </c>
      <c r="CI2047" s="2">
        <v>1</v>
      </c>
      <c r="CJ2047" s="2">
        <v>1</v>
      </c>
      <c r="CK2047" s="2">
        <v>21</v>
      </c>
      <c r="CL2047" s="2" t="s">
        <v>89</v>
      </c>
    </row>
    <row r="2048" spans="1:90">
      <c r="A2048" s="2" t="s">
        <v>71</v>
      </c>
      <c r="B2048" s="2" t="s">
        <v>72</v>
      </c>
      <c r="C2048" s="2" t="s">
        <v>73</v>
      </c>
      <c r="E2048" s="2" t="str">
        <f>"FES1162596065"</f>
        <v>FES1162596065</v>
      </c>
      <c r="F2048" s="3">
        <v>43083</v>
      </c>
      <c r="G2048" s="2">
        <v>201806</v>
      </c>
      <c r="H2048" s="2" t="s">
        <v>74</v>
      </c>
      <c r="I2048" s="2" t="s">
        <v>75</v>
      </c>
      <c r="J2048" s="2" t="s">
        <v>97</v>
      </c>
      <c r="K2048" s="2" t="s">
        <v>77</v>
      </c>
      <c r="L2048" s="2" t="s">
        <v>136</v>
      </c>
      <c r="M2048" s="2" t="s">
        <v>137</v>
      </c>
      <c r="N2048" s="2" t="s">
        <v>178</v>
      </c>
      <c r="O2048" s="2" t="s">
        <v>101</v>
      </c>
      <c r="P2048" s="2" t="str">
        <f>"2170607225                    "</f>
        <v xml:space="preserve">2170607225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6.43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45.93</v>
      </c>
      <c r="BM2048" s="2">
        <v>6.43</v>
      </c>
      <c r="BN2048" s="2">
        <v>52.36</v>
      </c>
      <c r="BO2048" s="2">
        <v>52.36</v>
      </c>
      <c r="BQ2048" s="2" t="s">
        <v>102</v>
      </c>
      <c r="BR2048" s="2" t="s">
        <v>103</v>
      </c>
      <c r="BS2048" s="3">
        <v>43084</v>
      </c>
      <c r="BT2048" s="4">
        <v>0.33333333333333331</v>
      </c>
      <c r="BU2048" s="2" t="s">
        <v>2353</v>
      </c>
      <c r="BV2048" s="2" t="s">
        <v>85</v>
      </c>
      <c r="BY2048" s="2">
        <v>1200</v>
      </c>
      <c r="CA2048" s="2" t="s">
        <v>180</v>
      </c>
      <c r="CC2048" s="2" t="s">
        <v>137</v>
      </c>
      <c r="CD2048" s="2">
        <v>6001</v>
      </c>
      <c r="CE2048" s="2" t="s">
        <v>120</v>
      </c>
      <c r="CF2048" s="3">
        <v>43088</v>
      </c>
      <c r="CI2048" s="2">
        <v>1</v>
      </c>
      <c r="CJ2048" s="2">
        <v>1</v>
      </c>
      <c r="CK2048" s="2">
        <v>21</v>
      </c>
      <c r="CL2048" s="2" t="s">
        <v>89</v>
      </c>
    </row>
    <row r="2049" spans="1:90">
      <c r="A2049" s="2" t="s">
        <v>71</v>
      </c>
      <c r="B2049" s="2" t="s">
        <v>72</v>
      </c>
      <c r="C2049" s="2" t="s">
        <v>73</v>
      </c>
      <c r="E2049" s="2" t="str">
        <f>"FES1162595909"</f>
        <v>FES1162595909</v>
      </c>
      <c r="F2049" s="3">
        <v>43083</v>
      </c>
      <c r="G2049" s="2">
        <v>201806</v>
      </c>
      <c r="H2049" s="2" t="s">
        <v>74</v>
      </c>
      <c r="I2049" s="2" t="s">
        <v>75</v>
      </c>
      <c r="J2049" s="2" t="s">
        <v>97</v>
      </c>
      <c r="K2049" s="2" t="s">
        <v>77</v>
      </c>
      <c r="L2049" s="2" t="s">
        <v>136</v>
      </c>
      <c r="M2049" s="2" t="s">
        <v>137</v>
      </c>
      <c r="N2049" s="2" t="s">
        <v>138</v>
      </c>
      <c r="O2049" s="2" t="s">
        <v>101</v>
      </c>
      <c r="P2049" s="2" t="str">
        <f>"2170607742                    "</f>
        <v xml:space="preserve">2170607742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6.43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1</v>
      </c>
      <c r="BJ2049" s="2">
        <v>0.2</v>
      </c>
      <c r="BK2049" s="2">
        <v>1</v>
      </c>
      <c r="BL2049" s="2">
        <v>45.93</v>
      </c>
      <c r="BM2049" s="2">
        <v>6.43</v>
      </c>
      <c r="BN2049" s="2">
        <v>52.36</v>
      </c>
      <c r="BO2049" s="2">
        <v>52.36</v>
      </c>
      <c r="BQ2049" s="2" t="s">
        <v>82</v>
      </c>
      <c r="BR2049" s="2" t="s">
        <v>103</v>
      </c>
      <c r="BS2049" s="3">
        <v>43084</v>
      </c>
      <c r="BT2049" s="4">
        <v>0.375</v>
      </c>
      <c r="BU2049" s="2" t="s">
        <v>139</v>
      </c>
      <c r="BV2049" s="2" t="s">
        <v>85</v>
      </c>
      <c r="BY2049" s="2">
        <v>1200</v>
      </c>
      <c r="CA2049" s="2" t="s">
        <v>140</v>
      </c>
      <c r="CC2049" s="2" t="s">
        <v>137</v>
      </c>
      <c r="CD2049" s="2">
        <v>6001</v>
      </c>
      <c r="CE2049" s="2" t="s">
        <v>120</v>
      </c>
      <c r="CF2049" s="3">
        <v>43088</v>
      </c>
      <c r="CI2049" s="2">
        <v>1</v>
      </c>
      <c r="CJ2049" s="2">
        <v>1</v>
      </c>
      <c r="CK2049" s="2">
        <v>21</v>
      </c>
      <c r="CL2049" s="2" t="s">
        <v>89</v>
      </c>
    </row>
    <row r="2050" spans="1:90">
      <c r="A2050" s="2" t="s">
        <v>71</v>
      </c>
      <c r="B2050" s="2" t="s">
        <v>72</v>
      </c>
      <c r="C2050" s="2" t="s">
        <v>73</v>
      </c>
      <c r="E2050" s="2" t="str">
        <f>"FES1162595969"</f>
        <v>FES1162595969</v>
      </c>
      <c r="F2050" s="3">
        <v>43083</v>
      </c>
      <c r="G2050" s="2">
        <v>201806</v>
      </c>
      <c r="H2050" s="2" t="s">
        <v>74</v>
      </c>
      <c r="I2050" s="2" t="s">
        <v>75</v>
      </c>
      <c r="J2050" s="2" t="s">
        <v>97</v>
      </c>
      <c r="K2050" s="2" t="s">
        <v>77</v>
      </c>
      <c r="L2050" s="2" t="s">
        <v>173</v>
      </c>
      <c r="M2050" s="2" t="s">
        <v>174</v>
      </c>
      <c r="N2050" s="2" t="s">
        <v>2380</v>
      </c>
      <c r="O2050" s="2" t="s">
        <v>101</v>
      </c>
      <c r="P2050" s="2" t="str">
        <f>"2170603979                    "</f>
        <v xml:space="preserve">2170603979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6.43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0.5</v>
      </c>
      <c r="BJ2050" s="2">
        <v>1.4</v>
      </c>
      <c r="BK2050" s="2">
        <v>1.5</v>
      </c>
      <c r="BL2050" s="2">
        <v>45.93</v>
      </c>
      <c r="BM2050" s="2">
        <v>6.43</v>
      </c>
      <c r="BN2050" s="2">
        <v>52.36</v>
      </c>
      <c r="BO2050" s="2">
        <v>52.36</v>
      </c>
      <c r="BR2050" s="2" t="s">
        <v>103</v>
      </c>
      <c r="BS2050" s="3">
        <v>43084</v>
      </c>
      <c r="BT2050" s="4">
        <v>0.49583333333333335</v>
      </c>
      <c r="BU2050" s="2" t="s">
        <v>2381</v>
      </c>
      <c r="BV2050" s="2" t="s">
        <v>89</v>
      </c>
      <c r="BW2050" s="2" t="s">
        <v>149</v>
      </c>
      <c r="BX2050" s="2" t="s">
        <v>246</v>
      </c>
      <c r="BY2050" s="2">
        <v>7002.9</v>
      </c>
      <c r="CA2050" s="2" t="s">
        <v>1221</v>
      </c>
      <c r="CC2050" s="2" t="s">
        <v>174</v>
      </c>
      <c r="CD2050" s="2">
        <v>7405</v>
      </c>
      <c r="CE2050" s="2" t="s">
        <v>95</v>
      </c>
      <c r="CF2050" s="3">
        <v>43087</v>
      </c>
      <c r="CI2050" s="2">
        <v>1</v>
      </c>
      <c r="CJ2050" s="2">
        <v>1</v>
      </c>
      <c r="CK2050" s="2">
        <v>21</v>
      </c>
      <c r="CL2050" s="2" t="s">
        <v>89</v>
      </c>
    </row>
    <row r="2051" spans="1:90">
      <c r="A2051" s="2" t="s">
        <v>71</v>
      </c>
      <c r="B2051" s="2" t="s">
        <v>72</v>
      </c>
      <c r="C2051" s="2" t="s">
        <v>73</v>
      </c>
      <c r="E2051" s="2" t="str">
        <f>"FES1162595983"</f>
        <v>FES1162595983</v>
      </c>
      <c r="F2051" s="3">
        <v>43083</v>
      </c>
      <c r="G2051" s="2">
        <v>201806</v>
      </c>
      <c r="H2051" s="2" t="s">
        <v>74</v>
      </c>
      <c r="I2051" s="2" t="s">
        <v>75</v>
      </c>
      <c r="J2051" s="2" t="s">
        <v>97</v>
      </c>
      <c r="K2051" s="2" t="s">
        <v>77</v>
      </c>
      <c r="L2051" s="2" t="s">
        <v>125</v>
      </c>
      <c r="M2051" s="2" t="s">
        <v>126</v>
      </c>
      <c r="N2051" s="2" t="s">
        <v>141</v>
      </c>
      <c r="O2051" s="2" t="s">
        <v>101</v>
      </c>
      <c r="P2051" s="2" t="str">
        <f>"2170604201                    "</f>
        <v xml:space="preserve">2170604201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6.43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1.4</v>
      </c>
      <c r="BJ2051" s="2">
        <v>0.9</v>
      </c>
      <c r="BK2051" s="2">
        <v>1.5</v>
      </c>
      <c r="BL2051" s="2">
        <v>45.93</v>
      </c>
      <c r="BM2051" s="2">
        <v>6.43</v>
      </c>
      <c r="BN2051" s="2">
        <v>52.36</v>
      </c>
      <c r="BO2051" s="2">
        <v>52.36</v>
      </c>
      <c r="BQ2051" s="2" t="s">
        <v>142</v>
      </c>
      <c r="BR2051" s="2" t="s">
        <v>103</v>
      </c>
      <c r="BS2051" s="3">
        <v>43084</v>
      </c>
      <c r="BT2051" s="4">
        <v>0.38680555555555557</v>
      </c>
      <c r="BU2051" s="2" t="s">
        <v>1444</v>
      </c>
      <c r="BV2051" s="2" t="s">
        <v>85</v>
      </c>
      <c r="BY2051" s="2">
        <v>4653.4799999999996</v>
      </c>
      <c r="CC2051" s="2" t="s">
        <v>126</v>
      </c>
      <c r="CD2051" s="2">
        <v>4067</v>
      </c>
      <c r="CE2051" s="2" t="s">
        <v>87</v>
      </c>
      <c r="CF2051" s="3">
        <v>43087</v>
      </c>
      <c r="CI2051" s="2">
        <v>1</v>
      </c>
      <c r="CJ2051" s="2">
        <v>1</v>
      </c>
      <c r="CK2051" s="2">
        <v>21</v>
      </c>
      <c r="CL2051" s="2" t="s">
        <v>89</v>
      </c>
    </row>
    <row r="2052" spans="1:90">
      <c r="A2052" s="2" t="s">
        <v>71</v>
      </c>
      <c r="B2052" s="2" t="s">
        <v>72</v>
      </c>
      <c r="C2052" s="2" t="s">
        <v>73</v>
      </c>
      <c r="E2052" s="2" t="str">
        <f>"FES1162595947"</f>
        <v>FES1162595947</v>
      </c>
      <c r="F2052" s="3">
        <v>43083</v>
      </c>
      <c r="G2052" s="2">
        <v>201806</v>
      </c>
      <c r="H2052" s="2" t="s">
        <v>74</v>
      </c>
      <c r="I2052" s="2" t="s">
        <v>75</v>
      </c>
      <c r="J2052" s="2" t="s">
        <v>97</v>
      </c>
      <c r="K2052" s="2" t="s">
        <v>77</v>
      </c>
      <c r="L2052" s="2" t="s">
        <v>125</v>
      </c>
      <c r="M2052" s="2" t="s">
        <v>126</v>
      </c>
      <c r="N2052" s="2" t="s">
        <v>955</v>
      </c>
      <c r="O2052" s="2" t="s">
        <v>101</v>
      </c>
      <c r="P2052" s="2" t="str">
        <f>"2170607756                    "</f>
        <v xml:space="preserve">2170607756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6.43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1</v>
      </c>
      <c r="BJ2052" s="2">
        <v>0.2</v>
      </c>
      <c r="BK2052" s="2">
        <v>1</v>
      </c>
      <c r="BL2052" s="2">
        <v>45.93</v>
      </c>
      <c r="BM2052" s="2">
        <v>6.43</v>
      </c>
      <c r="BN2052" s="2">
        <v>52.36</v>
      </c>
      <c r="BO2052" s="2">
        <v>52.36</v>
      </c>
      <c r="BQ2052" s="2" t="s">
        <v>102</v>
      </c>
      <c r="BR2052" s="2" t="s">
        <v>103</v>
      </c>
      <c r="BS2052" s="3">
        <v>43084</v>
      </c>
      <c r="BT2052" s="4">
        <v>0.36249999999999999</v>
      </c>
      <c r="BU2052" s="2" t="s">
        <v>2382</v>
      </c>
      <c r="BV2052" s="2" t="s">
        <v>85</v>
      </c>
      <c r="BY2052" s="2">
        <v>1200</v>
      </c>
      <c r="CA2052" s="2" t="s">
        <v>130</v>
      </c>
      <c r="CC2052" s="2" t="s">
        <v>126</v>
      </c>
      <c r="CD2052" s="2">
        <v>4001</v>
      </c>
      <c r="CE2052" s="2" t="s">
        <v>120</v>
      </c>
      <c r="CF2052" s="3">
        <v>43087</v>
      </c>
      <c r="CI2052" s="2">
        <v>1</v>
      </c>
      <c r="CJ2052" s="2">
        <v>1</v>
      </c>
      <c r="CK2052" s="2">
        <v>21</v>
      </c>
      <c r="CL2052" s="2" t="s">
        <v>89</v>
      </c>
    </row>
    <row r="2053" spans="1:90">
      <c r="A2053" s="2" t="s">
        <v>71</v>
      </c>
      <c r="B2053" s="2" t="s">
        <v>72</v>
      </c>
      <c r="C2053" s="2" t="s">
        <v>73</v>
      </c>
      <c r="E2053" s="2" t="str">
        <f>"FES1162595976"</f>
        <v>FES1162595976</v>
      </c>
      <c r="F2053" s="3">
        <v>43083</v>
      </c>
      <c r="G2053" s="2">
        <v>201806</v>
      </c>
      <c r="H2053" s="2" t="s">
        <v>74</v>
      </c>
      <c r="I2053" s="2" t="s">
        <v>75</v>
      </c>
      <c r="J2053" s="2" t="s">
        <v>97</v>
      </c>
      <c r="K2053" s="2" t="s">
        <v>77</v>
      </c>
      <c r="L2053" s="2" t="s">
        <v>131</v>
      </c>
      <c r="M2053" s="2" t="s">
        <v>132</v>
      </c>
      <c r="N2053" s="2" t="s">
        <v>228</v>
      </c>
      <c r="O2053" s="2" t="s">
        <v>101</v>
      </c>
      <c r="P2053" s="2" t="str">
        <f>"2170604143                    "</f>
        <v xml:space="preserve">2170604143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6.43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1</v>
      </c>
      <c r="BJ2053" s="2">
        <v>0.2</v>
      </c>
      <c r="BK2053" s="2">
        <v>1</v>
      </c>
      <c r="BL2053" s="2">
        <v>45.93</v>
      </c>
      <c r="BM2053" s="2">
        <v>6.43</v>
      </c>
      <c r="BN2053" s="2">
        <v>52.36</v>
      </c>
      <c r="BO2053" s="2">
        <v>52.36</v>
      </c>
      <c r="BQ2053" s="2" t="s">
        <v>229</v>
      </c>
      <c r="BR2053" s="2" t="s">
        <v>103</v>
      </c>
      <c r="BS2053" s="3">
        <v>43084</v>
      </c>
      <c r="BT2053" s="4">
        <v>0.3923611111111111</v>
      </c>
      <c r="BU2053" s="2" t="s">
        <v>230</v>
      </c>
      <c r="BV2053" s="2" t="s">
        <v>85</v>
      </c>
      <c r="BY2053" s="2">
        <v>1200</v>
      </c>
      <c r="CA2053" s="2" t="s">
        <v>231</v>
      </c>
      <c r="CC2053" s="2" t="s">
        <v>132</v>
      </c>
      <c r="CD2053" s="2">
        <v>4300</v>
      </c>
      <c r="CE2053" s="2" t="s">
        <v>120</v>
      </c>
      <c r="CF2053" s="3">
        <v>43087</v>
      </c>
      <c r="CI2053" s="2">
        <v>1</v>
      </c>
      <c r="CJ2053" s="2">
        <v>1</v>
      </c>
      <c r="CK2053" s="2">
        <v>21</v>
      </c>
      <c r="CL2053" s="2" t="s">
        <v>89</v>
      </c>
    </row>
    <row r="2054" spans="1:90">
      <c r="A2054" s="2" t="s">
        <v>71</v>
      </c>
      <c r="B2054" s="2" t="s">
        <v>72</v>
      </c>
      <c r="C2054" s="2" t="s">
        <v>73</v>
      </c>
      <c r="E2054" s="2" t="str">
        <f>"FES1162595873"</f>
        <v>FES1162595873</v>
      </c>
      <c r="F2054" s="3">
        <v>43083</v>
      </c>
      <c r="G2054" s="2">
        <v>201806</v>
      </c>
      <c r="H2054" s="2" t="s">
        <v>74</v>
      </c>
      <c r="I2054" s="2" t="s">
        <v>75</v>
      </c>
      <c r="J2054" s="2" t="s">
        <v>97</v>
      </c>
      <c r="K2054" s="2" t="s">
        <v>77</v>
      </c>
      <c r="L2054" s="2" t="s">
        <v>125</v>
      </c>
      <c r="M2054" s="2" t="s">
        <v>126</v>
      </c>
      <c r="N2054" s="2" t="s">
        <v>576</v>
      </c>
      <c r="O2054" s="2" t="s">
        <v>101</v>
      </c>
      <c r="P2054" s="2" t="str">
        <f>"2170607711                    "</f>
        <v xml:space="preserve">2170607711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6.43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1</v>
      </c>
      <c r="BJ2054" s="2">
        <v>0.2</v>
      </c>
      <c r="BK2054" s="2">
        <v>1</v>
      </c>
      <c r="BL2054" s="2">
        <v>45.93</v>
      </c>
      <c r="BM2054" s="2">
        <v>6.43</v>
      </c>
      <c r="BN2054" s="2">
        <v>52.36</v>
      </c>
      <c r="BO2054" s="2">
        <v>52.36</v>
      </c>
      <c r="BQ2054" s="2" t="s">
        <v>82</v>
      </c>
      <c r="BR2054" s="2" t="s">
        <v>103</v>
      </c>
      <c r="BS2054" s="3">
        <v>43084</v>
      </c>
      <c r="BT2054" s="4">
        <v>0.33333333333333331</v>
      </c>
      <c r="BU2054" s="2" t="s">
        <v>2383</v>
      </c>
      <c r="BV2054" s="2" t="s">
        <v>85</v>
      </c>
      <c r="BY2054" s="2">
        <v>1200</v>
      </c>
      <c r="CA2054" s="2" t="s">
        <v>578</v>
      </c>
      <c r="CC2054" s="2" t="s">
        <v>126</v>
      </c>
      <c r="CD2054" s="2">
        <v>4052</v>
      </c>
      <c r="CE2054" s="2" t="s">
        <v>120</v>
      </c>
      <c r="CF2054" s="3">
        <v>43087</v>
      </c>
      <c r="CI2054" s="2">
        <v>1</v>
      </c>
      <c r="CJ2054" s="2">
        <v>1</v>
      </c>
      <c r="CK2054" s="2">
        <v>21</v>
      </c>
      <c r="CL2054" s="2" t="s">
        <v>89</v>
      </c>
    </row>
    <row r="2055" spans="1:90">
      <c r="A2055" s="2" t="s">
        <v>71</v>
      </c>
      <c r="B2055" s="2" t="s">
        <v>72</v>
      </c>
      <c r="C2055" s="2" t="s">
        <v>73</v>
      </c>
      <c r="E2055" s="2" t="str">
        <f>"FES1162596005"</f>
        <v>FES1162596005</v>
      </c>
      <c r="F2055" s="3">
        <v>43083</v>
      </c>
      <c r="G2055" s="2">
        <v>201806</v>
      </c>
      <c r="H2055" s="2" t="s">
        <v>74</v>
      </c>
      <c r="I2055" s="2" t="s">
        <v>75</v>
      </c>
      <c r="J2055" s="2" t="s">
        <v>97</v>
      </c>
      <c r="K2055" s="2" t="s">
        <v>77</v>
      </c>
      <c r="L2055" s="2" t="s">
        <v>125</v>
      </c>
      <c r="M2055" s="2" t="s">
        <v>126</v>
      </c>
      <c r="N2055" s="2" t="s">
        <v>664</v>
      </c>
      <c r="O2055" s="2" t="s">
        <v>101</v>
      </c>
      <c r="P2055" s="2" t="str">
        <f>"2170604776                    "</f>
        <v xml:space="preserve">2170604776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6.43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0.5</v>
      </c>
      <c r="BK2055" s="2">
        <v>1</v>
      </c>
      <c r="BL2055" s="2">
        <v>45.93</v>
      </c>
      <c r="BM2055" s="2">
        <v>6.43</v>
      </c>
      <c r="BN2055" s="2">
        <v>52.36</v>
      </c>
      <c r="BO2055" s="2">
        <v>52.36</v>
      </c>
      <c r="BQ2055" s="2" t="s">
        <v>102</v>
      </c>
      <c r="BR2055" s="2" t="s">
        <v>103</v>
      </c>
      <c r="BS2055" s="3">
        <v>43084</v>
      </c>
      <c r="BT2055" s="4">
        <v>0.41666666666666669</v>
      </c>
      <c r="BU2055" s="2" t="s">
        <v>665</v>
      </c>
      <c r="BV2055" s="2" t="s">
        <v>85</v>
      </c>
      <c r="BY2055" s="2">
        <v>2400</v>
      </c>
      <c r="CA2055" s="2" t="s">
        <v>666</v>
      </c>
      <c r="CC2055" s="2" t="s">
        <v>126</v>
      </c>
      <c r="CD2055" s="2">
        <v>4001</v>
      </c>
      <c r="CE2055" s="2" t="s">
        <v>120</v>
      </c>
      <c r="CF2055" s="3">
        <v>43087</v>
      </c>
      <c r="CI2055" s="2">
        <v>1</v>
      </c>
      <c r="CJ2055" s="2">
        <v>1</v>
      </c>
      <c r="CK2055" s="2">
        <v>21</v>
      </c>
      <c r="CL2055" s="2" t="s">
        <v>89</v>
      </c>
    </row>
    <row r="2056" spans="1:90">
      <c r="A2056" s="2" t="s">
        <v>71</v>
      </c>
      <c r="B2056" s="2" t="s">
        <v>72</v>
      </c>
      <c r="C2056" s="2" t="s">
        <v>73</v>
      </c>
      <c r="E2056" s="2" t="str">
        <f>"FES1162595978"</f>
        <v>FES1162595978</v>
      </c>
      <c r="F2056" s="3">
        <v>43083</v>
      </c>
      <c r="G2056" s="2">
        <v>201806</v>
      </c>
      <c r="H2056" s="2" t="s">
        <v>74</v>
      </c>
      <c r="I2056" s="2" t="s">
        <v>75</v>
      </c>
      <c r="J2056" s="2" t="s">
        <v>97</v>
      </c>
      <c r="K2056" s="2" t="s">
        <v>77</v>
      </c>
      <c r="L2056" s="2" t="s">
        <v>158</v>
      </c>
      <c r="M2056" s="2" t="s">
        <v>159</v>
      </c>
      <c r="N2056" s="2" t="s">
        <v>976</v>
      </c>
      <c r="O2056" s="2" t="s">
        <v>101</v>
      </c>
      <c r="P2056" s="2" t="str">
        <f>"2170604176                    "</f>
        <v xml:space="preserve">2170604176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6.43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1</v>
      </c>
      <c r="BJ2056" s="2">
        <v>0.2</v>
      </c>
      <c r="BK2056" s="2">
        <v>1</v>
      </c>
      <c r="BL2056" s="2">
        <v>45.93</v>
      </c>
      <c r="BM2056" s="2">
        <v>6.43</v>
      </c>
      <c r="BN2056" s="2">
        <v>52.36</v>
      </c>
      <c r="BO2056" s="2">
        <v>52.36</v>
      </c>
      <c r="BQ2056" s="2" t="s">
        <v>82</v>
      </c>
      <c r="BR2056" s="2" t="s">
        <v>103</v>
      </c>
      <c r="BS2056" s="3">
        <v>43084</v>
      </c>
      <c r="BT2056" s="4">
        <v>0.4548611111111111</v>
      </c>
      <c r="BU2056" s="2" t="s">
        <v>2384</v>
      </c>
      <c r="BV2056" s="2" t="s">
        <v>85</v>
      </c>
      <c r="BY2056" s="2">
        <v>1200</v>
      </c>
      <c r="CA2056" s="2" t="s">
        <v>362</v>
      </c>
      <c r="CC2056" s="2" t="s">
        <v>159</v>
      </c>
      <c r="CD2056" s="2">
        <v>200</v>
      </c>
      <c r="CE2056" s="2" t="s">
        <v>120</v>
      </c>
      <c r="CF2056" s="3">
        <v>43088</v>
      </c>
      <c r="CI2056" s="2">
        <v>1</v>
      </c>
      <c r="CJ2056" s="2">
        <v>1</v>
      </c>
      <c r="CK2056" s="2">
        <v>21</v>
      </c>
      <c r="CL2056" s="2" t="s">
        <v>89</v>
      </c>
    </row>
    <row r="2057" spans="1:90">
      <c r="A2057" s="2" t="s">
        <v>71</v>
      </c>
      <c r="B2057" s="2" t="s">
        <v>72</v>
      </c>
      <c r="C2057" s="2" t="s">
        <v>73</v>
      </c>
      <c r="E2057" s="2" t="str">
        <f>"FES1162596056"</f>
        <v>FES1162596056</v>
      </c>
      <c r="F2057" s="3">
        <v>43083</v>
      </c>
      <c r="G2057" s="2">
        <v>201806</v>
      </c>
      <c r="H2057" s="2" t="s">
        <v>74</v>
      </c>
      <c r="I2057" s="2" t="s">
        <v>75</v>
      </c>
      <c r="J2057" s="2" t="s">
        <v>97</v>
      </c>
      <c r="K2057" s="2" t="s">
        <v>77</v>
      </c>
      <c r="L2057" s="2" t="s">
        <v>551</v>
      </c>
      <c r="M2057" s="2" t="s">
        <v>552</v>
      </c>
      <c r="N2057" s="2" t="s">
        <v>1002</v>
      </c>
      <c r="O2057" s="2" t="s">
        <v>101</v>
      </c>
      <c r="P2057" s="2" t="str">
        <f>"2170607287                    "</f>
        <v xml:space="preserve">2170607287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6.43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1</v>
      </c>
      <c r="BJ2057" s="2">
        <v>0.2</v>
      </c>
      <c r="BK2057" s="2">
        <v>1</v>
      </c>
      <c r="BL2057" s="2">
        <v>45.93</v>
      </c>
      <c r="BM2057" s="2">
        <v>6.43</v>
      </c>
      <c r="BN2057" s="2">
        <v>52.36</v>
      </c>
      <c r="BO2057" s="2">
        <v>52.36</v>
      </c>
      <c r="BQ2057" s="2" t="s">
        <v>102</v>
      </c>
      <c r="BR2057" s="2" t="s">
        <v>103</v>
      </c>
      <c r="BS2057" s="3">
        <v>43087</v>
      </c>
      <c r="BT2057" s="4">
        <v>0.50208333333333333</v>
      </c>
      <c r="BU2057" s="2" t="s">
        <v>1003</v>
      </c>
      <c r="BV2057" s="2" t="s">
        <v>89</v>
      </c>
      <c r="BW2057" s="2" t="s">
        <v>471</v>
      </c>
      <c r="BX2057" s="2" t="s">
        <v>1390</v>
      </c>
      <c r="BY2057" s="2">
        <v>1200</v>
      </c>
      <c r="CA2057" s="2" t="s">
        <v>555</v>
      </c>
      <c r="CC2057" s="2" t="s">
        <v>552</v>
      </c>
      <c r="CD2057" s="2">
        <v>3310</v>
      </c>
      <c r="CE2057" s="2" t="s">
        <v>120</v>
      </c>
      <c r="CF2057" s="3">
        <v>43088</v>
      </c>
      <c r="CI2057" s="2">
        <v>1</v>
      </c>
      <c r="CJ2057" s="2">
        <v>2</v>
      </c>
      <c r="CK2057" s="2">
        <v>21</v>
      </c>
      <c r="CL2057" s="2" t="s">
        <v>89</v>
      </c>
    </row>
    <row r="2058" spans="1:90">
      <c r="A2058" s="2" t="s">
        <v>71</v>
      </c>
      <c r="B2058" s="2" t="s">
        <v>72</v>
      </c>
      <c r="C2058" s="2" t="s">
        <v>73</v>
      </c>
      <c r="E2058" s="2" t="str">
        <f>"FES1162595971"</f>
        <v>FES1162595971</v>
      </c>
      <c r="F2058" s="3">
        <v>43083</v>
      </c>
      <c r="G2058" s="2">
        <v>201806</v>
      </c>
      <c r="H2058" s="2" t="s">
        <v>74</v>
      </c>
      <c r="I2058" s="2" t="s">
        <v>75</v>
      </c>
      <c r="J2058" s="2" t="s">
        <v>97</v>
      </c>
      <c r="K2058" s="2" t="s">
        <v>77</v>
      </c>
      <c r="L2058" s="2" t="s">
        <v>221</v>
      </c>
      <c r="M2058" s="2" t="s">
        <v>222</v>
      </c>
      <c r="N2058" s="2" t="s">
        <v>2385</v>
      </c>
      <c r="O2058" s="2" t="s">
        <v>101</v>
      </c>
      <c r="P2058" s="2" t="str">
        <f>"2170604029                    "</f>
        <v xml:space="preserve">2170604029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6.43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1</v>
      </c>
      <c r="BJ2058" s="2">
        <v>0.2</v>
      </c>
      <c r="BK2058" s="2">
        <v>1</v>
      </c>
      <c r="BL2058" s="2">
        <v>45.93</v>
      </c>
      <c r="BM2058" s="2">
        <v>6.43</v>
      </c>
      <c r="BN2058" s="2">
        <v>52.36</v>
      </c>
      <c r="BO2058" s="2">
        <v>52.36</v>
      </c>
      <c r="BQ2058" s="2" t="s">
        <v>2386</v>
      </c>
      <c r="BR2058" s="2" t="s">
        <v>103</v>
      </c>
      <c r="BS2058" s="3">
        <v>43087</v>
      </c>
      <c r="BT2058" s="4">
        <v>0.33333333333333331</v>
      </c>
      <c r="BU2058" s="2" t="s">
        <v>2387</v>
      </c>
      <c r="BV2058" s="2" t="s">
        <v>89</v>
      </c>
      <c r="BY2058" s="2">
        <v>1200</v>
      </c>
      <c r="CC2058" s="2" t="s">
        <v>222</v>
      </c>
      <c r="CD2058" s="2">
        <v>4133</v>
      </c>
      <c r="CE2058" s="2" t="s">
        <v>120</v>
      </c>
      <c r="CF2058" s="3">
        <v>43088</v>
      </c>
      <c r="CI2058" s="2">
        <v>1</v>
      </c>
      <c r="CJ2058" s="2">
        <v>2</v>
      </c>
      <c r="CK2058" s="2">
        <v>21</v>
      </c>
      <c r="CL2058" s="2" t="s">
        <v>89</v>
      </c>
    </row>
    <row r="2059" spans="1:90">
      <c r="A2059" s="2" t="s">
        <v>71</v>
      </c>
      <c r="B2059" s="2" t="s">
        <v>72</v>
      </c>
      <c r="C2059" s="2" t="s">
        <v>73</v>
      </c>
      <c r="E2059" s="2" t="str">
        <f>"FES1162595954"</f>
        <v>FES1162595954</v>
      </c>
      <c r="F2059" s="3">
        <v>43083</v>
      </c>
      <c r="G2059" s="2">
        <v>201806</v>
      </c>
      <c r="H2059" s="2" t="s">
        <v>74</v>
      </c>
      <c r="I2059" s="2" t="s">
        <v>75</v>
      </c>
      <c r="J2059" s="2" t="s">
        <v>97</v>
      </c>
      <c r="K2059" s="2" t="s">
        <v>77</v>
      </c>
      <c r="L2059" s="2" t="s">
        <v>131</v>
      </c>
      <c r="M2059" s="2" t="s">
        <v>132</v>
      </c>
      <c r="N2059" s="2" t="s">
        <v>228</v>
      </c>
      <c r="O2059" s="2" t="s">
        <v>101</v>
      </c>
      <c r="P2059" s="2" t="str">
        <f>"2170607765                    "</f>
        <v xml:space="preserve">2170607765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6.43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45.93</v>
      </c>
      <c r="BM2059" s="2">
        <v>6.43</v>
      </c>
      <c r="BN2059" s="2">
        <v>52.36</v>
      </c>
      <c r="BO2059" s="2">
        <v>52.36</v>
      </c>
      <c r="BQ2059" s="2" t="s">
        <v>229</v>
      </c>
      <c r="BR2059" s="2" t="s">
        <v>103</v>
      </c>
      <c r="BS2059" s="3">
        <v>43084</v>
      </c>
      <c r="BT2059" s="4">
        <v>0.3923611111111111</v>
      </c>
      <c r="BU2059" s="2" t="s">
        <v>230</v>
      </c>
      <c r="BV2059" s="2" t="s">
        <v>85</v>
      </c>
      <c r="BY2059" s="2">
        <v>1200</v>
      </c>
      <c r="CA2059" s="2" t="s">
        <v>231</v>
      </c>
      <c r="CC2059" s="2" t="s">
        <v>132</v>
      </c>
      <c r="CD2059" s="2">
        <v>4300</v>
      </c>
      <c r="CE2059" s="2" t="s">
        <v>120</v>
      </c>
      <c r="CF2059" s="3">
        <v>43087</v>
      </c>
      <c r="CI2059" s="2">
        <v>1</v>
      </c>
      <c r="CJ2059" s="2">
        <v>1</v>
      </c>
      <c r="CK2059" s="2">
        <v>21</v>
      </c>
      <c r="CL2059" s="2" t="s">
        <v>89</v>
      </c>
    </row>
    <row r="2060" spans="1:90">
      <c r="A2060" s="2" t="s">
        <v>71</v>
      </c>
      <c r="B2060" s="2" t="s">
        <v>72</v>
      </c>
      <c r="C2060" s="2" t="s">
        <v>73</v>
      </c>
      <c r="E2060" s="2" t="str">
        <f>"FES1162595877"</f>
        <v>FES1162595877</v>
      </c>
      <c r="F2060" s="3">
        <v>43083</v>
      </c>
      <c r="G2060" s="2">
        <v>201806</v>
      </c>
      <c r="H2060" s="2" t="s">
        <v>74</v>
      </c>
      <c r="I2060" s="2" t="s">
        <v>75</v>
      </c>
      <c r="J2060" s="2" t="s">
        <v>97</v>
      </c>
      <c r="K2060" s="2" t="s">
        <v>77</v>
      </c>
      <c r="L2060" s="2" t="s">
        <v>221</v>
      </c>
      <c r="M2060" s="2" t="s">
        <v>222</v>
      </c>
      <c r="N2060" s="2" t="s">
        <v>164</v>
      </c>
      <c r="O2060" s="2" t="s">
        <v>101</v>
      </c>
      <c r="P2060" s="2" t="str">
        <f>"2170605779                    "</f>
        <v xml:space="preserve">2170605779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6.43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1</v>
      </c>
      <c r="BJ2060" s="2">
        <v>0.2</v>
      </c>
      <c r="BK2060" s="2">
        <v>1</v>
      </c>
      <c r="BL2060" s="2">
        <v>45.93</v>
      </c>
      <c r="BM2060" s="2">
        <v>6.43</v>
      </c>
      <c r="BN2060" s="2">
        <v>52.36</v>
      </c>
      <c r="BO2060" s="2">
        <v>52.36</v>
      </c>
      <c r="BQ2060" s="2" t="s">
        <v>102</v>
      </c>
      <c r="BR2060" s="2" t="s">
        <v>103</v>
      </c>
      <c r="BS2060" s="3">
        <v>43084</v>
      </c>
      <c r="BT2060" s="4">
        <v>0.41041666666666665</v>
      </c>
      <c r="BU2060" s="2" t="s">
        <v>1455</v>
      </c>
      <c r="BV2060" s="2" t="s">
        <v>85</v>
      </c>
      <c r="BY2060" s="2">
        <v>1200</v>
      </c>
      <c r="CA2060" s="2" t="s">
        <v>225</v>
      </c>
      <c r="CC2060" s="2" t="s">
        <v>222</v>
      </c>
      <c r="CD2060" s="2">
        <v>4133</v>
      </c>
      <c r="CE2060" s="2" t="s">
        <v>120</v>
      </c>
      <c r="CF2060" s="3">
        <v>43087</v>
      </c>
      <c r="CI2060" s="2">
        <v>1</v>
      </c>
      <c r="CJ2060" s="2">
        <v>1</v>
      </c>
      <c r="CK2060" s="2">
        <v>21</v>
      </c>
      <c r="CL2060" s="2" t="s">
        <v>89</v>
      </c>
    </row>
    <row r="2061" spans="1:90">
      <c r="A2061" s="2" t="s">
        <v>71</v>
      </c>
      <c r="B2061" s="2" t="s">
        <v>72</v>
      </c>
      <c r="C2061" s="2" t="s">
        <v>73</v>
      </c>
      <c r="E2061" s="2" t="str">
        <f>"FES1162595896"</f>
        <v>FES1162595896</v>
      </c>
      <c r="F2061" s="3">
        <v>43083</v>
      </c>
      <c r="G2061" s="2">
        <v>201806</v>
      </c>
      <c r="H2061" s="2" t="s">
        <v>74</v>
      </c>
      <c r="I2061" s="2" t="s">
        <v>75</v>
      </c>
      <c r="J2061" s="2" t="s">
        <v>97</v>
      </c>
      <c r="K2061" s="2" t="s">
        <v>77</v>
      </c>
      <c r="L2061" s="2" t="s">
        <v>168</v>
      </c>
      <c r="M2061" s="2" t="s">
        <v>169</v>
      </c>
      <c r="N2061" s="2" t="s">
        <v>217</v>
      </c>
      <c r="O2061" s="2" t="s">
        <v>101</v>
      </c>
      <c r="P2061" s="2" t="str">
        <f>"2170607522                    "</f>
        <v xml:space="preserve">2170607522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6.43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1</v>
      </c>
      <c r="BJ2061" s="2">
        <v>0.2</v>
      </c>
      <c r="BK2061" s="2">
        <v>1</v>
      </c>
      <c r="BL2061" s="2">
        <v>45.93</v>
      </c>
      <c r="BM2061" s="2">
        <v>6.43</v>
      </c>
      <c r="BN2061" s="2">
        <v>52.36</v>
      </c>
      <c r="BO2061" s="2">
        <v>52.36</v>
      </c>
      <c r="BQ2061" s="2" t="s">
        <v>102</v>
      </c>
      <c r="BR2061" s="2" t="s">
        <v>103</v>
      </c>
      <c r="BS2061" s="3">
        <v>43084</v>
      </c>
      <c r="BT2061" s="4">
        <v>0.43055555555555558</v>
      </c>
      <c r="BU2061" s="2" t="s">
        <v>1074</v>
      </c>
      <c r="BV2061" s="2" t="s">
        <v>85</v>
      </c>
      <c r="BY2061" s="2">
        <v>1200</v>
      </c>
      <c r="CA2061" s="2" t="s">
        <v>220</v>
      </c>
      <c r="CC2061" s="2" t="s">
        <v>169</v>
      </c>
      <c r="CD2061" s="2">
        <v>3620</v>
      </c>
      <c r="CE2061" s="2" t="s">
        <v>120</v>
      </c>
      <c r="CF2061" s="3">
        <v>43087</v>
      </c>
      <c r="CI2061" s="2">
        <v>1</v>
      </c>
      <c r="CJ2061" s="2">
        <v>1</v>
      </c>
      <c r="CK2061" s="2">
        <v>21</v>
      </c>
      <c r="CL2061" s="2" t="s">
        <v>89</v>
      </c>
    </row>
    <row r="2062" spans="1:90">
      <c r="A2062" s="2" t="s">
        <v>71</v>
      </c>
      <c r="B2062" s="2" t="s">
        <v>72</v>
      </c>
      <c r="C2062" s="2" t="s">
        <v>73</v>
      </c>
      <c r="E2062" s="2" t="str">
        <f>"FES1162595922"</f>
        <v>FES1162595922</v>
      </c>
      <c r="F2062" s="3">
        <v>43083</v>
      </c>
      <c r="G2062" s="2">
        <v>201806</v>
      </c>
      <c r="H2062" s="2" t="s">
        <v>74</v>
      </c>
      <c r="I2062" s="2" t="s">
        <v>75</v>
      </c>
      <c r="J2062" s="2" t="s">
        <v>97</v>
      </c>
      <c r="K2062" s="2" t="s">
        <v>77</v>
      </c>
      <c r="L2062" s="2" t="s">
        <v>125</v>
      </c>
      <c r="M2062" s="2" t="s">
        <v>126</v>
      </c>
      <c r="N2062" s="2" t="s">
        <v>930</v>
      </c>
      <c r="O2062" s="2" t="s">
        <v>101</v>
      </c>
      <c r="P2062" s="2" t="str">
        <f>"2170604045                    "</f>
        <v xml:space="preserve">2170604045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6.43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1</v>
      </c>
      <c r="BJ2062" s="2">
        <v>0.2</v>
      </c>
      <c r="BK2062" s="2">
        <v>1</v>
      </c>
      <c r="BL2062" s="2">
        <v>45.93</v>
      </c>
      <c r="BM2062" s="2">
        <v>6.43</v>
      </c>
      <c r="BN2062" s="2">
        <v>52.36</v>
      </c>
      <c r="BO2062" s="2">
        <v>52.36</v>
      </c>
      <c r="BQ2062" s="2" t="s">
        <v>1314</v>
      </c>
      <c r="BR2062" s="2" t="s">
        <v>103</v>
      </c>
      <c r="BS2062" s="3">
        <v>43084</v>
      </c>
      <c r="BT2062" s="4">
        <v>0.33611111111111108</v>
      </c>
      <c r="BU2062" s="2" t="s">
        <v>1999</v>
      </c>
      <c r="BV2062" s="2" t="s">
        <v>85</v>
      </c>
      <c r="BY2062" s="2">
        <v>1200</v>
      </c>
      <c r="CA2062" s="2" t="s">
        <v>1313</v>
      </c>
      <c r="CC2062" s="2" t="s">
        <v>126</v>
      </c>
      <c r="CD2062" s="2">
        <v>4072</v>
      </c>
      <c r="CE2062" s="2" t="s">
        <v>120</v>
      </c>
      <c r="CF2062" s="3">
        <v>43087</v>
      </c>
      <c r="CI2062" s="2">
        <v>1</v>
      </c>
      <c r="CJ2062" s="2">
        <v>1</v>
      </c>
      <c r="CK2062" s="2">
        <v>21</v>
      </c>
      <c r="CL2062" s="2" t="s">
        <v>89</v>
      </c>
    </row>
    <row r="2063" spans="1:90">
      <c r="A2063" s="2" t="s">
        <v>71</v>
      </c>
      <c r="B2063" s="2" t="s">
        <v>72</v>
      </c>
      <c r="C2063" s="2" t="s">
        <v>73</v>
      </c>
      <c r="E2063" s="2" t="str">
        <f>"FES1162595967"</f>
        <v>FES1162595967</v>
      </c>
      <c r="F2063" s="3">
        <v>43083</v>
      </c>
      <c r="G2063" s="2">
        <v>201806</v>
      </c>
      <c r="H2063" s="2" t="s">
        <v>74</v>
      </c>
      <c r="I2063" s="2" t="s">
        <v>75</v>
      </c>
      <c r="J2063" s="2" t="s">
        <v>97</v>
      </c>
      <c r="K2063" s="2" t="s">
        <v>77</v>
      </c>
      <c r="L2063" s="2" t="s">
        <v>125</v>
      </c>
      <c r="M2063" s="2" t="s">
        <v>126</v>
      </c>
      <c r="N2063" s="2" t="s">
        <v>664</v>
      </c>
      <c r="O2063" s="2" t="s">
        <v>101</v>
      </c>
      <c r="P2063" s="2" t="str">
        <f>"2170603871                    "</f>
        <v xml:space="preserve">2170603871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6.43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1</v>
      </c>
      <c r="BJ2063" s="2">
        <v>0.2</v>
      </c>
      <c r="BK2063" s="2">
        <v>1</v>
      </c>
      <c r="BL2063" s="2">
        <v>45.93</v>
      </c>
      <c r="BM2063" s="2">
        <v>6.43</v>
      </c>
      <c r="BN2063" s="2">
        <v>52.36</v>
      </c>
      <c r="BO2063" s="2">
        <v>52.36</v>
      </c>
      <c r="BQ2063" s="2" t="s">
        <v>102</v>
      </c>
      <c r="BR2063" s="2" t="s">
        <v>103</v>
      </c>
      <c r="BS2063" s="3">
        <v>43084</v>
      </c>
      <c r="BT2063" s="4">
        <v>0.41666666666666669</v>
      </c>
      <c r="BU2063" s="2" t="s">
        <v>665</v>
      </c>
      <c r="BV2063" s="2" t="s">
        <v>85</v>
      </c>
      <c r="BY2063" s="2">
        <v>1200</v>
      </c>
      <c r="CA2063" s="2" t="s">
        <v>666</v>
      </c>
      <c r="CC2063" s="2" t="s">
        <v>126</v>
      </c>
      <c r="CD2063" s="2">
        <v>4001</v>
      </c>
      <c r="CE2063" s="2" t="s">
        <v>120</v>
      </c>
      <c r="CF2063" s="3">
        <v>43087</v>
      </c>
      <c r="CI2063" s="2">
        <v>1</v>
      </c>
      <c r="CJ2063" s="2">
        <v>1</v>
      </c>
      <c r="CK2063" s="2">
        <v>21</v>
      </c>
      <c r="CL2063" s="2" t="s">
        <v>89</v>
      </c>
    </row>
    <row r="2064" spans="1:90">
      <c r="A2064" s="2" t="s">
        <v>71</v>
      </c>
      <c r="B2064" s="2" t="s">
        <v>72</v>
      </c>
      <c r="C2064" s="2" t="s">
        <v>73</v>
      </c>
      <c r="E2064" s="2" t="str">
        <f>"FES1162596043"</f>
        <v>FES1162596043</v>
      </c>
      <c r="F2064" s="3">
        <v>43083</v>
      </c>
      <c r="G2064" s="2">
        <v>201806</v>
      </c>
      <c r="H2064" s="2" t="s">
        <v>74</v>
      </c>
      <c r="I2064" s="2" t="s">
        <v>75</v>
      </c>
      <c r="J2064" s="2" t="s">
        <v>97</v>
      </c>
      <c r="K2064" s="2" t="s">
        <v>77</v>
      </c>
      <c r="L2064" s="2" t="s">
        <v>168</v>
      </c>
      <c r="M2064" s="2" t="s">
        <v>169</v>
      </c>
      <c r="N2064" s="2" t="s">
        <v>1142</v>
      </c>
      <c r="O2064" s="2" t="s">
        <v>101</v>
      </c>
      <c r="P2064" s="2" t="str">
        <f>"2170607781                    "</f>
        <v xml:space="preserve">2170607781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6.43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1</v>
      </c>
      <c r="BJ2064" s="2">
        <v>0.2</v>
      </c>
      <c r="BK2064" s="2">
        <v>1</v>
      </c>
      <c r="BL2064" s="2">
        <v>45.93</v>
      </c>
      <c r="BM2064" s="2">
        <v>6.43</v>
      </c>
      <c r="BN2064" s="2">
        <v>52.36</v>
      </c>
      <c r="BO2064" s="2">
        <v>52.36</v>
      </c>
      <c r="BQ2064" s="2" t="s">
        <v>102</v>
      </c>
      <c r="BR2064" s="2" t="s">
        <v>103</v>
      </c>
      <c r="BS2064" s="3">
        <v>43084</v>
      </c>
      <c r="BT2064" s="4">
        <v>0.38541666666666669</v>
      </c>
      <c r="BU2064" s="2" t="s">
        <v>2275</v>
      </c>
      <c r="BV2064" s="2" t="s">
        <v>85</v>
      </c>
      <c r="BY2064" s="2">
        <v>1200</v>
      </c>
      <c r="CA2064" s="2" t="s">
        <v>172</v>
      </c>
      <c r="CC2064" s="2" t="s">
        <v>169</v>
      </c>
      <c r="CD2064" s="2">
        <v>3610</v>
      </c>
      <c r="CE2064" s="2" t="s">
        <v>120</v>
      </c>
      <c r="CF2064" s="3">
        <v>43087</v>
      </c>
      <c r="CI2064" s="2">
        <v>1</v>
      </c>
      <c r="CJ2064" s="2">
        <v>1</v>
      </c>
      <c r="CK2064" s="2">
        <v>21</v>
      </c>
      <c r="CL2064" s="2" t="s">
        <v>89</v>
      </c>
    </row>
    <row r="2065" spans="1:90">
      <c r="A2065" s="2" t="s">
        <v>71</v>
      </c>
      <c r="B2065" s="2" t="s">
        <v>72</v>
      </c>
      <c r="C2065" s="2" t="s">
        <v>73</v>
      </c>
      <c r="E2065" s="2" t="str">
        <f>"FES1162596038"</f>
        <v>FES1162596038</v>
      </c>
      <c r="F2065" s="3">
        <v>43083</v>
      </c>
      <c r="G2065" s="2">
        <v>201806</v>
      </c>
      <c r="H2065" s="2" t="s">
        <v>74</v>
      </c>
      <c r="I2065" s="2" t="s">
        <v>75</v>
      </c>
      <c r="J2065" s="2" t="s">
        <v>97</v>
      </c>
      <c r="K2065" s="2" t="s">
        <v>77</v>
      </c>
      <c r="L2065" s="2" t="s">
        <v>168</v>
      </c>
      <c r="M2065" s="2" t="s">
        <v>169</v>
      </c>
      <c r="N2065" s="2" t="s">
        <v>351</v>
      </c>
      <c r="O2065" s="2" t="s">
        <v>101</v>
      </c>
      <c r="P2065" s="2" t="str">
        <f>"2170607778                    "</f>
        <v xml:space="preserve">2170607778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6.43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2</v>
      </c>
      <c r="BJ2065" s="2">
        <v>0.1</v>
      </c>
      <c r="BK2065" s="2">
        <v>2</v>
      </c>
      <c r="BL2065" s="2">
        <v>45.93</v>
      </c>
      <c r="BM2065" s="2">
        <v>6.43</v>
      </c>
      <c r="BN2065" s="2">
        <v>52.36</v>
      </c>
      <c r="BO2065" s="2">
        <v>52.36</v>
      </c>
      <c r="BQ2065" s="2" t="s">
        <v>102</v>
      </c>
      <c r="BR2065" s="2" t="s">
        <v>103</v>
      </c>
      <c r="BS2065" s="3">
        <v>43084</v>
      </c>
      <c r="BT2065" s="4">
        <v>0.3354166666666667</v>
      </c>
      <c r="BU2065" s="2" t="s">
        <v>868</v>
      </c>
      <c r="BV2065" s="2" t="s">
        <v>85</v>
      </c>
      <c r="BY2065" s="2">
        <v>725</v>
      </c>
      <c r="CA2065" s="2" t="s">
        <v>220</v>
      </c>
      <c r="CC2065" s="2" t="s">
        <v>169</v>
      </c>
      <c r="CD2065" s="2">
        <v>3610</v>
      </c>
      <c r="CE2065" s="2" t="s">
        <v>87</v>
      </c>
      <c r="CF2065" s="3">
        <v>43087</v>
      </c>
      <c r="CI2065" s="2">
        <v>1</v>
      </c>
      <c r="CJ2065" s="2">
        <v>1</v>
      </c>
      <c r="CK2065" s="2">
        <v>21</v>
      </c>
      <c r="CL2065" s="2" t="s">
        <v>89</v>
      </c>
    </row>
    <row r="2066" spans="1:90">
      <c r="A2066" s="2" t="s">
        <v>71</v>
      </c>
      <c r="B2066" s="2" t="s">
        <v>72</v>
      </c>
      <c r="C2066" s="2" t="s">
        <v>73</v>
      </c>
      <c r="E2066" s="2" t="str">
        <f>"FES1162595923"</f>
        <v>FES1162595923</v>
      </c>
      <c r="F2066" s="3">
        <v>43083</v>
      </c>
      <c r="G2066" s="2">
        <v>201806</v>
      </c>
      <c r="H2066" s="2" t="s">
        <v>74</v>
      </c>
      <c r="I2066" s="2" t="s">
        <v>75</v>
      </c>
      <c r="J2066" s="2" t="s">
        <v>97</v>
      </c>
      <c r="K2066" s="2" t="s">
        <v>77</v>
      </c>
      <c r="L2066" s="2" t="s">
        <v>131</v>
      </c>
      <c r="M2066" s="2" t="s">
        <v>132</v>
      </c>
      <c r="N2066" s="2" t="s">
        <v>228</v>
      </c>
      <c r="O2066" s="2" t="s">
        <v>101</v>
      </c>
      <c r="P2066" s="2" t="str">
        <f>"2170604143                    "</f>
        <v xml:space="preserve">2170604143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6.43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1.8</v>
      </c>
      <c r="BJ2066" s="2">
        <v>1.4</v>
      </c>
      <c r="BK2066" s="2">
        <v>2</v>
      </c>
      <c r="BL2066" s="2">
        <v>45.93</v>
      </c>
      <c r="BM2066" s="2">
        <v>6.43</v>
      </c>
      <c r="BN2066" s="2">
        <v>52.36</v>
      </c>
      <c r="BO2066" s="2">
        <v>52.36</v>
      </c>
      <c r="BQ2066" s="2" t="s">
        <v>229</v>
      </c>
      <c r="BR2066" s="2" t="s">
        <v>103</v>
      </c>
      <c r="BS2066" s="3">
        <v>43084</v>
      </c>
      <c r="BT2066" s="4">
        <v>0.3923611111111111</v>
      </c>
      <c r="BU2066" s="2" t="s">
        <v>230</v>
      </c>
      <c r="BV2066" s="2" t="s">
        <v>85</v>
      </c>
      <c r="BY2066" s="2">
        <v>6972.45</v>
      </c>
      <c r="CA2066" s="2" t="s">
        <v>231</v>
      </c>
      <c r="CC2066" s="2" t="s">
        <v>132</v>
      </c>
      <c r="CD2066" s="2">
        <v>4300</v>
      </c>
      <c r="CE2066" s="2" t="s">
        <v>87</v>
      </c>
      <c r="CF2066" s="3">
        <v>43087</v>
      </c>
      <c r="CI2066" s="2">
        <v>1</v>
      </c>
      <c r="CJ2066" s="2">
        <v>1</v>
      </c>
      <c r="CK2066" s="2">
        <v>21</v>
      </c>
      <c r="CL2066" s="2" t="s">
        <v>89</v>
      </c>
    </row>
    <row r="2067" spans="1:90">
      <c r="A2067" s="2" t="s">
        <v>71</v>
      </c>
      <c r="B2067" s="2" t="s">
        <v>72</v>
      </c>
      <c r="C2067" s="2" t="s">
        <v>73</v>
      </c>
      <c r="E2067" s="2" t="str">
        <f>"FES1162596107"</f>
        <v>FES1162596107</v>
      </c>
      <c r="F2067" s="3">
        <v>43083</v>
      </c>
      <c r="G2067" s="2">
        <v>201806</v>
      </c>
      <c r="H2067" s="2" t="s">
        <v>74</v>
      </c>
      <c r="I2067" s="2" t="s">
        <v>75</v>
      </c>
      <c r="J2067" s="2" t="s">
        <v>97</v>
      </c>
      <c r="K2067" s="2" t="s">
        <v>77</v>
      </c>
      <c r="L2067" s="2" t="s">
        <v>136</v>
      </c>
      <c r="M2067" s="2" t="s">
        <v>137</v>
      </c>
      <c r="N2067" s="2" t="s">
        <v>138</v>
      </c>
      <c r="O2067" s="2" t="s">
        <v>101</v>
      </c>
      <c r="P2067" s="2" t="str">
        <f>"2170602462                    "</f>
        <v xml:space="preserve">2170602462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16.079999999999998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5</v>
      </c>
      <c r="BJ2067" s="2">
        <v>4.0999999999999996</v>
      </c>
      <c r="BK2067" s="2">
        <v>5</v>
      </c>
      <c r="BL2067" s="2">
        <v>114.8</v>
      </c>
      <c r="BM2067" s="2">
        <v>16.07</v>
      </c>
      <c r="BN2067" s="2">
        <v>130.87</v>
      </c>
      <c r="BO2067" s="2">
        <v>130.87</v>
      </c>
      <c r="BQ2067" s="2" t="s">
        <v>82</v>
      </c>
      <c r="BR2067" s="2" t="s">
        <v>103</v>
      </c>
      <c r="BS2067" s="3">
        <v>43084</v>
      </c>
      <c r="BT2067" s="4">
        <v>0.375</v>
      </c>
      <c r="BU2067" s="2" t="s">
        <v>139</v>
      </c>
      <c r="BV2067" s="2" t="s">
        <v>85</v>
      </c>
      <c r="BY2067" s="2">
        <v>20511.64</v>
      </c>
      <c r="CA2067" s="2" t="s">
        <v>140</v>
      </c>
      <c r="CC2067" s="2" t="s">
        <v>137</v>
      </c>
      <c r="CD2067" s="2">
        <v>6001</v>
      </c>
      <c r="CE2067" s="2" t="s">
        <v>87</v>
      </c>
      <c r="CF2067" s="3">
        <v>43088</v>
      </c>
      <c r="CI2067" s="2">
        <v>1</v>
      </c>
      <c r="CJ2067" s="2">
        <v>1</v>
      </c>
      <c r="CK2067" s="2">
        <v>21</v>
      </c>
      <c r="CL2067" s="2" t="s">
        <v>89</v>
      </c>
    </row>
    <row r="2068" spans="1:90">
      <c r="A2068" s="2" t="s">
        <v>71</v>
      </c>
      <c r="B2068" s="2" t="s">
        <v>72</v>
      </c>
      <c r="C2068" s="2" t="s">
        <v>73</v>
      </c>
      <c r="E2068" s="2" t="str">
        <f>"FES1162596090"</f>
        <v>FES1162596090</v>
      </c>
      <c r="F2068" s="3">
        <v>43083</v>
      </c>
      <c r="G2068" s="2">
        <v>201806</v>
      </c>
      <c r="H2068" s="2" t="s">
        <v>74</v>
      </c>
      <c r="I2068" s="2" t="s">
        <v>75</v>
      </c>
      <c r="J2068" s="2" t="s">
        <v>97</v>
      </c>
      <c r="K2068" s="2" t="s">
        <v>77</v>
      </c>
      <c r="L2068" s="2" t="s">
        <v>136</v>
      </c>
      <c r="M2068" s="2" t="s">
        <v>137</v>
      </c>
      <c r="N2068" s="2" t="s">
        <v>138</v>
      </c>
      <c r="O2068" s="2" t="s">
        <v>101</v>
      </c>
      <c r="P2068" s="2" t="str">
        <f>"2170600762                    "</f>
        <v xml:space="preserve">2170600762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35.380000000000003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11</v>
      </c>
      <c r="BJ2068" s="2">
        <v>8.4</v>
      </c>
      <c r="BK2068" s="2">
        <v>11</v>
      </c>
      <c r="BL2068" s="2">
        <v>252.54</v>
      </c>
      <c r="BM2068" s="2">
        <v>35.36</v>
      </c>
      <c r="BN2068" s="2">
        <v>287.89999999999998</v>
      </c>
      <c r="BO2068" s="2">
        <v>287.89999999999998</v>
      </c>
      <c r="BQ2068" s="2" t="s">
        <v>82</v>
      </c>
      <c r="BR2068" s="2" t="s">
        <v>103</v>
      </c>
      <c r="BS2068" s="3">
        <v>43084</v>
      </c>
      <c r="BT2068" s="4">
        <v>0.375</v>
      </c>
      <c r="BU2068" s="2" t="s">
        <v>139</v>
      </c>
      <c r="BV2068" s="2" t="s">
        <v>85</v>
      </c>
      <c r="BY2068" s="2">
        <v>41820</v>
      </c>
      <c r="CA2068" s="2" t="s">
        <v>140</v>
      </c>
      <c r="CC2068" s="2" t="s">
        <v>137</v>
      </c>
      <c r="CD2068" s="2">
        <v>6001</v>
      </c>
      <c r="CE2068" s="2" t="s">
        <v>87</v>
      </c>
      <c r="CF2068" s="3">
        <v>43088</v>
      </c>
      <c r="CI2068" s="2">
        <v>1</v>
      </c>
      <c r="CJ2068" s="2">
        <v>1</v>
      </c>
      <c r="CK2068" s="2">
        <v>21</v>
      </c>
      <c r="CL2068" s="2" t="s">
        <v>89</v>
      </c>
    </row>
    <row r="2069" spans="1:90">
      <c r="A2069" s="2" t="s">
        <v>71</v>
      </c>
      <c r="B2069" s="2" t="s">
        <v>72</v>
      </c>
      <c r="C2069" s="2" t="s">
        <v>73</v>
      </c>
      <c r="E2069" s="2" t="str">
        <f>"FES1162596085"</f>
        <v>FES1162596085</v>
      </c>
      <c r="F2069" s="3">
        <v>43083</v>
      </c>
      <c r="G2069" s="2">
        <v>201806</v>
      </c>
      <c r="H2069" s="2" t="s">
        <v>74</v>
      </c>
      <c r="I2069" s="2" t="s">
        <v>75</v>
      </c>
      <c r="J2069" s="2" t="s">
        <v>97</v>
      </c>
      <c r="K2069" s="2" t="s">
        <v>77</v>
      </c>
      <c r="L2069" s="2" t="s">
        <v>136</v>
      </c>
      <c r="M2069" s="2" t="s">
        <v>137</v>
      </c>
      <c r="N2069" s="2" t="s">
        <v>138</v>
      </c>
      <c r="O2069" s="2" t="s">
        <v>101</v>
      </c>
      <c r="P2069" s="2" t="str">
        <f>"2170600761                    "</f>
        <v xml:space="preserve">2170600761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6.43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0.8</v>
      </c>
      <c r="BJ2069" s="2">
        <v>1.2</v>
      </c>
      <c r="BK2069" s="2">
        <v>1.5</v>
      </c>
      <c r="BL2069" s="2">
        <v>45.93</v>
      </c>
      <c r="BM2069" s="2">
        <v>6.43</v>
      </c>
      <c r="BN2069" s="2">
        <v>52.36</v>
      </c>
      <c r="BO2069" s="2">
        <v>52.36</v>
      </c>
      <c r="BQ2069" s="2" t="s">
        <v>82</v>
      </c>
      <c r="BR2069" s="2" t="s">
        <v>103</v>
      </c>
      <c r="BS2069" s="3">
        <v>43084</v>
      </c>
      <c r="BT2069" s="4">
        <v>0.375</v>
      </c>
      <c r="BU2069" s="2" t="s">
        <v>139</v>
      </c>
      <c r="BV2069" s="2" t="s">
        <v>85</v>
      </c>
      <c r="BY2069" s="2">
        <v>6116.56</v>
      </c>
      <c r="CA2069" s="2" t="s">
        <v>140</v>
      </c>
      <c r="CC2069" s="2" t="s">
        <v>137</v>
      </c>
      <c r="CD2069" s="2">
        <v>6001</v>
      </c>
      <c r="CE2069" s="2" t="s">
        <v>87</v>
      </c>
      <c r="CF2069" s="3">
        <v>43088</v>
      </c>
      <c r="CI2069" s="2">
        <v>1</v>
      </c>
      <c r="CJ2069" s="2">
        <v>1</v>
      </c>
      <c r="CK2069" s="2">
        <v>21</v>
      </c>
      <c r="CL2069" s="2" t="s">
        <v>89</v>
      </c>
    </row>
    <row r="2070" spans="1:90">
      <c r="A2070" s="2" t="s">
        <v>71</v>
      </c>
      <c r="B2070" s="2" t="s">
        <v>72</v>
      </c>
      <c r="C2070" s="2" t="s">
        <v>73</v>
      </c>
      <c r="E2070" s="2" t="str">
        <f>"FES1162596097"</f>
        <v>FES1162596097</v>
      </c>
      <c r="F2070" s="3">
        <v>43083</v>
      </c>
      <c r="G2070" s="2">
        <v>201806</v>
      </c>
      <c r="H2070" s="2" t="s">
        <v>74</v>
      </c>
      <c r="I2070" s="2" t="s">
        <v>75</v>
      </c>
      <c r="J2070" s="2" t="s">
        <v>97</v>
      </c>
      <c r="K2070" s="2" t="s">
        <v>77</v>
      </c>
      <c r="L2070" s="2" t="s">
        <v>136</v>
      </c>
      <c r="M2070" s="2" t="s">
        <v>137</v>
      </c>
      <c r="N2070" s="2" t="s">
        <v>138</v>
      </c>
      <c r="O2070" s="2" t="s">
        <v>101</v>
      </c>
      <c r="P2070" s="2" t="str">
        <f>"2170603742                    "</f>
        <v xml:space="preserve">2170603742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16.079999999999998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2</v>
      </c>
      <c r="BI2070" s="2">
        <v>4.0999999999999996</v>
      </c>
      <c r="BJ2070" s="2">
        <v>4.5999999999999996</v>
      </c>
      <c r="BK2070" s="2">
        <v>5</v>
      </c>
      <c r="BL2070" s="2">
        <v>114.8</v>
      </c>
      <c r="BM2070" s="2">
        <v>16.07</v>
      </c>
      <c r="BN2070" s="2">
        <v>130.87</v>
      </c>
      <c r="BO2070" s="2">
        <v>130.87</v>
      </c>
      <c r="BQ2070" s="2" t="s">
        <v>82</v>
      </c>
      <c r="BR2070" s="2" t="s">
        <v>103</v>
      </c>
      <c r="BS2070" s="3">
        <v>43084</v>
      </c>
      <c r="BT2070" s="4">
        <v>0.375</v>
      </c>
      <c r="BU2070" s="2" t="s">
        <v>139</v>
      </c>
      <c r="BV2070" s="2" t="s">
        <v>85</v>
      </c>
      <c r="BY2070" s="2">
        <v>22800.51</v>
      </c>
      <c r="CA2070" s="2" t="s">
        <v>140</v>
      </c>
      <c r="CC2070" s="2" t="s">
        <v>137</v>
      </c>
      <c r="CD2070" s="2">
        <v>6001</v>
      </c>
      <c r="CE2070" s="2" t="s">
        <v>87</v>
      </c>
      <c r="CF2070" s="3">
        <v>43088</v>
      </c>
      <c r="CI2070" s="2">
        <v>1</v>
      </c>
      <c r="CJ2070" s="2">
        <v>1</v>
      </c>
      <c r="CK2070" s="2">
        <v>21</v>
      </c>
      <c r="CL2070" s="2" t="s">
        <v>89</v>
      </c>
    </row>
    <row r="2071" spans="1:90">
      <c r="A2071" s="2" t="s">
        <v>71</v>
      </c>
      <c r="B2071" s="2" t="s">
        <v>72</v>
      </c>
      <c r="C2071" s="2" t="s">
        <v>73</v>
      </c>
      <c r="E2071" s="2" t="str">
        <f>"FES1162596089"</f>
        <v>FES1162596089</v>
      </c>
      <c r="F2071" s="3">
        <v>43083</v>
      </c>
      <c r="G2071" s="2">
        <v>201806</v>
      </c>
      <c r="H2071" s="2" t="s">
        <v>74</v>
      </c>
      <c r="I2071" s="2" t="s">
        <v>75</v>
      </c>
      <c r="J2071" s="2" t="s">
        <v>97</v>
      </c>
      <c r="K2071" s="2" t="s">
        <v>77</v>
      </c>
      <c r="L2071" s="2" t="s">
        <v>136</v>
      </c>
      <c r="M2071" s="2" t="s">
        <v>137</v>
      </c>
      <c r="N2071" s="2" t="s">
        <v>138</v>
      </c>
      <c r="O2071" s="2" t="s">
        <v>101</v>
      </c>
      <c r="P2071" s="2" t="str">
        <f>"21706096982                   "</f>
        <v xml:space="preserve">21706096982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54.67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17</v>
      </c>
      <c r="BJ2071" s="2">
        <v>7.4</v>
      </c>
      <c r="BK2071" s="2">
        <v>17</v>
      </c>
      <c r="BL2071" s="2">
        <v>390.27</v>
      </c>
      <c r="BM2071" s="2">
        <v>54.64</v>
      </c>
      <c r="BN2071" s="2">
        <v>444.91</v>
      </c>
      <c r="BO2071" s="2">
        <v>444.91</v>
      </c>
      <c r="BQ2071" s="2" t="s">
        <v>82</v>
      </c>
      <c r="BR2071" s="2" t="s">
        <v>103</v>
      </c>
      <c r="BS2071" s="3">
        <v>43084</v>
      </c>
      <c r="BT2071" s="4">
        <v>0.375</v>
      </c>
      <c r="BU2071" s="2" t="s">
        <v>139</v>
      </c>
      <c r="BV2071" s="2" t="s">
        <v>85</v>
      </c>
      <c r="BY2071" s="2">
        <v>36800</v>
      </c>
      <c r="CA2071" s="2" t="s">
        <v>140</v>
      </c>
      <c r="CC2071" s="2" t="s">
        <v>137</v>
      </c>
      <c r="CD2071" s="2">
        <v>6001</v>
      </c>
      <c r="CE2071" s="2" t="s">
        <v>87</v>
      </c>
      <c r="CF2071" s="3">
        <v>43088</v>
      </c>
      <c r="CI2071" s="2">
        <v>1</v>
      </c>
      <c r="CJ2071" s="2">
        <v>1</v>
      </c>
      <c r="CK2071" s="2">
        <v>21</v>
      </c>
      <c r="CL2071" s="2" t="s">
        <v>89</v>
      </c>
    </row>
    <row r="2072" spans="1:90">
      <c r="A2072" s="2" t="s">
        <v>71</v>
      </c>
      <c r="B2072" s="2" t="s">
        <v>72</v>
      </c>
      <c r="C2072" s="2" t="s">
        <v>73</v>
      </c>
      <c r="E2072" s="2" t="str">
        <f>"FES1162596091"</f>
        <v>FES1162596091</v>
      </c>
      <c r="F2072" s="3">
        <v>43083</v>
      </c>
      <c r="G2072" s="2">
        <v>201806</v>
      </c>
      <c r="H2072" s="2" t="s">
        <v>74</v>
      </c>
      <c r="I2072" s="2" t="s">
        <v>75</v>
      </c>
      <c r="J2072" s="2" t="s">
        <v>97</v>
      </c>
      <c r="K2072" s="2" t="s">
        <v>77</v>
      </c>
      <c r="L2072" s="2" t="s">
        <v>136</v>
      </c>
      <c r="M2072" s="2" t="s">
        <v>137</v>
      </c>
      <c r="N2072" s="2" t="s">
        <v>138</v>
      </c>
      <c r="O2072" s="2" t="s">
        <v>101</v>
      </c>
      <c r="P2072" s="2" t="str">
        <f>"2170601829                    "</f>
        <v xml:space="preserve">2170601829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20.9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2</v>
      </c>
      <c r="BI2072" s="2">
        <v>6.2</v>
      </c>
      <c r="BJ2072" s="2">
        <v>3.8</v>
      </c>
      <c r="BK2072" s="2">
        <v>6.5</v>
      </c>
      <c r="BL2072" s="2">
        <v>149.22999999999999</v>
      </c>
      <c r="BM2072" s="2">
        <v>20.89</v>
      </c>
      <c r="BN2072" s="2">
        <v>170.12</v>
      </c>
      <c r="BO2072" s="2">
        <v>170.12</v>
      </c>
      <c r="BQ2072" s="2" t="s">
        <v>82</v>
      </c>
      <c r="BR2072" s="2" t="s">
        <v>103</v>
      </c>
      <c r="BS2072" s="3">
        <v>43084</v>
      </c>
      <c r="BT2072" s="4">
        <v>0.375</v>
      </c>
      <c r="BU2072" s="2" t="s">
        <v>139</v>
      </c>
      <c r="BV2072" s="2" t="s">
        <v>85</v>
      </c>
      <c r="BY2072" s="2">
        <v>19173.97</v>
      </c>
      <c r="CA2072" s="2" t="s">
        <v>140</v>
      </c>
      <c r="CC2072" s="2" t="s">
        <v>137</v>
      </c>
      <c r="CD2072" s="2">
        <v>6001</v>
      </c>
      <c r="CE2072" s="2" t="s">
        <v>87</v>
      </c>
      <c r="CF2072" s="3">
        <v>43088</v>
      </c>
      <c r="CI2072" s="2">
        <v>1</v>
      </c>
      <c r="CJ2072" s="2">
        <v>1</v>
      </c>
      <c r="CK2072" s="2">
        <v>21</v>
      </c>
      <c r="CL2072" s="2" t="s">
        <v>89</v>
      </c>
    </row>
    <row r="2073" spans="1:90">
      <c r="A2073" s="2" t="s">
        <v>71</v>
      </c>
      <c r="B2073" s="2" t="s">
        <v>72</v>
      </c>
      <c r="C2073" s="2" t="s">
        <v>73</v>
      </c>
      <c r="E2073" s="2" t="str">
        <f>"FES1162595979"</f>
        <v>FES1162595979</v>
      </c>
      <c r="F2073" s="3">
        <v>43083</v>
      </c>
      <c r="G2073" s="2">
        <v>201806</v>
      </c>
      <c r="H2073" s="2" t="s">
        <v>74</v>
      </c>
      <c r="I2073" s="2" t="s">
        <v>75</v>
      </c>
      <c r="J2073" s="2" t="s">
        <v>97</v>
      </c>
      <c r="K2073" s="2" t="s">
        <v>77</v>
      </c>
      <c r="L2073" s="2" t="s">
        <v>173</v>
      </c>
      <c r="M2073" s="2" t="s">
        <v>174</v>
      </c>
      <c r="N2073" s="2" t="s">
        <v>1045</v>
      </c>
      <c r="O2073" s="2" t="s">
        <v>101</v>
      </c>
      <c r="P2073" s="2" t="str">
        <f>"2170604178                    "</f>
        <v xml:space="preserve">2170604178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6.43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1.2</v>
      </c>
      <c r="BJ2073" s="2">
        <v>1.7</v>
      </c>
      <c r="BK2073" s="2">
        <v>2</v>
      </c>
      <c r="BL2073" s="2">
        <v>45.93</v>
      </c>
      <c r="BM2073" s="2">
        <v>6.43</v>
      </c>
      <c r="BN2073" s="2">
        <v>52.36</v>
      </c>
      <c r="BO2073" s="2">
        <v>52.36</v>
      </c>
      <c r="BQ2073" s="2" t="s">
        <v>142</v>
      </c>
      <c r="BR2073" s="2" t="s">
        <v>103</v>
      </c>
      <c r="BS2073" s="3">
        <v>43084</v>
      </c>
      <c r="BT2073" s="4">
        <v>0.51388888888888895</v>
      </c>
      <c r="BU2073" s="2" t="s">
        <v>1046</v>
      </c>
      <c r="BV2073" s="2" t="s">
        <v>89</v>
      </c>
      <c r="BW2073" s="2" t="s">
        <v>149</v>
      </c>
      <c r="BX2073" s="2" t="s">
        <v>368</v>
      </c>
      <c r="BY2073" s="2">
        <v>8365.7999999999993</v>
      </c>
      <c r="CA2073" s="2" t="s">
        <v>1682</v>
      </c>
      <c r="CC2073" s="2" t="s">
        <v>174</v>
      </c>
      <c r="CD2073" s="2">
        <v>7441</v>
      </c>
      <c r="CE2073" s="2" t="s">
        <v>95</v>
      </c>
      <c r="CF2073" s="3">
        <v>43087</v>
      </c>
      <c r="CI2073" s="2">
        <v>1</v>
      </c>
      <c r="CJ2073" s="2">
        <v>1</v>
      </c>
      <c r="CK2073" s="2">
        <v>21</v>
      </c>
      <c r="CL2073" s="2" t="s">
        <v>89</v>
      </c>
    </row>
    <row r="2074" spans="1:90">
      <c r="A2074" s="2" t="s">
        <v>71</v>
      </c>
      <c r="B2074" s="2" t="s">
        <v>72</v>
      </c>
      <c r="C2074" s="2" t="s">
        <v>73</v>
      </c>
      <c r="E2074" s="2" t="str">
        <f>"FES1162596041"</f>
        <v>FES1162596041</v>
      </c>
      <c r="F2074" s="3">
        <v>43083</v>
      </c>
      <c r="G2074" s="2">
        <v>201806</v>
      </c>
      <c r="H2074" s="2" t="s">
        <v>74</v>
      </c>
      <c r="I2074" s="2" t="s">
        <v>75</v>
      </c>
      <c r="J2074" s="2" t="s">
        <v>97</v>
      </c>
      <c r="K2074" s="2" t="s">
        <v>77</v>
      </c>
      <c r="L2074" s="2" t="s">
        <v>173</v>
      </c>
      <c r="M2074" s="2" t="s">
        <v>174</v>
      </c>
      <c r="N2074" s="2" t="s">
        <v>2388</v>
      </c>
      <c r="O2074" s="2" t="s">
        <v>101</v>
      </c>
      <c r="P2074" s="2" t="str">
        <f>"2170606289                    "</f>
        <v xml:space="preserve">2170606289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11.26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2.1</v>
      </c>
      <c r="BJ2074" s="2">
        <v>3.3</v>
      </c>
      <c r="BK2074" s="2">
        <v>3.5</v>
      </c>
      <c r="BL2074" s="2">
        <v>80.37</v>
      </c>
      <c r="BM2074" s="2">
        <v>11.25</v>
      </c>
      <c r="BN2074" s="2">
        <v>91.62</v>
      </c>
      <c r="BO2074" s="2">
        <v>91.62</v>
      </c>
      <c r="BR2074" s="2" t="s">
        <v>103</v>
      </c>
      <c r="BS2074" s="2" t="s">
        <v>185</v>
      </c>
      <c r="BY2074" s="2">
        <v>16329.08</v>
      </c>
      <c r="CC2074" s="2" t="s">
        <v>174</v>
      </c>
      <c r="CD2074" s="2">
        <v>7560</v>
      </c>
      <c r="CE2074" s="2" t="s">
        <v>95</v>
      </c>
      <c r="CI2074" s="2">
        <v>1</v>
      </c>
      <c r="CJ2074" s="2" t="s">
        <v>185</v>
      </c>
      <c r="CK2074" s="2">
        <v>21</v>
      </c>
      <c r="CL2074" s="2" t="s">
        <v>89</v>
      </c>
    </row>
    <row r="2075" spans="1:90">
      <c r="A2075" s="2" t="s">
        <v>71</v>
      </c>
      <c r="B2075" s="2" t="s">
        <v>72</v>
      </c>
      <c r="C2075" s="2" t="s">
        <v>73</v>
      </c>
      <c r="E2075" s="2" t="str">
        <f>"FES1162595906"</f>
        <v>FES1162595906</v>
      </c>
      <c r="F2075" s="3">
        <v>43083</v>
      </c>
      <c r="G2075" s="2">
        <v>201806</v>
      </c>
      <c r="H2075" s="2" t="s">
        <v>74</v>
      </c>
      <c r="I2075" s="2" t="s">
        <v>75</v>
      </c>
      <c r="J2075" s="2" t="s">
        <v>97</v>
      </c>
      <c r="K2075" s="2" t="s">
        <v>77</v>
      </c>
      <c r="L2075" s="2" t="s">
        <v>158</v>
      </c>
      <c r="M2075" s="2" t="s">
        <v>159</v>
      </c>
      <c r="N2075" s="2" t="s">
        <v>2298</v>
      </c>
      <c r="O2075" s="2" t="s">
        <v>101</v>
      </c>
      <c r="P2075" s="2" t="str">
        <f>"2170607336                    "</f>
        <v xml:space="preserve">2170607336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6.43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2</v>
      </c>
      <c r="BJ2075" s="2">
        <v>1.7</v>
      </c>
      <c r="BK2075" s="2">
        <v>2</v>
      </c>
      <c r="BL2075" s="2">
        <v>45.93</v>
      </c>
      <c r="BM2075" s="2">
        <v>6.43</v>
      </c>
      <c r="BN2075" s="2">
        <v>52.36</v>
      </c>
      <c r="BO2075" s="2">
        <v>52.36</v>
      </c>
      <c r="BR2075" s="2" t="s">
        <v>103</v>
      </c>
      <c r="BS2075" s="3">
        <v>43084</v>
      </c>
      <c r="BT2075" s="4">
        <v>0.41666666666666669</v>
      </c>
      <c r="BU2075" s="2" t="s">
        <v>2389</v>
      </c>
      <c r="BV2075" s="2" t="s">
        <v>85</v>
      </c>
      <c r="BY2075" s="2">
        <v>8255.42</v>
      </c>
      <c r="CA2075" s="2" t="s">
        <v>669</v>
      </c>
      <c r="CC2075" s="2" t="s">
        <v>159</v>
      </c>
      <c r="CD2075" s="2">
        <v>158</v>
      </c>
      <c r="CE2075" s="2" t="s">
        <v>95</v>
      </c>
      <c r="CF2075" s="3">
        <v>43088</v>
      </c>
      <c r="CI2075" s="2">
        <v>1</v>
      </c>
      <c r="CJ2075" s="2">
        <v>1</v>
      </c>
      <c r="CK2075" s="2">
        <v>21</v>
      </c>
      <c r="CL2075" s="2" t="s">
        <v>89</v>
      </c>
    </row>
    <row r="2076" spans="1:90">
      <c r="A2076" s="2" t="s">
        <v>71</v>
      </c>
      <c r="B2076" s="2" t="s">
        <v>72</v>
      </c>
      <c r="C2076" s="2" t="s">
        <v>73</v>
      </c>
      <c r="E2076" s="2" t="str">
        <f>"FES1162595917"</f>
        <v>FES1162595917</v>
      </c>
      <c r="F2076" s="3">
        <v>43083</v>
      </c>
      <c r="G2076" s="2">
        <v>201806</v>
      </c>
      <c r="H2076" s="2" t="s">
        <v>74</v>
      </c>
      <c r="I2076" s="2" t="s">
        <v>75</v>
      </c>
      <c r="J2076" s="2" t="s">
        <v>97</v>
      </c>
      <c r="K2076" s="2" t="s">
        <v>77</v>
      </c>
      <c r="L2076" s="2" t="s">
        <v>162</v>
      </c>
      <c r="M2076" s="2" t="s">
        <v>163</v>
      </c>
      <c r="N2076" s="2" t="s">
        <v>1224</v>
      </c>
      <c r="O2076" s="2" t="s">
        <v>101</v>
      </c>
      <c r="P2076" s="2" t="str">
        <f>"2170607754                    "</f>
        <v xml:space="preserve">2170607754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5.03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</v>
      </c>
      <c r="BJ2076" s="2">
        <v>0.2</v>
      </c>
      <c r="BK2076" s="2">
        <v>1</v>
      </c>
      <c r="BL2076" s="2">
        <v>35.89</v>
      </c>
      <c r="BM2076" s="2">
        <v>5.0199999999999996</v>
      </c>
      <c r="BN2076" s="2">
        <v>40.909999999999997</v>
      </c>
      <c r="BO2076" s="2">
        <v>40.909999999999997</v>
      </c>
      <c r="BQ2076" s="2" t="s">
        <v>1316</v>
      </c>
      <c r="BR2076" s="2" t="s">
        <v>103</v>
      </c>
      <c r="BS2076" s="3">
        <v>43084</v>
      </c>
      <c r="BT2076" s="4">
        <v>0.4375</v>
      </c>
      <c r="BU2076" s="2" t="s">
        <v>2390</v>
      </c>
      <c r="BV2076" s="2" t="s">
        <v>85</v>
      </c>
      <c r="BY2076" s="2">
        <v>1200</v>
      </c>
      <c r="CC2076" s="2" t="s">
        <v>163</v>
      </c>
      <c r="CD2076" s="2">
        <v>1451</v>
      </c>
      <c r="CE2076" s="2" t="s">
        <v>120</v>
      </c>
      <c r="CF2076" s="3">
        <v>43087</v>
      </c>
      <c r="CI2076" s="2">
        <v>1</v>
      </c>
      <c r="CJ2076" s="2">
        <v>1</v>
      </c>
      <c r="CK2076" s="2">
        <v>22</v>
      </c>
      <c r="CL2076" s="2" t="s">
        <v>89</v>
      </c>
    </row>
    <row r="2077" spans="1:90">
      <c r="A2077" s="2" t="s">
        <v>71</v>
      </c>
      <c r="B2077" s="2" t="s">
        <v>72</v>
      </c>
      <c r="C2077" s="2" t="s">
        <v>73</v>
      </c>
      <c r="E2077" s="2" t="str">
        <f>"FES1162596028"</f>
        <v>FES1162596028</v>
      </c>
      <c r="F2077" s="3">
        <v>43083</v>
      </c>
      <c r="G2077" s="2">
        <v>201806</v>
      </c>
      <c r="H2077" s="2" t="s">
        <v>74</v>
      </c>
      <c r="I2077" s="2" t="s">
        <v>75</v>
      </c>
      <c r="J2077" s="2" t="s">
        <v>97</v>
      </c>
      <c r="K2077" s="2" t="s">
        <v>77</v>
      </c>
      <c r="L2077" s="2" t="s">
        <v>1884</v>
      </c>
      <c r="M2077" s="2" t="s">
        <v>1885</v>
      </c>
      <c r="N2077" s="2" t="s">
        <v>1886</v>
      </c>
      <c r="O2077" s="2" t="s">
        <v>101</v>
      </c>
      <c r="P2077" s="2" t="str">
        <f>"2170607159                    "</f>
        <v xml:space="preserve">2170607159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12.47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89</v>
      </c>
      <c r="BM2077" s="2">
        <v>12.46</v>
      </c>
      <c r="BN2077" s="2">
        <v>101.46</v>
      </c>
      <c r="BO2077" s="2">
        <v>101.46</v>
      </c>
      <c r="BQ2077" s="2" t="s">
        <v>142</v>
      </c>
      <c r="BR2077" s="2" t="s">
        <v>103</v>
      </c>
      <c r="BS2077" s="3">
        <v>43084</v>
      </c>
      <c r="BT2077" s="4">
        <v>0.66666666666666663</v>
      </c>
      <c r="BU2077" s="2" t="s">
        <v>2074</v>
      </c>
      <c r="BV2077" s="2" t="s">
        <v>85</v>
      </c>
      <c r="BY2077" s="2">
        <v>1200</v>
      </c>
      <c r="CA2077" s="2" t="s">
        <v>1887</v>
      </c>
      <c r="CC2077" s="2" t="s">
        <v>1885</v>
      </c>
      <c r="CD2077" s="2">
        <v>9445</v>
      </c>
      <c r="CE2077" s="2" t="s">
        <v>120</v>
      </c>
      <c r="CF2077" s="3">
        <v>43089</v>
      </c>
      <c r="CI2077" s="2">
        <v>3</v>
      </c>
      <c r="CJ2077" s="2">
        <v>1</v>
      </c>
      <c r="CK2077" s="2">
        <v>23</v>
      </c>
      <c r="CL2077" s="2" t="s">
        <v>89</v>
      </c>
    </row>
    <row r="2078" spans="1:90">
      <c r="A2078" s="2" t="s">
        <v>71</v>
      </c>
      <c r="B2078" s="2" t="s">
        <v>72</v>
      </c>
      <c r="C2078" s="2" t="s">
        <v>73</v>
      </c>
      <c r="E2078" s="2" t="str">
        <f>"FES1162595982"</f>
        <v>FES1162595982</v>
      </c>
      <c r="F2078" s="3">
        <v>43083</v>
      </c>
      <c r="G2078" s="2">
        <v>201806</v>
      </c>
      <c r="H2078" s="2" t="s">
        <v>74</v>
      </c>
      <c r="I2078" s="2" t="s">
        <v>75</v>
      </c>
      <c r="J2078" s="2" t="s">
        <v>97</v>
      </c>
      <c r="K2078" s="2" t="s">
        <v>77</v>
      </c>
      <c r="L2078" s="2" t="s">
        <v>173</v>
      </c>
      <c r="M2078" s="2" t="s">
        <v>174</v>
      </c>
      <c r="N2078" s="2" t="s">
        <v>1293</v>
      </c>
      <c r="O2078" s="2" t="s">
        <v>101</v>
      </c>
      <c r="P2078" s="2" t="str">
        <f>"2170604199                    "</f>
        <v xml:space="preserve">2170604199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6.43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45.93</v>
      </c>
      <c r="BM2078" s="2">
        <v>6.43</v>
      </c>
      <c r="BN2078" s="2">
        <v>52.36</v>
      </c>
      <c r="BO2078" s="2">
        <v>52.36</v>
      </c>
      <c r="BR2078" s="2" t="s">
        <v>103</v>
      </c>
      <c r="BS2078" s="3">
        <v>43084</v>
      </c>
      <c r="BT2078" s="4">
        <v>0.41666666666666669</v>
      </c>
      <c r="BU2078" s="2" t="s">
        <v>114</v>
      </c>
      <c r="BV2078" s="2" t="s">
        <v>85</v>
      </c>
      <c r="BY2078" s="2">
        <v>1200</v>
      </c>
      <c r="CA2078" s="2" t="s">
        <v>1713</v>
      </c>
      <c r="CC2078" s="2" t="s">
        <v>174</v>
      </c>
      <c r="CD2078" s="2">
        <v>7800</v>
      </c>
      <c r="CE2078" s="2" t="s">
        <v>120</v>
      </c>
      <c r="CF2078" s="3">
        <v>43084</v>
      </c>
      <c r="CI2078" s="2">
        <v>1</v>
      </c>
      <c r="CJ2078" s="2">
        <v>1</v>
      </c>
      <c r="CK2078" s="2">
        <v>21</v>
      </c>
      <c r="CL2078" s="2" t="s">
        <v>89</v>
      </c>
    </row>
    <row r="2079" spans="1:90">
      <c r="A2079" s="2" t="s">
        <v>71</v>
      </c>
      <c r="B2079" s="2" t="s">
        <v>72</v>
      </c>
      <c r="C2079" s="2" t="s">
        <v>73</v>
      </c>
      <c r="E2079" s="2" t="str">
        <f>"FES1162596020"</f>
        <v>FES1162596020</v>
      </c>
      <c r="F2079" s="3">
        <v>43083</v>
      </c>
      <c r="G2079" s="2">
        <v>201806</v>
      </c>
      <c r="H2079" s="2" t="s">
        <v>74</v>
      </c>
      <c r="I2079" s="2" t="s">
        <v>75</v>
      </c>
      <c r="J2079" s="2" t="s">
        <v>97</v>
      </c>
      <c r="K2079" s="2" t="s">
        <v>77</v>
      </c>
      <c r="L2079" s="2" t="s">
        <v>90</v>
      </c>
      <c r="M2079" s="2" t="s">
        <v>91</v>
      </c>
      <c r="N2079" s="2" t="s">
        <v>1158</v>
      </c>
      <c r="O2079" s="2" t="s">
        <v>101</v>
      </c>
      <c r="P2079" s="2" t="str">
        <f>"2170606260                    "</f>
        <v xml:space="preserve">2170606260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5.03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35.89</v>
      </c>
      <c r="BM2079" s="2">
        <v>5.0199999999999996</v>
      </c>
      <c r="BN2079" s="2">
        <v>40.909999999999997</v>
      </c>
      <c r="BO2079" s="2">
        <v>40.909999999999997</v>
      </c>
      <c r="BQ2079" s="2" t="s">
        <v>1159</v>
      </c>
      <c r="BR2079" s="2" t="s">
        <v>103</v>
      </c>
      <c r="BS2079" s="3">
        <v>43084</v>
      </c>
      <c r="BT2079" s="4">
        <v>0.41597222222222219</v>
      </c>
      <c r="BU2079" s="2" t="s">
        <v>2391</v>
      </c>
      <c r="BV2079" s="2" t="s">
        <v>85</v>
      </c>
      <c r="BY2079" s="2">
        <v>1200</v>
      </c>
      <c r="CA2079" s="2" t="s">
        <v>347</v>
      </c>
      <c r="CC2079" s="2" t="s">
        <v>91</v>
      </c>
      <c r="CD2079" s="2">
        <v>1559</v>
      </c>
      <c r="CE2079" s="2" t="s">
        <v>120</v>
      </c>
      <c r="CF2079" s="3">
        <v>43087</v>
      </c>
      <c r="CI2079" s="2">
        <v>1</v>
      </c>
      <c r="CJ2079" s="2">
        <v>1</v>
      </c>
      <c r="CK2079" s="2">
        <v>22</v>
      </c>
      <c r="CL2079" s="2" t="s">
        <v>89</v>
      </c>
    </row>
    <row r="2080" spans="1:90">
      <c r="A2080" s="2" t="s">
        <v>71</v>
      </c>
      <c r="B2080" s="2" t="s">
        <v>72</v>
      </c>
      <c r="C2080" s="2" t="s">
        <v>73</v>
      </c>
      <c r="E2080" s="2" t="str">
        <f>"FES1162595911"</f>
        <v>FES1162595911</v>
      </c>
      <c r="F2080" s="3">
        <v>43083</v>
      </c>
      <c r="G2080" s="2">
        <v>201806</v>
      </c>
      <c r="H2080" s="2" t="s">
        <v>74</v>
      </c>
      <c r="I2080" s="2" t="s">
        <v>75</v>
      </c>
      <c r="J2080" s="2" t="s">
        <v>97</v>
      </c>
      <c r="K2080" s="2" t="s">
        <v>77</v>
      </c>
      <c r="L2080" s="2" t="s">
        <v>152</v>
      </c>
      <c r="M2080" s="2" t="s">
        <v>153</v>
      </c>
      <c r="N2080" s="2" t="s">
        <v>1447</v>
      </c>
      <c r="O2080" s="2" t="s">
        <v>101</v>
      </c>
      <c r="P2080" s="2" t="str">
        <f>"2170607746                    "</f>
        <v xml:space="preserve">2170607746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5.03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0.2</v>
      </c>
      <c r="BK2080" s="2">
        <v>1</v>
      </c>
      <c r="BL2080" s="2">
        <v>35.89</v>
      </c>
      <c r="BM2080" s="2">
        <v>5.0199999999999996</v>
      </c>
      <c r="BN2080" s="2">
        <v>40.909999999999997</v>
      </c>
      <c r="BO2080" s="2">
        <v>40.909999999999997</v>
      </c>
      <c r="BQ2080" s="2" t="s">
        <v>1448</v>
      </c>
      <c r="BR2080" s="2" t="s">
        <v>103</v>
      </c>
      <c r="BS2080" s="3">
        <v>43084</v>
      </c>
      <c r="BT2080" s="4">
        <v>0.40972222222222227</v>
      </c>
      <c r="BU2080" s="2" t="s">
        <v>1449</v>
      </c>
      <c r="BV2080" s="2" t="s">
        <v>85</v>
      </c>
      <c r="BY2080" s="2">
        <v>1200</v>
      </c>
      <c r="CA2080" s="2" t="s">
        <v>337</v>
      </c>
      <c r="CC2080" s="2" t="s">
        <v>153</v>
      </c>
      <c r="CD2080" s="2">
        <v>1401</v>
      </c>
      <c r="CE2080" s="2" t="s">
        <v>120</v>
      </c>
      <c r="CF2080" s="3">
        <v>43087</v>
      </c>
      <c r="CI2080" s="2">
        <v>1</v>
      </c>
      <c r="CJ2080" s="2">
        <v>1</v>
      </c>
      <c r="CK2080" s="2">
        <v>22</v>
      </c>
      <c r="CL2080" s="2" t="s">
        <v>89</v>
      </c>
    </row>
    <row r="2081" spans="1:90">
      <c r="A2081" s="2" t="s">
        <v>71</v>
      </c>
      <c r="B2081" s="2" t="s">
        <v>72</v>
      </c>
      <c r="C2081" s="2" t="s">
        <v>73</v>
      </c>
      <c r="E2081" s="2" t="str">
        <f>"FES1162595933"</f>
        <v>FES1162595933</v>
      </c>
      <c r="F2081" s="3">
        <v>43083</v>
      </c>
      <c r="G2081" s="2">
        <v>201806</v>
      </c>
      <c r="H2081" s="2" t="s">
        <v>74</v>
      </c>
      <c r="I2081" s="2" t="s">
        <v>75</v>
      </c>
      <c r="J2081" s="2" t="s">
        <v>97</v>
      </c>
      <c r="K2081" s="2" t="s">
        <v>77</v>
      </c>
      <c r="L2081" s="2" t="s">
        <v>78</v>
      </c>
      <c r="M2081" s="2" t="s">
        <v>79</v>
      </c>
      <c r="N2081" s="2" t="s">
        <v>2392</v>
      </c>
      <c r="O2081" s="2" t="s">
        <v>101</v>
      </c>
      <c r="P2081" s="2" t="str">
        <f>"2170604603                    "</f>
        <v xml:space="preserve">2170604603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6.43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45.93</v>
      </c>
      <c r="BM2081" s="2">
        <v>6.43</v>
      </c>
      <c r="BN2081" s="2">
        <v>52.36</v>
      </c>
      <c r="BO2081" s="2">
        <v>52.36</v>
      </c>
      <c r="BQ2081" s="2" t="s">
        <v>82</v>
      </c>
      <c r="BR2081" s="2" t="s">
        <v>103</v>
      </c>
      <c r="BS2081" s="3">
        <v>43084</v>
      </c>
      <c r="BT2081" s="4">
        <v>0.52430555555555558</v>
      </c>
      <c r="BU2081" s="2" t="s">
        <v>2393</v>
      </c>
      <c r="BV2081" s="2" t="s">
        <v>89</v>
      </c>
      <c r="BY2081" s="2">
        <v>1200</v>
      </c>
      <c r="CC2081" s="2" t="s">
        <v>79</v>
      </c>
      <c r="CD2081" s="2">
        <v>1947</v>
      </c>
      <c r="CE2081" s="2" t="s">
        <v>120</v>
      </c>
      <c r="CF2081" s="3">
        <v>43088</v>
      </c>
      <c r="CI2081" s="2">
        <v>1</v>
      </c>
      <c r="CJ2081" s="2">
        <v>1</v>
      </c>
      <c r="CK2081" s="2">
        <v>21</v>
      </c>
      <c r="CL2081" s="2" t="s">
        <v>89</v>
      </c>
    </row>
    <row r="2082" spans="1:90">
      <c r="A2082" s="2" t="s">
        <v>71</v>
      </c>
      <c r="B2082" s="2" t="s">
        <v>72</v>
      </c>
      <c r="C2082" s="2" t="s">
        <v>73</v>
      </c>
      <c r="E2082" s="2" t="str">
        <f>"FES1162595882"</f>
        <v>FES1162595882</v>
      </c>
      <c r="F2082" s="3">
        <v>43083</v>
      </c>
      <c r="G2082" s="2">
        <v>201806</v>
      </c>
      <c r="H2082" s="2" t="s">
        <v>74</v>
      </c>
      <c r="I2082" s="2" t="s">
        <v>75</v>
      </c>
      <c r="J2082" s="2" t="s">
        <v>97</v>
      </c>
      <c r="K2082" s="2" t="s">
        <v>77</v>
      </c>
      <c r="L2082" s="2" t="s">
        <v>115</v>
      </c>
      <c r="M2082" s="2" t="s">
        <v>116</v>
      </c>
      <c r="N2082" s="2" t="s">
        <v>1341</v>
      </c>
      <c r="O2082" s="2" t="s">
        <v>101</v>
      </c>
      <c r="P2082" s="2" t="str">
        <f>"2170606105                    "</f>
        <v xml:space="preserve">2170606105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5.03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35.89</v>
      </c>
      <c r="BM2082" s="2">
        <v>5.0199999999999996</v>
      </c>
      <c r="BN2082" s="2">
        <v>40.909999999999997</v>
      </c>
      <c r="BO2082" s="2">
        <v>40.909999999999997</v>
      </c>
      <c r="BQ2082" s="2" t="s">
        <v>1342</v>
      </c>
      <c r="BR2082" s="2" t="s">
        <v>103</v>
      </c>
      <c r="BS2082" s="3">
        <v>43084</v>
      </c>
      <c r="BT2082" s="4">
        <v>0.47152777777777777</v>
      </c>
      <c r="BU2082" s="2" t="s">
        <v>2351</v>
      </c>
      <c r="BV2082" s="2" t="s">
        <v>89</v>
      </c>
      <c r="BW2082" s="2" t="s">
        <v>156</v>
      </c>
      <c r="BX2082" s="2" t="s">
        <v>157</v>
      </c>
      <c r="BY2082" s="2">
        <v>1200</v>
      </c>
      <c r="CA2082" s="2" t="s">
        <v>386</v>
      </c>
      <c r="CC2082" s="2" t="s">
        <v>116</v>
      </c>
      <c r="CD2082" s="2">
        <v>1460</v>
      </c>
      <c r="CE2082" s="2" t="s">
        <v>120</v>
      </c>
      <c r="CF2082" s="3">
        <v>43087</v>
      </c>
      <c r="CI2082" s="2">
        <v>1</v>
      </c>
      <c r="CJ2082" s="2">
        <v>1</v>
      </c>
      <c r="CK2082" s="2">
        <v>22</v>
      </c>
      <c r="CL2082" s="2" t="s">
        <v>89</v>
      </c>
    </row>
    <row r="2083" spans="1:90">
      <c r="A2083" s="2" t="s">
        <v>71</v>
      </c>
      <c r="B2083" s="2" t="s">
        <v>72</v>
      </c>
      <c r="C2083" s="2" t="s">
        <v>73</v>
      </c>
      <c r="E2083" s="2" t="str">
        <f>"FES1162595934"</f>
        <v>FES1162595934</v>
      </c>
      <c r="F2083" s="3">
        <v>43083</v>
      </c>
      <c r="G2083" s="2">
        <v>201806</v>
      </c>
      <c r="H2083" s="2" t="s">
        <v>74</v>
      </c>
      <c r="I2083" s="2" t="s">
        <v>75</v>
      </c>
      <c r="J2083" s="2" t="s">
        <v>97</v>
      </c>
      <c r="K2083" s="2" t="s">
        <v>77</v>
      </c>
      <c r="L2083" s="2" t="s">
        <v>277</v>
      </c>
      <c r="M2083" s="2" t="s">
        <v>278</v>
      </c>
      <c r="N2083" s="2" t="s">
        <v>639</v>
      </c>
      <c r="O2083" s="2" t="s">
        <v>101</v>
      </c>
      <c r="P2083" s="2" t="str">
        <f>"2170604631                    "</f>
        <v xml:space="preserve">2170604631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5.03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</v>
      </c>
      <c r="BJ2083" s="2">
        <v>0.2</v>
      </c>
      <c r="BK2083" s="2">
        <v>1</v>
      </c>
      <c r="BL2083" s="2">
        <v>35.89</v>
      </c>
      <c r="BM2083" s="2">
        <v>5.0199999999999996</v>
      </c>
      <c r="BN2083" s="2">
        <v>40.909999999999997</v>
      </c>
      <c r="BO2083" s="2">
        <v>40.909999999999997</v>
      </c>
      <c r="BQ2083" s="2" t="s">
        <v>142</v>
      </c>
      <c r="BR2083" s="2" t="s">
        <v>103</v>
      </c>
      <c r="BS2083" s="3">
        <v>43084</v>
      </c>
      <c r="BT2083" s="4">
        <v>0.39166666666666666</v>
      </c>
      <c r="BU2083" s="2" t="s">
        <v>2394</v>
      </c>
      <c r="BV2083" s="2" t="s">
        <v>85</v>
      </c>
      <c r="BY2083" s="2">
        <v>1200</v>
      </c>
      <c r="CA2083" s="2" t="s">
        <v>320</v>
      </c>
      <c r="CC2083" s="2" t="s">
        <v>278</v>
      </c>
      <c r="CD2083" s="2">
        <v>2163</v>
      </c>
      <c r="CE2083" s="2" t="s">
        <v>120</v>
      </c>
      <c r="CF2083" s="3">
        <v>43087</v>
      </c>
      <c r="CI2083" s="2">
        <v>1</v>
      </c>
      <c r="CJ2083" s="2">
        <v>1</v>
      </c>
      <c r="CK2083" s="2">
        <v>22</v>
      </c>
      <c r="CL2083" s="2" t="s">
        <v>89</v>
      </c>
    </row>
    <row r="2084" spans="1:90">
      <c r="A2084" s="2" t="s">
        <v>71</v>
      </c>
      <c r="B2084" s="2" t="s">
        <v>72</v>
      </c>
      <c r="C2084" s="2" t="s">
        <v>73</v>
      </c>
      <c r="E2084" s="2" t="str">
        <f>"FES1162595894"</f>
        <v>FES1162595894</v>
      </c>
      <c r="F2084" s="3">
        <v>43083</v>
      </c>
      <c r="G2084" s="2">
        <v>201806</v>
      </c>
      <c r="H2084" s="2" t="s">
        <v>74</v>
      </c>
      <c r="I2084" s="2" t="s">
        <v>75</v>
      </c>
      <c r="J2084" s="2" t="s">
        <v>97</v>
      </c>
      <c r="K2084" s="2" t="s">
        <v>77</v>
      </c>
      <c r="L2084" s="2" t="s">
        <v>212</v>
      </c>
      <c r="M2084" s="2" t="s">
        <v>212</v>
      </c>
      <c r="N2084" s="2" t="s">
        <v>1263</v>
      </c>
      <c r="O2084" s="2" t="s">
        <v>101</v>
      </c>
      <c r="P2084" s="2" t="str">
        <f>"2170607752                    "</f>
        <v xml:space="preserve">2170607752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6.43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45.93</v>
      </c>
      <c r="BM2084" s="2">
        <v>6.43</v>
      </c>
      <c r="BN2084" s="2">
        <v>52.36</v>
      </c>
      <c r="BO2084" s="2">
        <v>52.36</v>
      </c>
      <c r="BQ2084" s="2" t="s">
        <v>82</v>
      </c>
      <c r="BR2084" s="2" t="s">
        <v>103</v>
      </c>
      <c r="BS2084" s="3">
        <v>43084</v>
      </c>
      <c r="BT2084" s="4">
        <v>0.61111111111111105</v>
      </c>
      <c r="BU2084" s="2" t="s">
        <v>2269</v>
      </c>
      <c r="BV2084" s="2" t="s">
        <v>89</v>
      </c>
      <c r="BW2084" s="2" t="s">
        <v>149</v>
      </c>
      <c r="BX2084" s="2" t="s">
        <v>2377</v>
      </c>
      <c r="BY2084" s="2">
        <v>1200</v>
      </c>
      <c r="CC2084" s="2" t="s">
        <v>212</v>
      </c>
      <c r="CD2084" s="2">
        <v>7646</v>
      </c>
      <c r="CE2084" s="2" t="s">
        <v>120</v>
      </c>
      <c r="CF2084" s="3">
        <v>43087</v>
      </c>
      <c r="CI2084" s="2">
        <v>1</v>
      </c>
      <c r="CJ2084" s="2">
        <v>1</v>
      </c>
      <c r="CK2084" s="2">
        <v>21</v>
      </c>
      <c r="CL2084" s="2" t="s">
        <v>89</v>
      </c>
    </row>
    <row r="2085" spans="1:90">
      <c r="A2085" s="2" t="s">
        <v>71</v>
      </c>
      <c r="B2085" s="2" t="s">
        <v>72</v>
      </c>
      <c r="C2085" s="2" t="s">
        <v>73</v>
      </c>
      <c r="E2085" s="2" t="str">
        <f>"FES1162595872"</f>
        <v>FES1162595872</v>
      </c>
      <c r="F2085" s="3">
        <v>43083</v>
      </c>
      <c r="G2085" s="2">
        <v>201806</v>
      </c>
      <c r="H2085" s="2" t="s">
        <v>74</v>
      </c>
      <c r="I2085" s="2" t="s">
        <v>75</v>
      </c>
      <c r="J2085" s="2" t="s">
        <v>97</v>
      </c>
      <c r="K2085" s="2" t="s">
        <v>77</v>
      </c>
      <c r="L2085" s="2" t="s">
        <v>212</v>
      </c>
      <c r="M2085" s="2" t="s">
        <v>212</v>
      </c>
      <c r="N2085" s="2" t="s">
        <v>1263</v>
      </c>
      <c r="O2085" s="2" t="s">
        <v>101</v>
      </c>
      <c r="P2085" s="2" t="str">
        <f>"2170607707 .                  "</f>
        <v xml:space="preserve">2170607707 .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6.43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</v>
      </c>
      <c r="BJ2085" s="2">
        <v>0.2</v>
      </c>
      <c r="BK2085" s="2">
        <v>1</v>
      </c>
      <c r="BL2085" s="2">
        <v>45.93</v>
      </c>
      <c r="BM2085" s="2">
        <v>6.43</v>
      </c>
      <c r="BN2085" s="2">
        <v>52.36</v>
      </c>
      <c r="BO2085" s="2">
        <v>52.36</v>
      </c>
      <c r="BQ2085" s="2" t="s">
        <v>82</v>
      </c>
      <c r="BR2085" s="2" t="s">
        <v>103</v>
      </c>
      <c r="BS2085" s="3">
        <v>43084</v>
      </c>
      <c r="BT2085" s="4">
        <v>0.61111111111111105</v>
      </c>
      <c r="BU2085" s="2" t="s">
        <v>2269</v>
      </c>
      <c r="BV2085" s="2" t="s">
        <v>89</v>
      </c>
      <c r="BW2085" s="2" t="s">
        <v>149</v>
      </c>
      <c r="BX2085" s="2" t="s">
        <v>2377</v>
      </c>
      <c r="BY2085" s="2">
        <v>1200</v>
      </c>
      <c r="CC2085" s="2" t="s">
        <v>212</v>
      </c>
      <c r="CD2085" s="2">
        <v>7646</v>
      </c>
      <c r="CE2085" s="2" t="s">
        <v>120</v>
      </c>
      <c r="CF2085" s="3">
        <v>43087</v>
      </c>
      <c r="CI2085" s="2">
        <v>1</v>
      </c>
      <c r="CJ2085" s="2">
        <v>1</v>
      </c>
      <c r="CK2085" s="2">
        <v>21</v>
      </c>
      <c r="CL2085" s="2" t="s">
        <v>89</v>
      </c>
    </row>
    <row r="2086" spans="1:90">
      <c r="A2086" s="2" t="s">
        <v>71</v>
      </c>
      <c r="B2086" s="2" t="s">
        <v>72</v>
      </c>
      <c r="C2086" s="2" t="s">
        <v>73</v>
      </c>
      <c r="E2086" s="2" t="str">
        <f>"FES1162595903"</f>
        <v>FES1162595903</v>
      </c>
      <c r="F2086" s="3">
        <v>43083</v>
      </c>
      <c r="G2086" s="2">
        <v>201806</v>
      </c>
      <c r="H2086" s="2" t="s">
        <v>74</v>
      </c>
      <c r="I2086" s="2" t="s">
        <v>75</v>
      </c>
      <c r="J2086" s="2" t="s">
        <v>97</v>
      </c>
      <c r="K2086" s="2" t="s">
        <v>77</v>
      </c>
      <c r="L2086" s="2" t="s">
        <v>162</v>
      </c>
      <c r="M2086" s="2" t="s">
        <v>163</v>
      </c>
      <c r="N2086" s="2" t="s">
        <v>164</v>
      </c>
      <c r="O2086" s="2" t="s">
        <v>101</v>
      </c>
      <c r="P2086" s="2" t="str">
        <f>"2170607732                    "</f>
        <v xml:space="preserve">2170607732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5.03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</v>
      </c>
      <c r="BJ2086" s="2">
        <v>0.2</v>
      </c>
      <c r="BK2086" s="2">
        <v>1</v>
      </c>
      <c r="BL2086" s="2">
        <v>35.89</v>
      </c>
      <c r="BM2086" s="2">
        <v>5.0199999999999996</v>
      </c>
      <c r="BN2086" s="2">
        <v>40.909999999999997</v>
      </c>
      <c r="BO2086" s="2">
        <v>40.909999999999997</v>
      </c>
      <c r="BQ2086" s="2" t="s">
        <v>102</v>
      </c>
      <c r="BR2086" s="2" t="s">
        <v>103</v>
      </c>
      <c r="BS2086" s="3">
        <v>43084</v>
      </c>
      <c r="BT2086" s="4">
        <v>0.36458333333333331</v>
      </c>
      <c r="BU2086" s="2" t="s">
        <v>2395</v>
      </c>
      <c r="BV2086" s="2" t="s">
        <v>85</v>
      </c>
      <c r="BY2086" s="2">
        <v>1200</v>
      </c>
      <c r="CC2086" s="2" t="s">
        <v>163</v>
      </c>
      <c r="CD2086" s="2">
        <v>1451</v>
      </c>
      <c r="CE2086" s="2" t="s">
        <v>120</v>
      </c>
      <c r="CF2086" s="3">
        <v>43087</v>
      </c>
      <c r="CI2086" s="2">
        <v>1</v>
      </c>
      <c r="CJ2086" s="2">
        <v>1</v>
      </c>
      <c r="CK2086" s="2">
        <v>22</v>
      </c>
      <c r="CL2086" s="2" t="s">
        <v>89</v>
      </c>
    </row>
    <row r="2087" spans="1:90">
      <c r="A2087" s="2" t="s">
        <v>71</v>
      </c>
      <c r="B2087" s="2" t="s">
        <v>72</v>
      </c>
      <c r="C2087" s="2" t="s">
        <v>73</v>
      </c>
      <c r="E2087" s="2" t="str">
        <f>"FES1162595990"</f>
        <v>FES1162595990</v>
      </c>
      <c r="F2087" s="3">
        <v>43083</v>
      </c>
      <c r="G2087" s="2">
        <v>201806</v>
      </c>
      <c r="H2087" s="2" t="s">
        <v>74</v>
      </c>
      <c r="I2087" s="2" t="s">
        <v>75</v>
      </c>
      <c r="J2087" s="2" t="s">
        <v>97</v>
      </c>
      <c r="K2087" s="2" t="s">
        <v>77</v>
      </c>
      <c r="L2087" s="2" t="s">
        <v>74</v>
      </c>
      <c r="M2087" s="2" t="s">
        <v>75</v>
      </c>
      <c r="N2087" s="2" t="s">
        <v>204</v>
      </c>
      <c r="O2087" s="2" t="s">
        <v>101</v>
      </c>
      <c r="P2087" s="2" t="str">
        <f>"2170604359                    "</f>
        <v xml:space="preserve">2170604359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5.03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0.2</v>
      </c>
      <c r="BK2087" s="2">
        <v>1</v>
      </c>
      <c r="BL2087" s="2">
        <v>35.89</v>
      </c>
      <c r="BM2087" s="2">
        <v>5.0199999999999996</v>
      </c>
      <c r="BN2087" s="2">
        <v>40.909999999999997</v>
      </c>
      <c r="BO2087" s="2">
        <v>40.909999999999997</v>
      </c>
      <c r="BQ2087" s="2" t="s">
        <v>102</v>
      </c>
      <c r="BR2087" s="2" t="s">
        <v>103</v>
      </c>
      <c r="BS2087" s="3">
        <v>43084</v>
      </c>
      <c r="BT2087" s="4">
        <v>0.31319444444444444</v>
      </c>
      <c r="BU2087" s="2" t="s">
        <v>205</v>
      </c>
      <c r="BV2087" s="2" t="s">
        <v>85</v>
      </c>
      <c r="BY2087" s="2">
        <v>1200</v>
      </c>
      <c r="CA2087" s="2" t="s">
        <v>206</v>
      </c>
      <c r="CC2087" s="2" t="s">
        <v>75</v>
      </c>
      <c r="CD2087" s="2">
        <v>1645</v>
      </c>
      <c r="CE2087" s="2" t="s">
        <v>120</v>
      </c>
      <c r="CF2087" s="3">
        <v>43088</v>
      </c>
      <c r="CI2087" s="2">
        <v>1</v>
      </c>
      <c r="CJ2087" s="2">
        <v>1</v>
      </c>
      <c r="CK2087" s="2">
        <v>22</v>
      </c>
      <c r="CL2087" s="2" t="s">
        <v>89</v>
      </c>
    </row>
    <row r="2088" spans="1:90">
      <c r="A2088" s="2" t="s">
        <v>71</v>
      </c>
      <c r="B2088" s="2" t="s">
        <v>72</v>
      </c>
      <c r="C2088" s="2" t="s">
        <v>73</v>
      </c>
      <c r="E2088" s="2" t="str">
        <f>"FES1162595895"</f>
        <v>FES1162595895</v>
      </c>
      <c r="F2088" s="3">
        <v>43083</v>
      </c>
      <c r="G2088" s="2">
        <v>201806</v>
      </c>
      <c r="H2088" s="2" t="s">
        <v>74</v>
      </c>
      <c r="I2088" s="2" t="s">
        <v>75</v>
      </c>
      <c r="J2088" s="2" t="s">
        <v>97</v>
      </c>
      <c r="K2088" s="2" t="s">
        <v>77</v>
      </c>
      <c r="L2088" s="2" t="s">
        <v>115</v>
      </c>
      <c r="M2088" s="2" t="s">
        <v>116</v>
      </c>
      <c r="N2088" s="2" t="s">
        <v>724</v>
      </c>
      <c r="O2088" s="2" t="s">
        <v>101</v>
      </c>
      <c r="P2088" s="2" t="str">
        <f>"2170607726                    "</f>
        <v xml:space="preserve">2170607726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5.03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1</v>
      </c>
      <c r="BJ2088" s="2">
        <v>0.2</v>
      </c>
      <c r="BK2088" s="2">
        <v>1</v>
      </c>
      <c r="BL2088" s="2">
        <v>35.89</v>
      </c>
      <c r="BM2088" s="2">
        <v>5.0199999999999996</v>
      </c>
      <c r="BN2088" s="2">
        <v>40.909999999999997</v>
      </c>
      <c r="BO2088" s="2">
        <v>40.909999999999997</v>
      </c>
      <c r="BQ2088" s="2" t="s">
        <v>229</v>
      </c>
      <c r="BR2088" s="2" t="s">
        <v>103</v>
      </c>
      <c r="BS2088" s="3">
        <v>43084</v>
      </c>
      <c r="BT2088" s="4">
        <v>0.33263888888888887</v>
      </c>
      <c r="BU2088" s="2" t="s">
        <v>2239</v>
      </c>
      <c r="BV2088" s="2" t="s">
        <v>85</v>
      </c>
      <c r="BY2088" s="2">
        <v>1200</v>
      </c>
      <c r="CA2088" s="2" t="s">
        <v>119</v>
      </c>
      <c r="CC2088" s="2" t="s">
        <v>116</v>
      </c>
      <c r="CD2088" s="2">
        <v>1459</v>
      </c>
      <c r="CE2088" s="2" t="s">
        <v>120</v>
      </c>
      <c r="CF2088" s="3">
        <v>43087</v>
      </c>
      <c r="CI2088" s="2">
        <v>1</v>
      </c>
      <c r="CJ2088" s="2">
        <v>1</v>
      </c>
      <c r="CK2088" s="2">
        <v>22</v>
      </c>
      <c r="CL2088" s="2" t="s">
        <v>89</v>
      </c>
    </row>
    <row r="2089" spans="1:90">
      <c r="A2089" s="2" t="s">
        <v>71</v>
      </c>
      <c r="B2089" s="2" t="s">
        <v>72</v>
      </c>
      <c r="C2089" s="2" t="s">
        <v>73</v>
      </c>
      <c r="E2089" s="2" t="str">
        <f>"FES1162595977"</f>
        <v>FES1162595977</v>
      </c>
      <c r="F2089" s="3">
        <v>43083</v>
      </c>
      <c r="G2089" s="2">
        <v>201806</v>
      </c>
      <c r="H2089" s="2" t="s">
        <v>74</v>
      </c>
      <c r="I2089" s="2" t="s">
        <v>75</v>
      </c>
      <c r="J2089" s="2" t="s">
        <v>97</v>
      </c>
      <c r="K2089" s="2" t="s">
        <v>77</v>
      </c>
      <c r="L2089" s="2" t="s">
        <v>173</v>
      </c>
      <c r="M2089" s="2" t="s">
        <v>174</v>
      </c>
      <c r="N2089" s="2" t="s">
        <v>2396</v>
      </c>
      <c r="O2089" s="2" t="s">
        <v>101</v>
      </c>
      <c r="P2089" s="2" t="str">
        <f>"2170604150                    "</f>
        <v xml:space="preserve">2170604150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6.43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1</v>
      </c>
      <c r="BJ2089" s="2">
        <v>0.2</v>
      </c>
      <c r="BK2089" s="2">
        <v>1</v>
      </c>
      <c r="BL2089" s="2">
        <v>45.93</v>
      </c>
      <c r="BM2089" s="2">
        <v>6.43</v>
      </c>
      <c r="BN2089" s="2">
        <v>52.36</v>
      </c>
      <c r="BO2089" s="2">
        <v>52.36</v>
      </c>
      <c r="BQ2089" s="2" t="s">
        <v>1398</v>
      </c>
      <c r="BR2089" s="2" t="s">
        <v>103</v>
      </c>
      <c r="BS2089" s="3">
        <v>43084</v>
      </c>
      <c r="BT2089" s="4">
        <v>0.3888888888888889</v>
      </c>
      <c r="BU2089" s="2" t="s">
        <v>2397</v>
      </c>
      <c r="BV2089" s="2" t="s">
        <v>85</v>
      </c>
      <c r="BY2089" s="2">
        <v>1200</v>
      </c>
      <c r="CA2089" s="2" t="s">
        <v>378</v>
      </c>
      <c r="CC2089" s="2" t="s">
        <v>174</v>
      </c>
      <c r="CD2089" s="2">
        <v>7493</v>
      </c>
      <c r="CE2089" s="2" t="s">
        <v>120</v>
      </c>
      <c r="CF2089" s="3">
        <v>43087</v>
      </c>
      <c r="CI2089" s="2">
        <v>1</v>
      </c>
      <c r="CJ2089" s="2">
        <v>1</v>
      </c>
      <c r="CK2089" s="2">
        <v>21</v>
      </c>
      <c r="CL2089" s="2" t="s">
        <v>89</v>
      </c>
    </row>
    <row r="2090" spans="1:90">
      <c r="A2090" s="2" t="s">
        <v>71</v>
      </c>
      <c r="B2090" s="2" t="s">
        <v>72</v>
      </c>
      <c r="C2090" s="2" t="s">
        <v>73</v>
      </c>
      <c r="E2090" s="2" t="str">
        <f>"FES1162596123"</f>
        <v>FES1162596123</v>
      </c>
      <c r="F2090" s="3">
        <v>43083</v>
      </c>
      <c r="G2090" s="2">
        <v>201806</v>
      </c>
      <c r="H2090" s="2" t="s">
        <v>74</v>
      </c>
      <c r="I2090" s="2" t="s">
        <v>75</v>
      </c>
      <c r="J2090" s="2" t="s">
        <v>97</v>
      </c>
      <c r="K2090" s="2" t="s">
        <v>77</v>
      </c>
      <c r="L2090" s="2" t="s">
        <v>1855</v>
      </c>
      <c r="M2090" s="2" t="s">
        <v>1856</v>
      </c>
      <c r="N2090" s="2" t="s">
        <v>1857</v>
      </c>
      <c r="O2090" s="2" t="s">
        <v>101</v>
      </c>
      <c r="P2090" s="2" t="str">
        <f>"2170602784                    "</f>
        <v xml:space="preserve">2170602784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9.0500000000000007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64.599999999999994</v>
      </c>
      <c r="BM2090" s="2">
        <v>9.0399999999999991</v>
      </c>
      <c r="BN2090" s="2">
        <v>73.64</v>
      </c>
      <c r="BO2090" s="2">
        <v>73.64</v>
      </c>
      <c r="BQ2090" s="2" t="s">
        <v>102</v>
      </c>
      <c r="BR2090" s="2" t="s">
        <v>103</v>
      </c>
      <c r="BS2090" s="3">
        <v>43084</v>
      </c>
      <c r="BT2090" s="4">
        <v>0.4236111111111111</v>
      </c>
      <c r="BU2090" s="2" t="s">
        <v>2398</v>
      </c>
      <c r="BV2090" s="2" t="s">
        <v>85</v>
      </c>
      <c r="BY2090" s="2">
        <v>1200</v>
      </c>
      <c r="CC2090" s="2" t="s">
        <v>1856</v>
      </c>
      <c r="CD2090" s="2">
        <v>1441</v>
      </c>
      <c r="CE2090" s="2" t="s">
        <v>120</v>
      </c>
      <c r="CF2090" s="3">
        <v>43088</v>
      </c>
      <c r="CI2090" s="2">
        <v>1</v>
      </c>
      <c r="CJ2090" s="2">
        <v>1</v>
      </c>
      <c r="CK2090" s="2">
        <v>24</v>
      </c>
      <c r="CL2090" s="2" t="s">
        <v>89</v>
      </c>
    </row>
    <row r="2091" spans="1:90">
      <c r="A2091" s="2" t="s">
        <v>71</v>
      </c>
      <c r="B2091" s="2" t="s">
        <v>72</v>
      </c>
      <c r="C2091" s="2" t="s">
        <v>73</v>
      </c>
      <c r="E2091" s="2" t="str">
        <f>"FES1162595908"</f>
        <v>FES1162595908</v>
      </c>
      <c r="F2091" s="3">
        <v>43083</v>
      </c>
      <c r="G2091" s="2">
        <v>201806</v>
      </c>
      <c r="H2091" s="2" t="s">
        <v>74</v>
      </c>
      <c r="I2091" s="2" t="s">
        <v>75</v>
      </c>
      <c r="J2091" s="2" t="s">
        <v>97</v>
      </c>
      <c r="K2091" s="2" t="s">
        <v>77</v>
      </c>
      <c r="L2091" s="2" t="s">
        <v>440</v>
      </c>
      <c r="M2091" s="2" t="s">
        <v>441</v>
      </c>
      <c r="N2091" s="2" t="s">
        <v>1844</v>
      </c>
      <c r="O2091" s="2" t="s">
        <v>101</v>
      </c>
      <c r="P2091" s="2" t="str">
        <f>"2170607740                    "</f>
        <v xml:space="preserve">2170607740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9.0500000000000007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64.599999999999994</v>
      </c>
      <c r="BM2091" s="2">
        <v>9.0399999999999991</v>
      </c>
      <c r="BN2091" s="2">
        <v>73.64</v>
      </c>
      <c r="BO2091" s="2">
        <v>73.64</v>
      </c>
      <c r="BQ2091" s="2" t="s">
        <v>82</v>
      </c>
      <c r="BR2091" s="2" t="s">
        <v>103</v>
      </c>
      <c r="BS2091" s="3">
        <v>43084</v>
      </c>
      <c r="BT2091" s="4">
        <v>0.65763888888888888</v>
      </c>
      <c r="BU2091" s="2" t="s">
        <v>2399</v>
      </c>
      <c r="BV2091" s="2" t="s">
        <v>85</v>
      </c>
      <c r="BY2091" s="2">
        <v>1200</v>
      </c>
      <c r="CC2091" s="2" t="s">
        <v>441</v>
      </c>
      <c r="CD2091" s="2">
        <v>1759</v>
      </c>
      <c r="CE2091" s="2" t="s">
        <v>120</v>
      </c>
      <c r="CF2091" s="3">
        <v>43088</v>
      </c>
      <c r="CI2091" s="2">
        <v>1</v>
      </c>
      <c r="CJ2091" s="2">
        <v>1</v>
      </c>
      <c r="CK2091" s="2">
        <v>24</v>
      </c>
      <c r="CL2091" s="2" t="s">
        <v>89</v>
      </c>
    </row>
    <row r="2092" spans="1:90">
      <c r="A2092" s="2" t="s">
        <v>71</v>
      </c>
      <c r="B2092" s="2" t="s">
        <v>72</v>
      </c>
      <c r="C2092" s="2" t="s">
        <v>73</v>
      </c>
      <c r="E2092" s="2" t="str">
        <f>"FES1162596137"</f>
        <v>FES1162596137</v>
      </c>
      <c r="F2092" s="3">
        <v>43083</v>
      </c>
      <c r="G2092" s="2">
        <v>201806</v>
      </c>
      <c r="H2092" s="2" t="s">
        <v>74</v>
      </c>
      <c r="I2092" s="2" t="s">
        <v>75</v>
      </c>
      <c r="J2092" s="2" t="s">
        <v>97</v>
      </c>
      <c r="K2092" s="2" t="s">
        <v>77</v>
      </c>
      <c r="L2092" s="2" t="s">
        <v>136</v>
      </c>
      <c r="M2092" s="2" t="s">
        <v>137</v>
      </c>
      <c r="N2092" s="2" t="s">
        <v>1586</v>
      </c>
      <c r="O2092" s="2" t="s">
        <v>101</v>
      </c>
      <c r="P2092" s="2" t="str">
        <f>"20170607886                   "</f>
        <v xml:space="preserve">20170607886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30.55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7</v>
      </c>
      <c r="BJ2092" s="2">
        <v>9.1999999999999993</v>
      </c>
      <c r="BK2092" s="2">
        <v>9.5</v>
      </c>
      <c r="BL2092" s="2">
        <v>218.1</v>
      </c>
      <c r="BM2092" s="2">
        <v>30.53</v>
      </c>
      <c r="BN2092" s="2">
        <v>248.63</v>
      </c>
      <c r="BO2092" s="2">
        <v>248.63</v>
      </c>
      <c r="BQ2092" s="2" t="s">
        <v>82</v>
      </c>
      <c r="BR2092" s="2" t="s">
        <v>103</v>
      </c>
      <c r="BS2092" s="3">
        <v>43084</v>
      </c>
      <c r="BT2092" s="4">
        <v>0.40625</v>
      </c>
      <c r="BU2092" s="2" t="s">
        <v>1795</v>
      </c>
      <c r="BV2092" s="2" t="s">
        <v>85</v>
      </c>
      <c r="BY2092" s="2">
        <v>46216.51</v>
      </c>
      <c r="CA2092" s="2" t="s">
        <v>261</v>
      </c>
      <c r="CC2092" s="2" t="s">
        <v>137</v>
      </c>
      <c r="CD2092" s="2">
        <v>6045</v>
      </c>
      <c r="CE2092" s="2" t="s">
        <v>95</v>
      </c>
      <c r="CF2092" s="3">
        <v>43088</v>
      </c>
      <c r="CI2092" s="2">
        <v>1</v>
      </c>
      <c r="CJ2092" s="2">
        <v>1</v>
      </c>
      <c r="CK2092" s="2">
        <v>21</v>
      </c>
      <c r="CL2092" s="2" t="s">
        <v>89</v>
      </c>
    </row>
    <row r="2093" spans="1:90">
      <c r="A2093" s="2" t="s">
        <v>71</v>
      </c>
      <c r="B2093" s="2" t="s">
        <v>72</v>
      </c>
      <c r="C2093" s="2" t="s">
        <v>73</v>
      </c>
      <c r="E2093" s="2" t="str">
        <f>"FES1162596129"</f>
        <v>FES1162596129</v>
      </c>
      <c r="F2093" s="3">
        <v>43083</v>
      </c>
      <c r="G2093" s="2">
        <v>201806</v>
      </c>
      <c r="H2093" s="2" t="s">
        <v>74</v>
      </c>
      <c r="I2093" s="2" t="s">
        <v>75</v>
      </c>
      <c r="J2093" s="2" t="s">
        <v>97</v>
      </c>
      <c r="K2093" s="2" t="s">
        <v>77</v>
      </c>
      <c r="L2093" s="2" t="s">
        <v>136</v>
      </c>
      <c r="M2093" s="2" t="s">
        <v>137</v>
      </c>
      <c r="N2093" s="2" t="s">
        <v>258</v>
      </c>
      <c r="O2093" s="2" t="s">
        <v>101</v>
      </c>
      <c r="P2093" s="2" t="str">
        <f>"2170607874                    "</f>
        <v xml:space="preserve">2170607874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30.55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9.5</v>
      </c>
      <c r="BJ2093" s="2">
        <v>9.5</v>
      </c>
      <c r="BK2093" s="2">
        <v>9.5</v>
      </c>
      <c r="BL2093" s="2">
        <v>218.1</v>
      </c>
      <c r="BM2093" s="2">
        <v>30.53</v>
      </c>
      <c r="BN2093" s="2">
        <v>248.63</v>
      </c>
      <c r="BO2093" s="2">
        <v>248.63</v>
      </c>
      <c r="BQ2093" s="2" t="s">
        <v>102</v>
      </c>
      <c r="BR2093" s="2" t="s">
        <v>103</v>
      </c>
      <c r="BS2093" s="3">
        <v>43084</v>
      </c>
      <c r="BT2093" s="4">
        <v>0.4236111111111111</v>
      </c>
      <c r="BU2093" s="2" t="s">
        <v>2400</v>
      </c>
      <c r="BV2093" s="2" t="s">
        <v>85</v>
      </c>
      <c r="BY2093" s="2">
        <v>47413.8</v>
      </c>
      <c r="CA2093" s="2" t="s">
        <v>2354</v>
      </c>
      <c r="CC2093" s="2" t="s">
        <v>137</v>
      </c>
      <c r="CD2093" s="2">
        <v>6001</v>
      </c>
      <c r="CE2093" s="2" t="s">
        <v>87</v>
      </c>
      <c r="CF2093" s="3">
        <v>43088</v>
      </c>
      <c r="CI2093" s="2">
        <v>1</v>
      </c>
      <c r="CJ2093" s="2">
        <v>1</v>
      </c>
      <c r="CK2093" s="2">
        <v>21</v>
      </c>
      <c r="CL2093" s="2" t="s">
        <v>89</v>
      </c>
    </row>
    <row r="2094" spans="1:90">
      <c r="A2094" s="2" t="s">
        <v>71</v>
      </c>
      <c r="B2094" s="2" t="s">
        <v>72</v>
      </c>
      <c r="C2094" s="2" t="s">
        <v>73</v>
      </c>
      <c r="E2094" s="2" t="str">
        <f>"FES1162596128"</f>
        <v>FES1162596128</v>
      </c>
      <c r="F2094" s="3">
        <v>43083</v>
      </c>
      <c r="G2094" s="2">
        <v>201806</v>
      </c>
      <c r="H2094" s="2" t="s">
        <v>74</v>
      </c>
      <c r="I2094" s="2" t="s">
        <v>75</v>
      </c>
      <c r="J2094" s="2" t="s">
        <v>97</v>
      </c>
      <c r="K2094" s="2" t="s">
        <v>77</v>
      </c>
      <c r="L2094" s="2" t="s">
        <v>106</v>
      </c>
      <c r="M2094" s="2" t="s">
        <v>107</v>
      </c>
      <c r="N2094" s="2" t="s">
        <v>108</v>
      </c>
      <c r="O2094" s="2" t="s">
        <v>101</v>
      </c>
      <c r="P2094" s="2" t="str">
        <f>"2170607870                    "</f>
        <v xml:space="preserve">2170607870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5.03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</v>
      </c>
      <c r="BJ2094" s="2">
        <v>0.2</v>
      </c>
      <c r="BK2094" s="2">
        <v>1</v>
      </c>
      <c r="BL2094" s="2">
        <v>35.89</v>
      </c>
      <c r="BM2094" s="2">
        <v>5.0199999999999996</v>
      </c>
      <c r="BN2094" s="2">
        <v>40.909999999999997</v>
      </c>
      <c r="BO2094" s="2">
        <v>40.909999999999997</v>
      </c>
      <c r="BQ2094" s="2" t="s">
        <v>82</v>
      </c>
      <c r="BR2094" s="2" t="s">
        <v>103</v>
      </c>
      <c r="BS2094" s="3">
        <v>43084</v>
      </c>
      <c r="BT2094" s="4">
        <v>0.4375</v>
      </c>
      <c r="BU2094" s="2" t="s">
        <v>1227</v>
      </c>
      <c r="BV2094" s="2" t="s">
        <v>85</v>
      </c>
      <c r="BY2094" s="2">
        <v>1200</v>
      </c>
      <c r="CA2094" s="2" t="s">
        <v>110</v>
      </c>
      <c r="CC2094" s="2" t="s">
        <v>107</v>
      </c>
      <c r="CD2094" s="2">
        <v>2094</v>
      </c>
      <c r="CE2094" s="2" t="s">
        <v>120</v>
      </c>
      <c r="CF2094" s="3">
        <v>43087</v>
      </c>
      <c r="CI2094" s="2">
        <v>1</v>
      </c>
      <c r="CJ2094" s="2">
        <v>1</v>
      </c>
      <c r="CK2094" s="2">
        <v>22</v>
      </c>
      <c r="CL2094" s="2" t="s">
        <v>89</v>
      </c>
    </row>
    <row r="2095" spans="1:90">
      <c r="A2095" s="2" t="s">
        <v>71</v>
      </c>
      <c r="B2095" s="2" t="s">
        <v>72</v>
      </c>
      <c r="C2095" s="2" t="s">
        <v>73</v>
      </c>
      <c r="E2095" s="2" t="str">
        <f>"FES1162596113"</f>
        <v>FES1162596113</v>
      </c>
      <c r="F2095" s="3">
        <v>43083</v>
      </c>
      <c r="G2095" s="2">
        <v>201806</v>
      </c>
      <c r="H2095" s="2" t="s">
        <v>74</v>
      </c>
      <c r="I2095" s="2" t="s">
        <v>75</v>
      </c>
      <c r="J2095" s="2" t="s">
        <v>97</v>
      </c>
      <c r="K2095" s="2" t="s">
        <v>77</v>
      </c>
      <c r="L2095" s="2" t="s">
        <v>262</v>
      </c>
      <c r="M2095" s="2" t="s">
        <v>263</v>
      </c>
      <c r="N2095" s="2" t="s">
        <v>809</v>
      </c>
      <c r="O2095" s="2" t="s">
        <v>101</v>
      </c>
      <c r="P2095" s="2" t="str">
        <f>"2170607022                    "</f>
        <v xml:space="preserve">2170607022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19.3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5.6</v>
      </c>
      <c r="BJ2095" s="2">
        <v>1.8</v>
      </c>
      <c r="BK2095" s="2">
        <v>6</v>
      </c>
      <c r="BL2095" s="2">
        <v>137.76</v>
      </c>
      <c r="BM2095" s="2">
        <v>19.29</v>
      </c>
      <c r="BN2095" s="2">
        <v>157.05000000000001</v>
      </c>
      <c r="BO2095" s="2">
        <v>157.05000000000001</v>
      </c>
      <c r="BQ2095" s="2" t="s">
        <v>102</v>
      </c>
      <c r="BR2095" s="2" t="s">
        <v>103</v>
      </c>
      <c r="BS2095" s="3">
        <v>43084</v>
      </c>
      <c r="BT2095" s="4">
        <v>0.39583333333333331</v>
      </c>
      <c r="BU2095" s="2" t="s">
        <v>2401</v>
      </c>
      <c r="BV2095" s="2" t="s">
        <v>85</v>
      </c>
      <c r="BY2095" s="2">
        <v>9230.42</v>
      </c>
      <c r="CA2095" s="2" t="s">
        <v>266</v>
      </c>
      <c r="CC2095" s="2" t="s">
        <v>263</v>
      </c>
      <c r="CD2095" s="2">
        <v>6229</v>
      </c>
      <c r="CE2095" s="2" t="s">
        <v>95</v>
      </c>
      <c r="CF2095" s="3">
        <v>43088</v>
      </c>
      <c r="CI2095" s="2">
        <v>1</v>
      </c>
      <c r="CJ2095" s="2">
        <v>1</v>
      </c>
      <c r="CK2095" s="2">
        <v>21</v>
      </c>
      <c r="CL2095" s="2" t="s">
        <v>89</v>
      </c>
    </row>
    <row r="2096" spans="1:90">
      <c r="A2096" s="2" t="s">
        <v>71</v>
      </c>
      <c r="B2096" s="2" t="s">
        <v>72</v>
      </c>
      <c r="C2096" s="2" t="s">
        <v>73</v>
      </c>
      <c r="E2096" s="2" t="str">
        <f>"FES1162595927"</f>
        <v>FES1162595927</v>
      </c>
      <c r="F2096" s="3">
        <v>43083</v>
      </c>
      <c r="G2096" s="2">
        <v>201806</v>
      </c>
      <c r="H2096" s="2" t="s">
        <v>74</v>
      </c>
      <c r="I2096" s="2" t="s">
        <v>75</v>
      </c>
      <c r="J2096" s="2" t="s">
        <v>97</v>
      </c>
      <c r="K2096" s="2" t="s">
        <v>77</v>
      </c>
      <c r="L2096" s="2" t="s">
        <v>131</v>
      </c>
      <c r="M2096" s="2" t="s">
        <v>132</v>
      </c>
      <c r="N2096" s="2" t="s">
        <v>228</v>
      </c>
      <c r="O2096" s="2" t="s">
        <v>101</v>
      </c>
      <c r="P2096" s="2" t="str">
        <f>"2170604282                    "</f>
        <v xml:space="preserve">2170604282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12.87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4</v>
      </c>
      <c r="BJ2096" s="2">
        <v>1.6</v>
      </c>
      <c r="BK2096" s="2">
        <v>4</v>
      </c>
      <c r="BL2096" s="2">
        <v>91.85</v>
      </c>
      <c r="BM2096" s="2">
        <v>12.86</v>
      </c>
      <c r="BN2096" s="2">
        <v>104.71</v>
      </c>
      <c r="BO2096" s="2">
        <v>104.71</v>
      </c>
      <c r="BQ2096" s="2" t="s">
        <v>229</v>
      </c>
      <c r="BR2096" s="2" t="s">
        <v>103</v>
      </c>
      <c r="BS2096" s="3">
        <v>43084</v>
      </c>
      <c r="BT2096" s="4">
        <v>0.3923611111111111</v>
      </c>
      <c r="BU2096" s="2" t="s">
        <v>230</v>
      </c>
      <c r="BV2096" s="2" t="s">
        <v>85</v>
      </c>
      <c r="BY2096" s="2">
        <v>8186.11</v>
      </c>
      <c r="CA2096" s="2" t="s">
        <v>231</v>
      </c>
      <c r="CC2096" s="2" t="s">
        <v>132</v>
      </c>
      <c r="CD2096" s="2">
        <v>4300</v>
      </c>
      <c r="CE2096" s="2" t="s">
        <v>95</v>
      </c>
      <c r="CF2096" s="3">
        <v>43087</v>
      </c>
      <c r="CI2096" s="2">
        <v>1</v>
      </c>
      <c r="CJ2096" s="2">
        <v>1</v>
      </c>
      <c r="CK2096" s="2">
        <v>21</v>
      </c>
      <c r="CL2096" s="2" t="s">
        <v>89</v>
      </c>
    </row>
    <row r="2097" spans="1:90">
      <c r="A2097" s="2" t="s">
        <v>71</v>
      </c>
      <c r="B2097" s="2" t="s">
        <v>72</v>
      </c>
      <c r="C2097" s="2" t="s">
        <v>73</v>
      </c>
      <c r="E2097" s="2" t="str">
        <f>"FES1162595991"</f>
        <v>FES1162595991</v>
      </c>
      <c r="F2097" s="3">
        <v>43083</v>
      </c>
      <c r="G2097" s="2">
        <v>201806</v>
      </c>
      <c r="H2097" s="2" t="s">
        <v>74</v>
      </c>
      <c r="I2097" s="2" t="s">
        <v>75</v>
      </c>
      <c r="J2097" s="2" t="s">
        <v>97</v>
      </c>
      <c r="K2097" s="2" t="s">
        <v>77</v>
      </c>
      <c r="L2097" s="2" t="s">
        <v>98</v>
      </c>
      <c r="M2097" s="2" t="s">
        <v>99</v>
      </c>
      <c r="N2097" s="2" t="s">
        <v>2402</v>
      </c>
      <c r="O2097" s="2" t="s">
        <v>101</v>
      </c>
      <c r="P2097" s="2" t="str">
        <f>"21706043484                   "</f>
        <v xml:space="preserve">21706043484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33.770000000000003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10.5</v>
      </c>
      <c r="BJ2097" s="2">
        <v>2</v>
      </c>
      <c r="BK2097" s="2">
        <v>10.5</v>
      </c>
      <c r="BL2097" s="2">
        <v>241.06</v>
      </c>
      <c r="BM2097" s="2">
        <v>33.75</v>
      </c>
      <c r="BN2097" s="2">
        <v>274.81</v>
      </c>
      <c r="BO2097" s="2">
        <v>274.81</v>
      </c>
      <c r="BR2097" s="2" t="s">
        <v>103</v>
      </c>
      <c r="BS2097" s="3">
        <v>43087</v>
      </c>
      <c r="BT2097" s="4">
        <v>0.39583333333333331</v>
      </c>
      <c r="BU2097" s="2" t="s">
        <v>2403</v>
      </c>
      <c r="BV2097" s="2" t="s">
        <v>89</v>
      </c>
      <c r="BW2097" s="2" t="s">
        <v>149</v>
      </c>
      <c r="BX2097" s="2" t="s">
        <v>1390</v>
      </c>
      <c r="BY2097" s="2">
        <v>9987.84</v>
      </c>
      <c r="CA2097" s="2" t="s">
        <v>497</v>
      </c>
      <c r="CC2097" s="2" t="s">
        <v>99</v>
      </c>
      <c r="CD2097" s="2">
        <v>3201</v>
      </c>
      <c r="CE2097" s="2" t="s">
        <v>95</v>
      </c>
      <c r="CF2097" s="3">
        <v>43089</v>
      </c>
      <c r="CI2097" s="2">
        <v>1</v>
      </c>
      <c r="CJ2097" s="2">
        <v>2</v>
      </c>
      <c r="CK2097" s="2">
        <v>21</v>
      </c>
      <c r="CL2097" s="2" t="s">
        <v>89</v>
      </c>
    </row>
    <row r="2098" spans="1:90">
      <c r="A2098" s="2" t="s">
        <v>71</v>
      </c>
      <c r="B2098" s="2" t="s">
        <v>72</v>
      </c>
      <c r="C2098" s="2" t="s">
        <v>73</v>
      </c>
      <c r="E2098" s="2" t="str">
        <f>"FES1162596055"</f>
        <v>FES1162596055</v>
      </c>
      <c r="F2098" s="3">
        <v>43083</v>
      </c>
      <c r="G2098" s="2">
        <v>201806</v>
      </c>
      <c r="H2098" s="2" t="s">
        <v>74</v>
      </c>
      <c r="I2098" s="2" t="s">
        <v>75</v>
      </c>
      <c r="J2098" s="2" t="s">
        <v>97</v>
      </c>
      <c r="K2098" s="2" t="s">
        <v>77</v>
      </c>
      <c r="L2098" s="2" t="s">
        <v>125</v>
      </c>
      <c r="M2098" s="2" t="s">
        <v>126</v>
      </c>
      <c r="N2098" s="2" t="s">
        <v>2000</v>
      </c>
      <c r="O2098" s="2" t="s">
        <v>101</v>
      </c>
      <c r="P2098" s="2" t="str">
        <f>"2170607795                    "</f>
        <v xml:space="preserve">2170607795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20.9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6.2</v>
      </c>
      <c r="BJ2098" s="2">
        <v>4</v>
      </c>
      <c r="BK2098" s="2">
        <v>6.5</v>
      </c>
      <c r="BL2098" s="2">
        <v>149.22999999999999</v>
      </c>
      <c r="BM2098" s="2">
        <v>20.89</v>
      </c>
      <c r="BN2098" s="2">
        <v>170.12</v>
      </c>
      <c r="BO2098" s="2">
        <v>170.12</v>
      </c>
      <c r="BQ2098" s="2" t="s">
        <v>82</v>
      </c>
      <c r="BR2098" s="2" t="s">
        <v>103</v>
      </c>
      <c r="BS2098" s="3">
        <v>43084</v>
      </c>
      <c r="BT2098" s="4">
        <v>0.37847222222222227</v>
      </c>
      <c r="BU2098" s="2" t="s">
        <v>2404</v>
      </c>
      <c r="BV2098" s="2" t="s">
        <v>85</v>
      </c>
      <c r="BY2098" s="2">
        <v>19980.580000000002</v>
      </c>
      <c r="CA2098" s="2" t="s">
        <v>578</v>
      </c>
      <c r="CC2098" s="2" t="s">
        <v>126</v>
      </c>
      <c r="CD2098" s="2">
        <v>4052</v>
      </c>
      <c r="CE2098" s="2" t="s">
        <v>87</v>
      </c>
      <c r="CF2098" s="3">
        <v>43087</v>
      </c>
      <c r="CI2098" s="2">
        <v>1</v>
      </c>
      <c r="CJ2098" s="2">
        <v>1</v>
      </c>
      <c r="CK2098" s="2">
        <v>21</v>
      </c>
      <c r="CL2098" s="2" t="s">
        <v>89</v>
      </c>
    </row>
    <row r="2099" spans="1:90">
      <c r="A2099" s="2" t="s">
        <v>71</v>
      </c>
      <c r="B2099" s="2" t="s">
        <v>72</v>
      </c>
      <c r="C2099" s="2" t="s">
        <v>73</v>
      </c>
      <c r="E2099" s="2" t="str">
        <f>"FES1162596035"</f>
        <v>FES1162596035</v>
      </c>
      <c r="F2099" s="3">
        <v>43083</v>
      </c>
      <c r="G2099" s="2">
        <v>201806</v>
      </c>
      <c r="H2099" s="2" t="s">
        <v>74</v>
      </c>
      <c r="I2099" s="2" t="s">
        <v>75</v>
      </c>
      <c r="J2099" s="2" t="s">
        <v>97</v>
      </c>
      <c r="K2099" s="2" t="s">
        <v>77</v>
      </c>
      <c r="L2099" s="2" t="s">
        <v>125</v>
      </c>
      <c r="M2099" s="2" t="s">
        <v>126</v>
      </c>
      <c r="N2099" s="2" t="s">
        <v>664</v>
      </c>
      <c r="O2099" s="2" t="s">
        <v>101</v>
      </c>
      <c r="P2099" s="2" t="str">
        <f>"2170607773                    "</f>
        <v xml:space="preserve">2170607773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9.65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1.4</v>
      </c>
      <c r="BJ2099" s="2">
        <v>2.8</v>
      </c>
      <c r="BK2099" s="2">
        <v>3</v>
      </c>
      <c r="BL2099" s="2">
        <v>68.89</v>
      </c>
      <c r="BM2099" s="2">
        <v>9.64</v>
      </c>
      <c r="BN2099" s="2">
        <v>78.53</v>
      </c>
      <c r="BO2099" s="2">
        <v>78.53</v>
      </c>
      <c r="BQ2099" s="2" t="s">
        <v>102</v>
      </c>
      <c r="BR2099" s="2" t="s">
        <v>103</v>
      </c>
      <c r="BS2099" s="3">
        <v>43084</v>
      </c>
      <c r="BT2099" s="4">
        <v>0.41666666666666669</v>
      </c>
      <c r="BU2099" s="2" t="s">
        <v>665</v>
      </c>
      <c r="BV2099" s="2" t="s">
        <v>85</v>
      </c>
      <c r="BY2099" s="2">
        <v>14037.91</v>
      </c>
      <c r="CA2099" s="2" t="s">
        <v>666</v>
      </c>
      <c r="CC2099" s="2" t="s">
        <v>126</v>
      </c>
      <c r="CD2099" s="2">
        <v>4001</v>
      </c>
      <c r="CE2099" s="2" t="s">
        <v>87</v>
      </c>
      <c r="CF2099" s="3">
        <v>43087</v>
      </c>
      <c r="CI2099" s="2">
        <v>1</v>
      </c>
      <c r="CJ2099" s="2">
        <v>1</v>
      </c>
      <c r="CK2099" s="2">
        <v>21</v>
      </c>
      <c r="CL2099" s="2" t="s">
        <v>89</v>
      </c>
    </row>
    <row r="2100" spans="1:90">
      <c r="A2100" s="2" t="s">
        <v>71</v>
      </c>
      <c r="B2100" s="2" t="s">
        <v>72</v>
      </c>
      <c r="C2100" s="2" t="s">
        <v>73</v>
      </c>
      <c r="E2100" s="2" t="str">
        <f>"FES1162596109"</f>
        <v>FES1162596109</v>
      </c>
      <c r="F2100" s="3">
        <v>43083</v>
      </c>
      <c r="G2100" s="2">
        <v>201806</v>
      </c>
      <c r="H2100" s="2" t="s">
        <v>74</v>
      </c>
      <c r="I2100" s="2" t="s">
        <v>75</v>
      </c>
      <c r="J2100" s="2" t="s">
        <v>97</v>
      </c>
      <c r="K2100" s="2" t="s">
        <v>77</v>
      </c>
      <c r="L2100" s="2" t="s">
        <v>277</v>
      </c>
      <c r="M2100" s="2" t="s">
        <v>278</v>
      </c>
      <c r="N2100" s="2" t="s">
        <v>2405</v>
      </c>
      <c r="O2100" s="2" t="s">
        <v>101</v>
      </c>
      <c r="P2100" s="2" t="str">
        <f>"2170607857                    "</f>
        <v xml:space="preserve">2170607857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5.03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</v>
      </c>
      <c r="BJ2100" s="2">
        <v>0.2</v>
      </c>
      <c r="BK2100" s="2">
        <v>1</v>
      </c>
      <c r="BL2100" s="2">
        <v>35.89</v>
      </c>
      <c r="BM2100" s="2">
        <v>5.0199999999999996</v>
      </c>
      <c r="BN2100" s="2">
        <v>40.909999999999997</v>
      </c>
      <c r="BO2100" s="2">
        <v>40.909999999999997</v>
      </c>
      <c r="BR2100" s="2" t="s">
        <v>103</v>
      </c>
      <c r="BS2100" s="3">
        <v>43084</v>
      </c>
      <c r="BT2100" s="4">
        <v>0.4375</v>
      </c>
      <c r="BU2100" s="2" t="s">
        <v>632</v>
      </c>
      <c r="BV2100" s="2" t="s">
        <v>85</v>
      </c>
      <c r="BY2100" s="2">
        <v>1200</v>
      </c>
      <c r="CA2100" s="2" t="s">
        <v>320</v>
      </c>
      <c r="CC2100" s="2" t="s">
        <v>278</v>
      </c>
      <c r="CD2100" s="2">
        <v>2163</v>
      </c>
      <c r="CE2100" s="2" t="s">
        <v>120</v>
      </c>
      <c r="CF2100" s="3">
        <v>43087</v>
      </c>
      <c r="CI2100" s="2">
        <v>1</v>
      </c>
      <c r="CJ2100" s="2">
        <v>1</v>
      </c>
      <c r="CK2100" s="2">
        <v>22</v>
      </c>
      <c r="CL2100" s="2" t="s">
        <v>89</v>
      </c>
    </row>
    <row r="2101" spans="1:90">
      <c r="A2101" s="2" t="s">
        <v>71</v>
      </c>
      <c r="B2101" s="2" t="s">
        <v>72</v>
      </c>
      <c r="C2101" s="2" t="s">
        <v>73</v>
      </c>
      <c r="E2101" s="2" t="str">
        <f>"FES1162596138"</f>
        <v>FES1162596138</v>
      </c>
      <c r="F2101" s="3">
        <v>43083</v>
      </c>
      <c r="G2101" s="2">
        <v>201806</v>
      </c>
      <c r="H2101" s="2" t="s">
        <v>74</v>
      </c>
      <c r="I2101" s="2" t="s">
        <v>75</v>
      </c>
      <c r="J2101" s="2" t="s">
        <v>97</v>
      </c>
      <c r="K2101" s="2" t="s">
        <v>77</v>
      </c>
      <c r="L2101" s="2" t="s">
        <v>115</v>
      </c>
      <c r="M2101" s="2" t="s">
        <v>116</v>
      </c>
      <c r="N2101" s="2" t="s">
        <v>2406</v>
      </c>
      <c r="O2101" s="2" t="s">
        <v>101</v>
      </c>
      <c r="P2101" s="2" t="str">
        <f>"2170607887                    "</f>
        <v xml:space="preserve">2170607887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5.03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</v>
      </c>
      <c r="BJ2101" s="2">
        <v>0.2</v>
      </c>
      <c r="BK2101" s="2">
        <v>1</v>
      </c>
      <c r="BL2101" s="2">
        <v>35.89</v>
      </c>
      <c r="BM2101" s="2">
        <v>5.0199999999999996</v>
      </c>
      <c r="BN2101" s="2">
        <v>40.909999999999997</v>
      </c>
      <c r="BO2101" s="2">
        <v>40.909999999999997</v>
      </c>
      <c r="BR2101" s="2" t="s">
        <v>103</v>
      </c>
      <c r="BS2101" s="3">
        <v>43084</v>
      </c>
      <c r="BT2101" s="4">
        <v>0.4055555555555555</v>
      </c>
      <c r="BU2101" s="2" t="s">
        <v>2407</v>
      </c>
      <c r="BV2101" s="2" t="s">
        <v>85</v>
      </c>
      <c r="BY2101" s="2">
        <v>1200</v>
      </c>
      <c r="CA2101" s="2" t="s">
        <v>386</v>
      </c>
      <c r="CC2101" s="2" t="s">
        <v>116</v>
      </c>
      <c r="CD2101" s="2">
        <v>1459</v>
      </c>
      <c r="CE2101" s="2" t="s">
        <v>120</v>
      </c>
      <c r="CF2101" s="3">
        <v>43087</v>
      </c>
      <c r="CI2101" s="2">
        <v>1</v>
      </c>
      <c r="CJ2101" s="2">
        <v>1</v>
      </c>
      <c r="CK2101" s="2">
        <v>22</v>
      </c>
      <c r="CL2101" s="2" t="s">
        <v>89</v>
      </c>
    </row>
    <row r="2102" spans="1:90">
      <c r="A2102" s="2" t="s">
        <v>71</v>
      </c>
      <c r="B2102" s="2" t="s">
        <v>72</v>
      </c>
      <c r="C2102" s="2" t="s">
        <v>73</v>
      </c>
      <c r="E2102" s="2" t="str">
        <f>"FES1162596160"</f>
        <v>FES1162596160</v>
      </c>
      <c r="F2102" s="3">
        <v>43083</v>
      </c>
      <c r="G2102" s="2">
        <v>201806</v>
      </c>
      <c r="H2102" s="2" t="s">
        <v>74</v>
      </c>
      <c r="I2102" s="2" t="s">
        <v>75</v>
      </c>
      <c r="J2102" s="2" t="s">
        <v>97</v>
      </c>
      <c r="K2102" s="2" t="s">
        <v>77</v>
      </c>
      <c r="L2102" s="2" t="s">
        <v>145</v>
      </c>
      <c r="M2102" s="2" t="s">
        <v>146</v>
      </c>
      <c r="N2102" s="2" t="s">
        <v>147</v>
      </c>
      <c r="O2102" s="2" t="s">
        <v>101</v>
      </c>
      <c r="P2102" s="2" t="str">
        <f>"2170607910                    "</f>
        <v xml:space="preserve">2170607910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6.43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1</v>
      </c>
      <c r="BJ2102" s="2">
        <v>0.2</v>
      </c>
      <c r="BK2102" s="2">
        <v>1</v>
      </c>
      <c r="BL2102" s="2">
        <v>45.93</v>
      </c>
      <c r="BM2102" s="2">
        <v>6.43</v>
      </c>
      <c r="BN2102" s="2">
        <v>52.36</v>
      </c>
      <c r="BO2102" s="2">
        <v>52.36</v>
      </c>
      <c r="BQ2102" s="2" t="s">
        <v>686</v>
      </c>
      <c r="BR2102" s="2" t="s">
        <v>103</v>
      </c>
      <c r="BS2102" s="2" t="s">
        <v>185</v>
      </c>
      <c r="BY2102" s="2">
        <v>1200</v>
      </c>
      <c r="CC2102" s="2" t="s">
        <v>146</v>
      </c>
      <c r="CD2102" s="2">
        <v>5201</v>
      </c>
      <c r="CE2102" s="2" t="s">
        <v>120</v>
      </c>
      <c r="CI2102" s="2">
        <v>1</v>
      </c>
      <c r="CJ2102" s="2" t="s">
        <v>185</v>
      </c>
      <c r="CK2102" s="2">
        <v>21</v>
      </c>
      <c r="CL2102" s="2" t="s">
        <v>89</v>
      </c>
    </row>
    <row r="2103" spans="1:90">
      <c r="A2103" s="2" t="s">
        <v>71</v>
      </c>
      <c r="B2103" s="2" t="s">
        <v>72</v>
      </c>
      <c r="C2103" s="2" t="s">
        <v>73</v>
      </c>
      <c r="E2103" s="2" t="str">
        <f>"FES1162596026"</f>
        <v>FES1162596026</v>
      </c>
      <c r="F2103" s="3">
        <v>43083</v>
      </c>
      <c r="G2103" s="2">
        <v>201806</v>
      </c>
      <c r="H2103" s="2" t="s">
        <v>74</v>
      </c>
      <c r="I2103" s="2" t="s">
        <v>75</v>
      </c>
      <c r="J2103" s="2" t="s">
        <v>97</v>
      </c>
      <c r="K2103" s="2" t="s">
        <v>77</v>
      </c>
      <c r="L2103" s="2" t="s">
        <v>106</v>
      </c>
      <c r="M2103" s="2" t="s">
        <v>107</v>
      </c>
      <c r="N2103" s="2" t="s">
        <v>108</v>
      </c>
      <c r="O2103" s="2" t="s">
        <v>101</v>
      </c>
      <c r="P2103" s="2" t="str">
        <f>"2170606954                    "</f>
        <v xml:space="preserve">2170606954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5.03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1</v>
      </c>
      <c r="BJ2103" s="2">
        <v>0.2</v>
      </c>
      <c r="BK2103" s="2">
        <v>1</v>
      </c>
      <c r="BL2103" s="2">
        <v>35.89</v>
      </c>
      <c r="BM2103" s="2">
        <v>5.0199999999999996</v>
      </c>
      <c r="BN2103" s="2">
        <v>40.909999999999997</v>
      </c>
      <c r="BO2103" s="2">
        <v>40.909999999999997</v>
      </c>
      <c r="BQ2103" s="2" t="s">
        <v>82</v>
      </c>
      <c r="BR2103" s="2" t="s">
        <v>103</v>
      </c>
      <c r="BS2103" s="3">
        <v>43084</v>
      </c>
      <c r="BT2103" s="4">
        <v>0.4375</v>
      </c>
      <c r="BU2103" s="2" t="s">
        <v>1227</v>
      </c>
      <c r="BV2103" s="2" t="s">
        <v>85</v>
      </c>
      <c r="BY2103" s="2">
        <v>1200</v>
      </c>
      <c r="CA2103" s="2" t="s">
        <v>110</v>
      </c>
      <c r="CC2103" s="2" t="s">
        <v>107</v>
      </c>
      <c r="CD2103" s="2">
        <v>2094</v>
      </c>
      <c r="CE2103" s="2" t="s">
        <v>120</v>
      </c>
      <c r="CF2103" s="3">
        <v>43087</v>
      </c>
      <c r="CI2103" s="2">
        <v>1</v>
      </c>
      <c r="CJ2103" s="2">
        <v>1</v>
      </c>
      <c r="CK2103" s="2">
        <v>22</v>
      </c>
      <c r="CL2103" s="2" t="s">
        <v>89</v>
      </c>
    </row>
    <row r="2104" spans="1:90">
      <c r="A2104" s="2" t="s">
        <v>71</v>
      </c>
      <c r="B2104" s="2" t="s">
        <v>72</v>
      </c>
      <c r="C2104" s="2" t="s">
        <v>73</v>
      </c>
      <c r="E2104" s="2" t="str">
        <f>"FES1162596134"</f>
        <v>FES1162596134</v>
      </c>
      <c r="F2104" s="3">
        <v>43083</v>
      </c>
      <c r="G2104" s="2">
        <v>201806</v>
      </c>
      <c r="H2104" s="2" t="s">
        <v>74</v>
      </c>
      <c r="I2104" s="2" t="s">
        <v>75</v>
      </c>
      <c r="J2104" s="2" t="s">
        <v>97</v>
      </c>
      <c r="K2104" s="2" t="s">
        <v>77</v>
      </c>
      <c r="L2104" s="2" t="s">
        <v>145</v>
      </c>
      <c r="M2104" s="2" t="s">
        <v>146</v>
      </c>
      <c r="N2104" s="2" t="s">
        <v>1058</v>
      </c>
      <c r="O2104" s="2" t="s">
        <v>101</v>
      </c>
      <c r="P2104" s="2" t="str">
        <f>"2170607878                    "</f>
        <v xml:space="preserve">2170607878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6.43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</v>
      </c>
      <c r="BJ2104" s="2">
        <v>0.2</v>
      </c>
      <c r="BK2104" s="2">
        <v>1</v>
      </c>
      <c r="BL2104" s="2">
        <v>45.93</v>
      </c>
      <c r="BM2104" s="2">
        <v>6.43</v>
      </c>
      <c r="BN2104" s="2">
        <v>52.36</v>
      </c>
      <c r="BO2104" s="2">
        <v>52.36</v>
      </c>
      <c r="BQ2104" s="2" t="s">
        <v>82</v>
      </c>
      <c r="BR2104" s="2" t="s">
        <v>103</v>
      </c>
      <c r="BS2104" s="3">
        <v>43084</v>
      </c>
      <c r="BT2104" s="4">
        <v>0.41666666666666669</v>
      </c>
      <c r="BU2104" s="2" t="s">
        <v>2408</v>
      </c>
      <c r="BV2104" s="2" t="s">
        <v>85</v>
      </c>
      <c r="BY2104" s="2">
        <v>1200</v>
      </c>
      <c r="CA2104" s="2" t="s">
        <v>293</v>
      </c>
      <c r="CC2104" s="2" t="s">
        <v>146</v>
      </c>
      <c r="CD2104" s="2">
        <v>5201</v>
      </c>
      <c r="CE2104" s="2" t="s">
        <v>120</v>
      </c>
      <c r="CF2104" s="3">
        <v>43088</v>
      </c>
      <c r="CI2104" s="2">
        <v>1</v>
      </c>
      <c r="CJ2104" s="2">
        <v>1</v>
      </c>
      <c r="CK2104" s="2">
        <v>21</v>
      </c>
      <c r="CL2104" s="2" t="s">
        <v>89</v>
      </c>
    </row>
    <row r="2105" spans="1:90">
      <c r="A2105" s="2" t="s">
        <v>71</v>
      </c>
      <c r="B2105" s="2" t="s">
        <v>72</v>
      </c>
      <c r="C2105" s="2" t="s">
        <v>73</v>
      </c>
      <c r="E2105" s="2" t="str">
        <f>"FES1162596148"</f>
        <v>FES1162596148</v>
      </c>
      <c r="F2105" s="3">
        <v>43083</v>
      </c>
      <c r="G2105" s="2">
        <v>201806</v>
      </c>
      <c r="H2105" s="2" t="s">
        <v>74</v>
      </c>
      <c r="I2105" s="2" t="s">
        <v>75</v>
      </c>
      <c r="J2105" s="2" t="s">
        <v>97</v>
      </c>
      <c r="K2105" s="2" t="s">
        <v>77</v>
      </c>
      <c r="L2105" s="2" t="s">
        <v>136</v>
      </c>
      <c r="M2105" s="2" t="s">
        <v>137</v>
      </c>
      <c r="N2105" s="2" t="s">
        <v>2409</v>
      </c>
      <c r="O2105" s="2" t="s">
        <v>101</v>
      </c>
      <c r="P2105" s="2" t="str">
        <f>"2170607899                    "</f>
        <v xml:space="preserve">2170607899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6.43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1</v>
      </c>
      <c r="BJ2105" s="2">
        <v>0.2</v>
      </c>
      <c r="BK2105" s="2">
        <v>1</v>
      </c>
      <c r="BL2105" s="2">
        <v>45.93</v>
      </c>
      <c r="BM2105" s="2">
        <v>6.43</v>
      </c>
      <c r="BN2105" s="2">
        <v>52.36</v>
      </c>
      <c r="BO2105" s="2">
        <v>52.36</v>
      </c>
      <c r="BQ2105" s="2" t="s">
        <v>142</v>
      </c>
      <c r="BR2105" s="2" t="s">
        <v>103</v>
      </c>
      <c r="BS2105" s="3">
        <v>43084</v>
      </c>
      <c r="BT2105" s="4">
        <v>0.40625</v>
      </c>
      <c r="BU2105" s="2" t="s">
        <v>2410</v>
      </c>
      <c r="BV2105" s="2" t="s">
        <v>85</v>
      </c>
      <c r="BY2105" s="2">
        <v>1200</v>
      </c>
      <c r="CA2105" s="2" t="s">
        <v>261</v>
      </c>
      <c r="CC2105" s="2" t="s">
        <v>137</v>
      </c>
      <c r="CD2105" s="2">
        <v>6001</v>
      </c>
      <c r="CE2105" s="2" t="s">
        <v>120</v>
      </c>
      <c r="CF2105" s="3">
        <v>43088</v>
      </c>
      <c r="CI2105" s="2">
        <v>1</v>
      </c>
      <c r="CJ2105" s="2">
        <v>1</v>
      </c>
      <c r="CK2105" s="2">
        <v>21</v>
      </c>
      <c r="CL2105" s="2" t="s">
        <v>89</v>
      </c>
    </row>
    <row r="2106" spans="1:90">
      <c r="A2106" s="2" t="s">
        <v>71</v>
      </c>
      <c r="B2106" s="2" t="s">
        <v>72</v>
      </c>
      <c r="C2106" s="2" t="s">
        <v>73</v>
      </c>
      <c r="E2106" s="2" t="str">
        <f>"FES1162596156"</f>
        <v>FES1162596156</v>
      </c>
      <c r="F2106" s="3">
        <v>43083</v>
      </c>
      <c r="G2106" s="2">
        <v>201806</v>
      </c>
      <c r="H2106" s="2" t="s">
        <v>74</v>
      </c>
      <c r="I2106" s="2" t="s">
        <v>75</v>
      </c>
      <c r="J2106" s="2" t="s">
        <v>97</v>
      </c>
      <c r="K2106" s="2" t="s">
        <v>77</v>
      </c>
      <c r="L2106" s="2" t="s">
        <v>136</v>
      </c>
      <c r="M2106" s="2" t="s">
        <v>137</v>
      </c>
      <c r="N2106" s="2" t="s">
        <v>1574</v>
      </c>
      <c r="O2106" s="2" t="s">
        <v>101</v>
      </c>
      <c r="P2106" s="2" t="str">
        <f>"2170607903                    "</f>
        <v xml:space="preserve">2170607903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6.43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</v>
      </c>
      <c r="BJ2106" s="2">
        <v>0.2</v>
      </c>
      <c r="BK2106" s="2">
        <v>1</v>
      </c>
      <c r="BL2106" s="2">
        <v>45.93</v>
      </c>
      <c r="BM2106" s="2">
        <v>6.43</v>
      </c>
      <c r="BN2106" s="2">
        <v>52.36</v>
      </c>
      <c r="BO2106" s="2">
        <v>52.36</v>
      </c>
      <c r="BQ2106" s="2" t="s">
        <v>128</v>
      </c>
      <c r="BR2106" s="2" t="s">
        <v>103</v>
      </c>
      <c r="BS2106" s="3">
        <v>43084</v>
      </c>
      <c r="BT2106" s="4">
        <v>0.31944444444444448</v>
      </c>
      <c r="BU2106" s="2" t="s">
        <v>2411</v>
      </c>
      <c r="BV2106" s="2" t="s">
        <v>85</v>
      </c>
      <c r="BY2106" s="2">
        <v>1200</v>
      </c>
      <c r="CA2106" s="2" t="s">
        <v>140</v>
      </c>
      <c r="CC2106" s="2" t="s">
        <v>137</v>
      </c>
      <c r="CD2106" s="2">
        <v>6012</v>
      </c>
      <c r="CE2106" s="2" t="s">
        <v>120</v>
      </c>
      <c r="CF2106" s="3">
        <v>43088</v>
      </c>
      <c r="CI2106" s="2">
        <v>1</v>
      </c>
      <c r="CJ2106" s="2">
        <v>1</v>
      </c>
      <c r="CK2106" s="2">
        <v>21</v>
      </c>
      <c r="CL2106" s="2" t="s">
        <v>89</v>
      </c>
    </row>
    <row r="2107" spans="1:90">
      <c r="A2107" s="2" t="s">
        <v>71</v>
      </c>
      <c r="B2107" s="2" t="s">
        <v>72</v>
      </c>
      <c r="C2107" s="2" t="s">
        <v>73</v>
      </c>
      <c r="E2107" s="2" t="str">
        <f>"FES1162596003"</f>
        <v>FES1162596003</v>
      </c>
      <c r="F2107" s="3">
        <v>43083</v>
      </c>
      <c r="G2107" s="2">
        <v>201806</v>
      </c>
      <c r="H2107" s="2" t="s">
        <v>74</v>
      </c>
      <c r="I2107" s="2" t="s">
        <v>75</v>
      </c>
      <c r="J2107" s="2" t="s">
        <v>97</v>
      </c>
      <c r="K2107" s="2" t="s">
        <v>77</v>
      </c>
      <c r="L2107" s="2" t="s">
        <v>152</v>
      </c>
      <c r="M2107" s="2" t="s">
        <v>153</v>
      </c>
      <c r="N2107" s="2" t="s">
        <v>596</v>
      </c>
      <c r="O2107" s="2" t="s">
        <v>101</v>
      </c>
      <c r="P2107" s="2" t="str">
        <f>"2170604739                    "</f>
        <v xml:space="preserve">2170604739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5.03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1</v>
      </c>
      <c r="BJ2107" s="2">
        <v>0.2</v>
      </c>
      <c r="BK2107" s="2">
        <v>1</v>
      </c>
      <c r="BL2107" s="2">
        <v>35.89</v>
      </c>
      <c r="BM2107" s="2">
        <v>5.0199999999999996</v>
      </c>
      <c r="BN2107" s="2">
        <v>40.909999999999997</v>
      </c>
      <c r="BO2107" s="2">
        <v>40.909999999999997</v>
      </c>
      <c r="BQ2107" s="2" t="s">
        <v>1798</v>
      </c>
      <c r="BR2107" s="2" t="s">
        <v>103</v>
      </c>
      <c r="BS2107" s="3">
        <v>43084</v>
      </c>
      <c r="BT2107" s="4">
        <v>0.36805555555555558</v>
      </c>
      <c r="BU2107" s="2" t="s">
        <v>1693</v>
      </c>
      <c r="BV2107" s="2" t="s">
        <v>85</v>
      </c>
      <c r="BY2107" s="2">
        <v>1200</v>
      </c>
      <c r="CA2107" s="2" t="s">
        <v>439</v>
      </c>
      <c r="CC2107" s="2" t="s">
        <v>153</v>
      </c>
      <c r="CD2107" s="2">
        <v>1422</v>
      </c>
      <c r="CE2107" s="2" t="s">
        <v>120</v>
      </c>
      <c r="CF2107" s="3">
        <v>43087</v>
      </c>
      <c r="CI2107" s="2">
        <v>1</v>
      </c>
      <c r="CJ2107" s="2">
        <v>1</v>
      </c>
      <c r="CK2107" s="2">
        <v>22</v>
      </c>
      <c r="CL2107" s="2" t="s">
        <v>89</v>
      </c>
    </row>
    <row r="2108" spans="1:90">
      <c r="A2108" s="2" t="s">
        <v>71</v>
      </c>
      <c r="B2108" s="2" t="s">
        <v>72</v>
      </c>
      <c r="C2108" s="2" t="s">
        <v>73</v>
      </c>
      <c r="E2108" s="2" t="str">
        <f>"FES1162596114"</f>
        <v>FES1162596114</v>
      </c>
      <c r="F2108" s="3">
        <v>43083</v>
      </c>
      <c r="G2108" s="2">
        <v>201806</v>
      </c>
      <c r="H2108" s="2" t="s">
        <v>74</v>
      </c>
      <c r="I2108" s="2" t="s">
        <v>75</v>
      </c>
      <c r="J2108" s="2" t="s">
        <v>97</v>
      </c>
      <c r="K2108" s="2" t="s">
        <v>77</v>
      </c>
      <c r="L2108" s="2" t="s">
        <v>262</v>
      </c>
      <c r="M2108" s="2" t="s">
        <v>263</v>
      </c>
      <c r="N2108" s="2" t="s">
        <v>809</v>
      </c>
      <c r="O2108" s="2" t="s">
        <v>101</v>
      </c>
      <c r="P2108" s="2" t="str">
        <f>"2170607042                    "</f>
        <v xml:space="preserve">2170607042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6.43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45.93</v>
      </c>
      <c r="BM2108" s="2">
        <v>6.43</v>
      </c>
      <c r="BN2108" s="2">
        <v>52.36</v>
      </c>
      <c r="BO2108" s="2">
        <v>52.36</v>
      </c>
      <c r="BQ2108" s="2" t="s">
        <v>102</v>
      </c>
      <c r="BR2108" s="2" t="s">
        <v>103</v>
      </c>
      <c r="BS2108" s="3">
        <v>43084</v>
      </c>
      <c r="BT2108" s="4">
        <v>0.39583333333333331</v>
      </c>
      <c r="BU2108" s="2" t="s">
        <v>2412</v>
      </c>
      <c r="BV2108" s="2" t="s">
        <v>85</v>
      </c>
      <c r="BY2108" s="2">
        <v>1200</v>
      </c>
      <c r="CA2108" s="2" t="s">
        <v>266</v>
      </c>
      <c r="CC2108" s="2" t="s">
        <v>263</v>
      </c>
      <c r="CD2108" s="2">
        <v>6229</v>
      </c>
      <c r="CE2108" s="2" t="s">
        <v>120</v>
      </c>
      <c r="CF2108" s="3">
        <v>43088</v>
      </c>
      <c r="CI2108" s="2">
        <v>1</v>
      </c>
      <c r="CJ2108" s="2">
        <v>1</v>
      </c>
      <c r="CK2108" s="2">
        <v>21</v>
      </c>
      <c r="CL2108" s="2" t="s">
        <v>89</v>
      </c>
    </row>
    <row r="2109" spans="1:90">
      <c r="A2109" s="2" t="s">
        <v>71</v>
      </c>
      <c r="B2109" s="2" t="s">
        <v>72</v>
      </c>
      <c r="C2109" s="2" t="s">
        <v>73</v>
      </c>
      <c r="E2109" s="2" t="str">
        <f>"FES1162596100"</f>
        <v>FES1162596100</v>
      </c>
      <c r="F2109" s="3">
        <v>43083</v>
      </c>
      <c r="G2109" s="2">
        <v>201806</v>
      </c>
      <c r="H2109" s="2" t="s">
        <v>74</v>
      </c>
      <c r="I2109" s="2" t="s">
        <v>75</v>
      </c>
      <c r="J2109" s="2" t="s">
        <v>97</v>
      </c>
      <c r="K2109" s="2" t="s">
        <v>77</v>
      </c>
      <c r="L2109" s="2" t="s">
        <v>131</v>
      </c>
      <c r="M2109" s="2" t="s">
        <v>132</v>
      </c>
      <c r="N2109" s="2" t="s">
        <v>228</v>
      </c>
      <c r="O2109" s="2" t="s">
        <v>101</v>
      </c>
      <c r="P2109" s="2" t="str">
        <f>"2170604374                    "</f>
        <v xml:space="preserve">2170604374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40.200000000000003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7</v>
      </c>
      <c r="BJ2109" s="2">
        <v>12.3</v>
      </c>
      <c r="BK2109" s="2">
        <v>12.5</v>
      </c>
      <c r="BL2109" s="2">
        <v>286.97000000000003</v>
      </c>
      <c r="BM2109" s="2">
        <v>40.18</v>
      </c>
      <c r="BN2109" s="2">
        <v>327.14999999999998</v>
      </c>
      <c r="BO2109" s="2">
        <v>327.14999999999998</v>
      </c>
      <c r="BQ2109" s="2" t="s">
        <v>229</v>
      </c>
      <c r="BR2109" s="2" t="s">
        <v>103</v>
      </c>
      <c r="BS2109" s="3">
        <v>43084</v>
      </c>
      <c r="BT2109" s="4">
        <v>0.47916666666666669</v>
      </c>
      <c r="BU2109" s="2" t="s">
        <v>230</v>
      </c>
      <c r="BV2109" s="2" t="s">
        <v>85</v>
      </c>
      <c r="BY2109" s="2">
        <v>61408</v>
      </c>
      <c r="CA2109" s="2" t="s">
        <v>2199</v>
      </c>
      <c r="CC2109" s="2" t="s">
        <v>132</v>
      </c>
      <c r="CD2109" s="2">
        <v>4300</v>
      </c>
      <c r="CE2109" s="2" t="s">
        <v>95</v>
      </c>
      <c r="CF2109" s="3">
        <v>43087</v>
      </c>
      <c r="CI2109" s="2">
        <v>1</v>
      </c>
      <c r="CJ2109" s="2">
        <v>1</v>
      </c>
      <c r="CK2109" s="2">
        <v>21</v>
      </c>
      <c r="CL2109" s="2" t="s">
        <v>89</v>
      </c>
    </row>
    <row r="2110" spans="1:90">
      <c r="A2110" s="2" t="s">
        <v>71</v>
      </c>
      <c r="B2110" s="2" t="s">
        <v>72</v>
      </c>
      <c r="C2110" s="2" t="s">
        <v>73</v>
      </c>
      <c r="E2110" s="2" t="str">
        <f>"FES1162596002"</f>
        <v>FES1162596002</v>
      </c>
      <c r="F2110" s="3">
        <v>43083</v>
      </c>
      <c r="G2110" s="2">
        <v>201806</v>
      </c>
      <c r="H2110" s="2" t="s">
        <v>74</v>
      </c>
      <c r="I2110" s="2" t="s">
        <v>75</v>
      </c>
      <c r="J2110" s="2" t="s">
        <v>97</v>
      </c>
      <c r="K2110" s="2" t="s">
        <v>77</v>
      </c>
      <c r="L2110" s="2" t="s">
        <v>158</v>
      </c>
      <c r="M2110" s="2" t="s">
        <v>159</v>
      </c>
      <c r="N2110" s="2" t="s">
        <v>588</v>
      </c>
      <c r="O2110" s="2" t="s">
        <v>101</v>
      </c>
      <c r="P2110" s="2" t="str">
        <f>"2170604702                    "</f>
        <v xml:space="preserve">2170604702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6.43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45.93</v>
      </c>
      <c r="BM2110" s="2">
        <v>6.43</v>
      </c>
      <c r="BN2110" s="2">
        <v>52.36</v>
      </c>
      <c r="BO2110" s="2">
        <v>52.36</v>
      </c>
      <c r="BQ2110" s="2" t="s">
        <v>102</v>
      </c>
      <c r="BR2110" s="2" t="s">
        <v>103</v>
      </c>
      <c r="BS2110" s="3">
        <v>43084</v>
      </c>
      <c r="BT2110" s="4">
        <v>0.50347222222222221</v>
      </c>
      <c r="BU2110" s="2" t="s">
        <v>2413</v>
      </c>
      <c r="BV2110" s="2" t="s">
        <v>85</v>
      </c>
      <c r="BY2110" s="2">
        <v>1200</v>
      </c>
      <c r="CA2110" s="2" t="s">
        <v>590</v>
      </c>
      <c r="CC2110" s="2" t="s">
        <v>159</v>
      </c>
      <c r="CD2110" s="2">
        <v>40</v>
      </c>
      <c r="CE2110" s="2" t="s">
        <v>120</v>
      </c>
      <c r="CF2110" s="3">
        <v>43088</v>
      </c>
      <c r="CI2110" s="2">
        <v>1</v>
      </c>
      <c r="CJ2110" s="2">
        <v>1</v>
      </c>
      <c r="CK2110" s="2">
        <v>21</v>
      </c>
      <c r="CL2110" s="2" t="s">
        <v>89</v>
      </c>
    </row>
    <row r="2111" spans="1:90">
      <c r="A2111" s="2" t="s">
        <v>71</v>
      </c>
      <c r="B2111" s="2" t="s">
        <v>72</v>
      </c>
      <c r="C2111" s="2" t="s">
        <v>73</v>
      </c>
      <c r="E2111" s="2" t="str">
        <f>"FES1162596168"</f>
        <v>FES1162596168</v>
      </c>
      <c r="F2111" s="3">
        <v>43083</v>
      </c>
      <c r="G2111" s="2">
        <v>201806</v>
      </c>
      <c r="H2111" s="2" t="s">
        <v>74</v>
      </c>
      <c r="I2111" s="2" t="s">
        <v>75</v>
      </c>
      <c r="J2111" s="2" t="s">
        <v>97</v>
      </c>
      <c r="K2111" s="2" t="s">
        <v>77</v>
      </c>
      <c r="L2111" s="2" t="s">
        <v>111</v>
      </c>
      <c r="M2111" s="2" t="s">
        <v>112</v>
      </c>
      <c r="N2111" s="2" t="s">
        <v>113</v>
      </c>
      <c r="O2111" s="2" t="s">
        <v>101</v>
      </c>
      <c r="P2111" s="2" t="str">
        <f>"2170607239                    "</f>
        <v xml:space="preserve">2170607239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6.43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</v>
      </c>
      <c r="BJ2111" s="2">
        <v>0.2</v>
      </c>
      <c r="BK2111" s="2">
        <v>1</v>
      </c>
      <c r="BL2111" s="2">
        <v>45.93</v>
      </c>
      <c r="BM2111" s="2">
        <v>6.43</v>
      </c>
      <c r="BN2111" s="2">
        <v>52.36</v>
      </c>
      <c r="BO2111" s="2">
        <v>52.36</v>
      </c>
      <c r="BQ2111" s="2" t="s">
        <v>82</v>
      </c>
      <c r="BR2111" s="2" t="s">
        <v>103</v>
      </c>
      <c r="BS2111" s="3">
        <v>43084</v>
      </c>
      <c r="BT2111" s="4">
        <v>0.43055555555555558</v>
      </c>
      <c r="BU2111" s="2" t="s">
        <v>114</v>
      </c>
      <c r="BV2111" s="2" t="s">
        <v>85</v>
      </c>
      <c r="BY2111" s="2">
        <v>1200</v>
      </c>
      <c r="CA2111" s="2" t="s">
        <v>2354</v>
      </c>
      <c r="CC2111" s="2" t="s">
        <v>112</v>
      </c>
      <c r="CD2111" s="2">
        <v>6220</v>
      </c>
      <c r="CE2111" s="2" t="s">
        <v>120</v>
      </c>
      <c r="CF2111" s="3">
        <v>43088</v>
      </c>
      <c r="CI2111" s="2">
        <v>1</v>
      </c>
      <c r="CJ2111" s="2">
        <v>1</v>
      </c>
      <c r="CK2111" s="2">
        <v>21</v>
      </c>
      <c r="CL2111" s="2" t="s">
        <v>89</v>
      </c>
    </row>
    <row r="2112" spans="1:90">
      <c r="A2112" s="2" t="s">
        <v>71</v>
      </c>
      <c r="B2112" s="2" t="s">
        <v>72</v>
      </c>
      <c r="C2112" s="2" t="s">
        <v>73</v>
      </c>
      <c r="E2112" s="2" t="str">
        <f>"FES1162595930"</f>
        <v>FES1162595930</v>
      </c>
      <c r="F2112" s="3">
        <v>43083</v>
      </c>
      <c r="G2112" s="2">
        <v>201806</v>
      </c>
      <c r="H2112" s="2" t="s">
        <v>74</v>
      </c>
      <c r="I2112" s="2" t="s">
        <v>75</v>
      </c>
      <c r="J2112" s="2" t="s">
        <v>97</v>
      </c>
      <c r="K2112" s="2" t="s">
        <v>77</v>
      </c>
      <c r="L2112" s="2" t="s">
        <v>74</v>
      </c>
      <c r="M2112" s="2" t="s">
        <v>75</v>
      </c>
      <c r="N2112" s="2" t="s">
        <v>201</v>
      </c>
      <c r="O2112" s="2" t="s">
        <v>101</v>
      </c>
      <c r="P2112" s="2" t="str">
        <f>"2170607447                    "</f>
        <v xml:space="preserve">2170607447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5.03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</v>
      </c>
      <c r="BJ2112" s="2">
        <v>0.2</v>
      </c>
      <c r="BK2112" s="2">
        <v>1</v>
      </c>
      <c r="BL2112" s="2">
        <v>35.89</v>
      </c>
      <c r="BM2112" s="2">
        <v>5.0199999999999996</v>
      </c>
      <c r="BN2112" s="2">
        <v>40.909999999999997</v>
      </c>
      <c r="BO2112" s="2">
        <v>40.909999999999997</v>
      </c>
      <c r="BQ2112" s="2" t="s">
        <v>102</v>
      </c>
      <c r="BR2112" s="2" t="s">
        <v>103</v>
      </c>
      <c r="BS2112" s="3">
        <v>43084</v>
      </c>
      <c r="BT2112" s="4">
        <v>0.4375</v>
      </c>
      <c r="BU2112" s="2" t="s">
        <v>202</v>
      </c>
      <c r="BV2112" s="2" t="s">
        <v>85</v>
      </c>
      <c r="BY2112" s="2">
        <v>1200</v>
      </c>
      <c r="CA2112" s="2" t="s">
        <v>203</v>
      </c>
      <c r="CC2112" s="2" t="s">
        <v>75</v>
      </c>
      <c r="CD2112" s="2">
        <v>1665</v>
      </c>
      <c r="CE2112" s="2" t="s">
        <v>120</v>
      </c>
      <c r="CF2112" s="3">
        <v>43087</v>
      </c>
      <c r="CI2112" s="2">
        <v>1</v>
      </c>
      <c r="CJ2112" s="2">
        <v>1</v>
      </c>
      <c r="CK2112" s="2">
        <v>22</v>
      </c>
      <c r="CL2112" s="2" t="s">
        <v>89</v>
      </c>
    </row>
    <row r="2113" spans="1:90">
      <c r="A2113" s="2" t="s">
        <v>71</v>
      </c>
      <c r="B2113" s="2" t="s">
        <v>72</v>
      </c>
      <c r="C2113" s="2" t="s">
        <v>73</v>
      </c>
      <c r="E2113" s="2" t="str">
        <f>"FES1162596049"</f>
        <v>FES1162596049</v>
      </c>
      <c r="F2113" s="3">
        <v>43083</v>
      </c>
      <c r="G2113" s="2">
        <v>201806</v>
      </c>
      <c r="H2113" s="2" t="s">
        <v>74</v>
      </c>
      <c r="I2113" s="2" t="s">
        <v>75</v>
      </c>
      <c r="J2113" s="2" t="s">
        <v>97</v>
      </c>
      <c r="K2113" s="2" t="s">
        <v>77</v>
      </c>
      <c r="L2113" s="2" t="s">
        <v>74</v>
      </c>
      <c r="M2113" s="2" t="s">
        <v>75</v>
      </c>
      <c r="N2113" s="2" t="s">
        <v>2414</v>
      </c>
      <c r="O2113" s="2" t="s">
        <v>101</v>
      </c>
      <c r="P2113" s="2" t="str">
        <f>"2170607792                    "</f>
        <v xml:space="preserve">2170607792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5.03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35.89</v>
      </c>
      <c r="BM2113" s="2">
        <v>5.0199999999999996</v>
      </c>
      <c r="BN2113" s="2">
        <v>40.909999999999997</v>
      </c>
      <c r="BO2113" s="2">
        <v>40.909999999999997</v>
      </c>
      <c r="BQ2113" s="2" t="s">
        <v>102</v>
      </c>
      <c r="BR2113" s="2" t="s">
        <v>103</v>
      </c>
      <c r="BS2113" s="3">
        <v>43084</v>
      </c>
      <c r="BT2113" s="4">
        <v>0.4375</v>
      </c>
      <c r="BU2113" s="2" t="s">
        <v>2415</v>
      </c>
      <c r="BV2113" s="2" t="s">
        <v>85</v>
      </c>
      <c r="BY2113" s="2">
        <v>1200</v>
      </c>
      <c r="CA2113" s="2" t="s">
        <v>203</v>
      </c>
      <c r="CC2113" s="2" t="s">
        <v>75</v>
      </c>
      <c r="CD2113" s="2">
        <v>1665</v>
      </c>
      <c r="CE2113" s="2" t="s">
        <v>120</v>
      </c>
      <c r="CF2113" s="3">
        <v>43087</v>
      </c>
      <c r="CI2113" s="2">
        <v>1</v>
      </c>
      <c r="CJ2113" s="2">
        <v>1</v>
      </c>
      <c r="CK2113" s="2">
        <v>22</v>
      </c>
      <c r="CL2113" s="2" t="s">
        <v>89</v>
      </c>
    </row>
    <row r="2114" spans="1:90">
      <c r="A2114" s="2" t="s">
        <v>71</v>
      </c>
      <c r="B2114" s="2" t="s">
        <v>72</v>
      </c>
      <c r="C2114" s="2" t="s">
        <v>73</v>
      </c>
      <c r="E2114" s="2" t="str">
        <f>"FES1162595965"</f>
        <v>FES1162595965</v>
      </c>
      <c r="F2114" s="3">
        <v>43083</v>
      </c>
      <c r="G2114" s="2">
        <v>201806</v>
      </c>
      <c r="H2114" s="2" t="s">
        <v>74</v>
      </c>
      <c r="I2114" s="2" t="s">
        <v>75</v>
      </c>
      <c r="J2114" s="2" t="s">
        <v>97</v>
      </c>
      <c r="K2114" s="2" t="s">
        <v>77</v>
      </c>
      <c r="L2114" s="2" t="s">
        <v>158</v>
      </c>
      <c r="M2114" s="2" t="s">
        <v>159</v>
      </c>
      <c r="N2114" s="2" t="s">
        <v>588</v>
      </c>
      <c r="O2114" s="2" t="s">
        <v>101</v>
      </c>
      <c r="P2114" s="2" t="str">
        <f>"2170603627                    "</f>
        <v xml:space="preserve">2170603627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6.43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45.93</v>
      </c>
      <c r="BM2114" s="2">
        <v>6.43</v>
      </c>
      <c r="BN2114" s="2">
        <v>52.36</v>
      </c>
      <c r="BO2114" s="2">
        <v>52.36</v>
      </c>
      <c r="BQ2114" s="2" t="s">
        <v>102</v>
      </c>
      <c r="BR2114" s="2" t="s">
        <v>103</v>
      </c>
      <c r="BS2114" s="3">
        <v>43084</v>
      </c>
      <c r="BT2114" s="4">
        <v>0.50347222222222221</v>
      </c>
      <c r="BU2114" s="2" t="s">
        <v>2413</v>
      </c>
      <c r="BV2114" s="2" t="s">
        <v>85</v>
      </c>
      <c r="BY2114" s="2">
        <v>1200</v>
      </c>
      <c r="CA2114" s="2" t="s">
        <v>590</v>
      </c>
      <c r="CC2114" s="2" t="s">
        <v>159</v>
      </c>
      <c r="CD2114" s="2">
        <v>40</v>
      </c>
      <c r="CE2114" s="2" t="s">
        <v>120</v>
      </c>
      <c r="CF2114" s="3">
        <v>43088</v>
      </c>
      <c r="CI2114" s="2">
        <v>1</v>
      </c>
      <c r="CJ2114" s="2">
        <v>1</v>
      </c>
      <c r="CK2114" s="2">
        <v>21</v>
      </c>
      <c r="CL2114" s="2" t="s">
        <v>89</v>
      </c>
    </row>
    <row r="2115" spans="1:90">
      <c r="A2115" s="2" t="s">
        <v>71</v>
      </c>
      <c r="B2115" s="2" t="s">
        <v>72</v>
      </c>
      <c r="C2115" s="2" t="s">
        <v>73</v>
      </c>
      <c r="E2115" s="2" t="str">
        <f>"FES1162595963"</f>
        <v>FES1162595963</v>
      </c>
      <c r="F2115" s="3">
        <v>43083</v>
      </c>
      <c r="G2115" s="2">
        <v>201806</v>
      </c>
      <c r="H2115" s="2" t="s">
        <v>74</v>
      </c>
      <c r="I2115" s="2" t="s">
        <v>75</v>
      </c>
      <c r="J2115" s="2" t="s">
        <v>97</v>
      </c>
      <c r="K2115" s="2" t="s">
        <v>77</v>
      </c>
      <c r="L2115" s="2" t="s">
        <v>158</v>
      </c>
      <c r="M2115" s="2" t="s">
        <v>159</v>
      </c>
      <c r="N2115" s="2" t="s">
        <v>588</v>
      </c>
      <c r="O2115" s="2" t="s">
        <v>101</v>
      </c>
      <c r="P2115" s="2" t="str">
        <f>"2170602834                    "</f>
        <v xml:space="preserve">2170602834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6.43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</v>
      </c>
      <c r="BJ2115" s="2">
        <v>0.2</v>
      </c>
      <c r="BK2115" s="2">
        <v>1</v>
      </c>
      <c r="BL2115" s="2">
        <v>45.93</v>
      </c>
      <c r="BM2115" s="2">
        <v>6.43</v>
      </c>
      <c r="BN2115" s="2">
        <v>52.36</v>
      </c>
      <c r="BO2115" s="2">
        <v>52.36</v>
      </c>
      <c r="BQ2115" s="2" t="s">
        <v>102</v>
      </c>
      <c r="BR2115" s="2" t="s">
        <v>103</v>
      </c>
      <c r="BS2115" s="3">
        <v>43084</v>
      </c>
      <c r="BT2115" s="4">
        <v>0.57638888888888895</v>
      </c>
      <c r="BU2115" s="2" t="s">
        <v>2413</v>
      </c>
      <c r="BV2115" s="2" t="s">
        <v>85</v>
      </c>
      <c r="BY2115" s="2">
        <v>1200</v>
      </c>
      <c r="CA2115" s="2" t="s">
        <v>590</v>
      </c>
      <c r="CC2115" s="2" t="s">
        <v>159</v>
      </c>
      <c r="CD2115" s="2">
        <v>40</v>
      </c>
      <c r="CE2115" s="2" t="s">
        <v>120</v>
      </c>
      <c r="CF2115" s="3">
        <v>43088</v>
      </c>
      <c r="CI2115" s="2">
        <v>1</v>
      </c>
      <c r="CJ2115" s="2">
        <v>1</v>
      </c>
      <c r="CK2115" s="2">
        <v>21</v>
      </c>
      <c r="CL2115" s="2" t="s">
        <v>89</v>
      </c>
    </row>
    <row r="2116" spans="1:90">
      <c r="A2116" s="2" t="s">
        <v>71</v>
      </c>
      <c r="B2116" s="2" t="s">
        <v>72</v>
      </c>
      <c r="C2116" s="2" t="s">
        <v>73</v>
      </c>
      <c r="E2116" s="2" t="str">
        <f>"FES1162596171"</f>
        <v>FES1162596171</v>
      </c>
      <c r="F2116" s="3">
        <v>43083</v>
      </c>
      <c r="G2116" s="2">
        <v>201806</v>
      </c>
      <c r="H2116" s="2" t="s">
        <v>74</v>
      </c>
      <c r="I2116" s="2" t="s">
        <v>75</v>
      </c>
      <c r="J2116" s="2" t="s">
        <v>97</v>
      </c>
      <c r="K2116" s="2" t="s">
        <v>77</v>
      </c>
      <c r="L2116" s="2" t="s">
        <v>136</v>
      </c>
      <c r="M2116" s="2" t="s">
        <v>137</v>
      </c>
      <c r="N2116" s="2" t="s">
        <v>1652</v>
      </c>
      <c r="O2116" s="2" t="s">
        <v>101</v>
      </c>
      <c r="P2116" s="2" t="str">
        <f>"2170607913                    "</f>
        <v xml:space="preserve">2170607913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6.43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</v>
      </c>
      <c r="BJ2116" s="2">
        <v>0.2</v>
      </c>
      <c r="BK2116" s="2">
        <v>1</v>
      </c>
      <c r="BL2116" s="2">
        <v>45.93</v>
      </c>
      <c r="BM2116" s="2">
        <v>6.43</v>
      </c>
      <c r="BN2116" s="2">
        <v>52.36</v>
      </c>
      <c r="BO2116" s="2">
        <v>52.36</v>
      </c>
      <c r="BQ2116" s="2" t="s">
        <v>82</v>
      </c>
      <c r="BR2116" s="2" t="s">
        <v>103</v>
      </c>
      <c r="BS2116" s="3">
        <v>43084</v>
      </c>
      <c r="BT2116" s="4">
        <v>0.33680555555555558</v>
      </c>
      <c r="BU2116" s="2" t="s">
        <v>2416</v>
      </c>
      <c r="BV2116" s="2" t="s">
        <v>85</v>
      </c>
      <c r="BY2116" s="2">
        <v>1200</v>
      </c>
      <c r="CA2116" s="2" t="s">
        <v>180</v>
      </c>
      <c r="CC2116" s="2" t="s">
        <v>137</v>
      </c>
      <c r="CD2116" s="2">
        <v>6001</v>
      </c>
      <c r="CE2116" s="2" t="s">
        <v>120</v>
      </c>
      <c r="CF2116" s="3">
        <v>43088</v>
      </c>
      <c r="CI2116" s="2">
        <v>1</v>
      </c>
      <c r="CJ2116" s="2">
        <v>1</v>
      </c>
      <c r="CK2116" s="2">
        <v>21</v>
      </c>
      <c r="CL2116" s="2" t="s">
        <v>89</v>
      </c>
    </row>
    <row r="2117" spans="1:90">
      <c r="A2117" s="2" t="s">
        <v>71</v>
      </c>
      <c r="B2117" s="2" t="s">
        <v>72</v>
      </c>
      <c r="C2117" s="2" t="s">
        <v>73</v>
      </c>
      <c r="E2117" s="2" t="str">
        <f>"FES1162595900"</f>
        <v>FES1162595900</v>
      </c>
      <c r="F2117" s="3">
        <v>43083</v>
      </c>
      <c r="G2117" s="2">
        <v>201806</v>
      </c>
      <c r="H2117" s="2" t="s">
        <v>74</v>
      </c>
      <c r="I2117" s="2" t="s">
        <v>75</v>
      </c>
      <c r="J2117" s="2" t="s">
        <v>97</v>
      </c>
      <c r="K2117" s="2" t="s">
        <v>77</v>
      </c>
      <c r="L2117" s="2" t="s">
        <v>158</v>
      </c>
      <c r="M2117" s="2" t="s">
        <v>159</v>
      </c>
      <c r="N2117" s="2" t="s">
        <v>164</v>
      </c>
      <c r="O2117" s="2" t="s">
        <v>101</v>
      </c>
      <c r="P2117" s="2" t="str">
        <f>"2170607567                    "</f>
        <v xml:space="preserve">2170607567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6.43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45.93</v>
      </c>
      <c r="BM2117" s="2">
        <v>6.43</v>
      </c>
      <c r="BN2117" s="2">
        <v>52.36</v>
      </c>
      <c r="BO2117" s="2">
        <v>52.36</v>
      </c>
      <c r="BQ2117" s="2" t="s">
        <v>102</v>
      </c>
      <c r="BR2117" s="2" t="s">
        <v>103</v>
      </c>
      <c r="BS2117" s="3">
        <v>43084</v>
      </c>
      <c r="BT2117" s="4">
        <v>0.41666666666666669</v>
      </c>
      <c r="BU2117" s="2" t="s">
        <v>2417</v>
      </c>
      <c r="BV2117" s="2" t="s">
        <v>85</v>
      </c>
      <c r="BY2117" s="2">
        <v>1200</v>
      </c>
      <c r="CA2117" s="2" t="s">
        <v>362</v>
      </c>
      <c r="CC2117" s="2" t="s">
        <v>159</v>
      </c>
      <c r="CD2117" s="2">
        <v>200</v>
      </c>
      <c r="CE2117" s="2" t="s">
        <v>120</v>
      </c>
      <c r="CF2117" s="3">
        <v>43088</v>
      </c>
      <c r="CI2117" s="2">
        <v>1</v>
      </c>
      <c r="CJ2117" s="2">
        <v>1</v>
      </c>
      <c r="CK2117" s="2">
        <v>21</v>
      </c>
      <c r="CL2117" s="2" t="s">
        <v>89</v>
      </c>
    </row>
    <row r="2118" spans="1:90">
      <c r="A2118" s="2" t="s">
        <v>71</v>
      </c>
      <c r="B2118" s="2" t="s">
        <v>72</v>
      </c>
      <c r="C2118" s="2" t="s">
        <v>73</v>
      </c>
      <c r="E2118" s="2" t="str">
        <f>"FES1162596025"</f>
        <v>FES1162596025</v>
      </c>
      <c r="F2118" s="3">
        <v>43083</v>
      </c>
      <c r="G2118" s="2">
        <v>201806</v>
      </c>
      <c r="H2118" s="2" t="s">
        <v>74</v>
      </c>
      <c r="I2118" s="2" t="s">
        <v>75</v>
      </c>
      <c r="J2118" s="2" t="s">
        <v>97</v>
      </c>
      <c r="K2118" s="2" t="s">
        <v>77</v>
      </c>
      <c r="L2118" s="2" t="s">
        <v>189</v>
      </c>
      <c r="M2118" s="2" t="s">
        <v>190</v>
      </c>
      <c r="N2118" s="2" t="s">
        <v>191</v>
      </c>
      <c r="O2118" s="2" t="s">
        <v>101</v>
      </c>
      <c r="P2118" s="2" t="str">
        <f>"2170606839                    "</f>
        <v xml:space="preserve">2170606839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6.43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</v>
      </c>
      <c r="BJ2118" s="2">
        <v>0.2</v>
      </c>
      <c r="BK2118" s="2">
        <v>1</v>
      </c>
      <c r="BL2118" s="2">
        <v>45.93</v>
      </c>
      <c r="BM2118" s="2">
        <v>6.43</v>
      </c>
      <c r="BN2118" s="2">
        <v>52.36</v>
      </c>
      <c r="BO2118" s="2">
        <v>52.36</v>
      </c>
      <c r="BR2118" s="2" t="s">
        <v>103</v>
      </c>
      <c r="BS2118" s="3">
        <v>43084</v>
      </c>
      <c r="BT2118" s="4">
        <v>0.37638888888888888</v>
      </c>
      <c r="BU2118" s="2" t="s">
        <v>2418</v>
      </c>
      <c r="BV2118" s="2" t="s">
        <v>85</v>
      </c>
      <c r="BY2118" s="2">
        <v>1200</v>
      </c>
      <c r="CC2118" s="2" t="s">
        <v>190</v>
      </c>
      <c r="CD2118" s="2">
        <v>157</v>
      </c>
      <c r="CE2118" s="2" t="s">
        <v>120</v>
      </c>
      <c r="CF2118" s="3">
        <v>43088</v>
      </c>
      <c r="CI2118" s="2">
        <v>1</v>
      </c>
      <c r="CJ2118" s="2">
        <v>1</v>
      </c>
      <c r="CK2118" s="2">
        <v>21</v>
      </c>
      <c r="CL2118" s="2" t="s">
        <v>89</v>
      </c>
    </row>
    <row r="2119" spans="1:90">
      <c r="A2119" s="2" t="s">
        <v>71</v>
      </c>
      <c r="B2119" s="2" t="s">
        <v>72</v>
      </c>
      <c r="C2119" s="2" t="s">
        <v>73</v>
      </c>
      <c r="E2119" s="2" t="str">
        <f>"FES1162595867"</f>
        <v>FES1162595867</v>
      </c>
      <c r="F2119" s="3">
        <v>43083</v>
      </c>
      <c r="G2119" s="2">
        <v>201806</v>
      </c>
      <c r="H2119" s="2" t="s">
        <v>74</v>
      </c>
      <c r="I2119" s="2" t="s">
        <v>75</v>
      </c>
      <c r="J2119" s="2" t="s">
        <v>97</v>
      </c>
      <c r="K2119" s="2" t="s">
        <v>77</v>
      </c>
      <c r="L2119" s="2" t="s">
        <v>131</v>
      </c>
      <c r="M2119" s="2" t="s">
        <v>132</v>
      </c>
      <c r="N2119" s="2" t="s">
        <v>133</v>
      </c>
      <c r="O2119" s="2" t="s">
        <v>101</v>
      </c>
      <c r="P2119" s="2" t="str">
        <f>"2170607702                    "</f>
        <v xml:space="preserve">2170607702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6.43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45.93</v>
      </c>
      <c r="BM2119" s="2">
        <v>6.43</v>
      </c>
      <c r="BN2119" s="2">
        <v>52.36</v>
      </c>
      <c r="BO2119" s="2">
        <v>52.36</v>
      </c>
      <c r="BQ2119" s="2" t="s">
        <v>102</v>
      </c>
      <c r="BR2119" s="2" t="s">
        <v>103</v>
      </c>
      <c r="BS2119" s="3">
        <v>43084</v>
      </c>
      <c r="BT2119" s="4">
        <v>0.39999999999999997</v>
      </c>
      <c r="BU2119" s="2" t="s">
        <v>2419</v>
      </c>
      <c r="BV2119" s="2" t="s">
        <v>85</v>
      </c>
      <c r="BY2119" s="2">
        <v>1200</v>
      </c>
      <c r="CA2119" s="2" t="s">
        <v>135</v>
      </c>
      <c r="CC2119" s="2" t="s">
        <v>132</v>
      </c>
      <c r="CD2119" s="2">
        <v>4302</v>
      </c>
      <c r="CE2119" s="2" t="s">
        <v>120</v>
      </c>
      <c r="CF2119" s="3">
        <v>43087</v>
      </c>
      <c r="CI2119" s="2">
        <v>1</v>
      </c>
      <c r="CJ2119" s="2">
        <v>1</v>
      </c>
      <c r="CK2119" s="2">
        <v>21</v>
      </c>
      <c r="CL2119" s="2" t="s">
        <v>89</v>
      </c>
    </row>
    <row r="2120" spans="1:90">
      <c r="A2120" s="2" t="s">
        <v>71</v>
      </c>
      <c r="B2120" s="2" t="s">
        <v>72</v>
      </c>
      <c r="C2120" s="2" t="s">
        <v>73</v>
      </c>
      <c r="E2120" s="2" t="str">
        <f>"FES1162596176"</f>
        <v>FES1162596176</v>
      </c>
      <c r="F2120" s="3">
        <v>43083</v>
      </c>
      <c r="G2120" s="2">
        <v>201806</v>
      </c>
      <c r="H2120" s="2" t="s">
        <v>74</v>
      </c>
      <c r="I2120" s="2" t="s">
        <v>75</v>
      </c>
      <c r="J2120" s="2" t="s">
        <v>97</v>
      </c>
      <c r="K2120" s="2" t="s">
        <v>77</v>
      </c>
      <c r="L2120" s="2" t="s">
        <v>136</v>
      </c>
      <c r="M2120" s="2" t="s">
        <v>137</v>
      </c>
      <c r="N2120" s="2" t="s">
        <v>138</v>
      </c>
      <c r="O2120" s="2" t="s">
        <v>101</v>
      </c>
      <c r="P2120" s="2" t="str">
        <f>"2170607923                    "</f>
        <v xml:space="preserve">2170607923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6.43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</v>
      </c>
      <c r="BJ2120" s="2">
        <v>0.2</v>
      </c>
      <c r="BK2120" s="2">
        <v>1</v>
      </c>
      <c r="BL2120" s="2">
        <v>45.93</v>
      </c>
      <c r="BM2120" s="2">
        <v>6.43</v>
      </c>
      <c r="BN2120" s="2">
        <v>52.36</v>
      </c>
      <c r="BO2120" s="2">
        <v>52.36</v>
      </c>
      <c r="BQ2120" s="2" t="s">
        <v>82</v>
      </c>
      <c r="BR2120" s="2" t="s">
        <v>103</v>
      </c>
      <c r="BS2120" s="3">
        <v>43084</v>
      </c>
      <c r="BT2120" s="4">
        <v>0.375</v>
      </c>
      <c r="BU2120" s="2" t="s">
        <v>139</v>
      </c>
      <c r="BV2120" s="2" t="s">
        <v>85</v>
      </c>
      <c r="BY2120" s="2">
        <v>1200</v>
      </c>
      <c r="CA2120" s="2" t="s">
        <v>140</v>
      </c>
      <c r="CC2120" s="2" t="s">
        <v>137</v>
      </c>
      <c r="CD2120" s="2">
        <v>6001</v>
      </c>
      <c r="CE2120" s="2" t="s">
        <v>120</v>
      </c>
      <c r="CF2120" s="3">
        <v>43088</v>
      </c>
      <c r="CI2120" s="2">
        <v>1</v>
      </c>
      <c r="CJ2120" s="2">
        <v>1</v>
      </c>
      <c r="CK2120" s="2">
        <v>21</v>
      </c>
      <c r="CL2120" s="2" t="s">
        <v>89</v>
      </c>
    </row>
    <row r="2121" spans="1:90">
      <c r="A2121" s="2" t="s">
        <v>71</v>
      </c>
      <c r="B2121" s="2" t="s">
        <v>72</v>
      </c>
      <c r="C2121" s="2" t="s">
        <v>73</v>
      </c>
      <c r="E2121" s="2" t="str">
        <f>"FES1162596166"</f>
        <v>FES1162596166</v>
      </c>
      <c r="F2121" s="3">
        <v>43083</v>
      </c>
      <c r="G2121" s="2">
        <v>201806</v>
      </c>
      <c r="H2121" s="2" t="s">
        <v>74</v>
      </c>
      <c r="I2121" s="2" t="s">
        <v>75</v>
      </c>
      <c r="J2121" s="2" t="s">
        <v>97</v>
      </c>
      <c r="K2121" s="2" t="s">
        <v>77</v>
      </c>
      <c r="L2121" s="2" t="s">
        <v>262</v>
      </c>
      <c r="M2121" s="2" t="s">
        <v>263</v>
      </c>
      <c r="N2121" s="2" t="s">
        <v>264</v>
      </c>
      <c r="O2121" s="2" t="s">
        <v>101</v>
      </c>
      <c r="P2121" s="2" t="str">
        <f>"2170606486                    "</f>
        <v xml:space="preserve">2170606486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11.26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3.2</v>
      </c>
      <c r="BJ2121" s="2">
        <v>1.5</v>
      </c>
      <c r="BK2121" s="2">
        <v>3.5</v>
      </c>
      <c r="BL2121" s="2">
        <v>80.37</v>
      </c>
      <c r="BM2121" s="2">
        <v>11.25</v>
      </c>
      <c r="BN2121" s="2">
        <v>91.62</v>
      </c>
      <c r="BO2121" s="2">
        <v>91.62</v>
      </c>
      <c r="BQ2121" s="2" t="s">
        <v>102</v>
      </c>
      <c r="BR2121" s="2" t="s">
        <v>103</v>
      </c>
      <c r="BS2121" s="3">
        <v>43089</v>
      </c>
      <c r="BT2121" s="4">
        <v>0.375</v>
      </c>
      <c r="BU2121" s="2" t="s">
        <v>2420</v>
      </c>
      <c r="BV2121" s="2" t="s">
        <v>89</v>
      </c>
      <c r="BW2121" s="2" t="s">
        <v>313</v>
      </c>
      <c r="BX2121" s="2" t="s">
        <v>314</v>
      </c>
      <c r="BY2121" s="2">
        <v>7461.52</v>
      </c>
      <c r="CC2121" s="2" t="s">
        <v>263</v>
      </c>
      <c r="CD2121" s="2">
        <v>6230</v>
      </c>
      <c r="CE2121" s="2" t="s">
        <v>95</v>
      </c>
      <c r="CF2121" s="3">
        <v>43096</v>
      </c>
      <c r="CI2121" s="2">
        <v>1</v>
      </c>
      <c r="CJ2121" s="2">
        <v>4</v>
      </c>
      <c r="CK2121" s="2">
        <v>21</v>
      </c>
      <c r="CL2121" s="2" t="s">
        <v>89</v>
      </c>
    </row>
    <row r="2122" spans="1:90">
      <c r="A2122" s="2" t="s">
        <v>71</v>
      </c>
      <c r="B2122" s="2" t="s">
        <v>72</v>
      </c>
      <c r="C2122" s="2" t="s">
        <v>73</v>
      </c>
      <c r="E2122" s="2" t="str">
        <f>"FES1162595972"</f>
        <v>FES1162595972</v>
      </c>
      <c r="F2122" s="3">
        <v>43083</v>
      </c>
      <c r="G2122" s="2">
        <v>201806</v>
      </c>
      <c r="H2122" s="2" t="s">
        <v>74</v>
      </c>
      <c r="I2122" s="2" t="s">
        <v>75</v>
      </c>
      <c r="J2122" s="2" t="s">
        <v>97</v>
      </c>
      <c r="K2122" s="2" t="s">
        <v>77</v>
      </c>
      <c r="L2122" s="2" t="s">
        <v>304</v>
      </c>
      <c r="M2122" s="2" t="s">
        <v>305</v>
      </c>
      <c r="N2122" s="2" t="s">
        <v>306</v>
      </c>
      <c r="O2122" s="2" t="s">
        <v>101</v>
      </c>
      <c r="P2122" s="2" t="str">
        <f>"2170604069                    "</f>
        <v xml:space="preserve">2170604069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9.0500000000000007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1</v>
      </c>
      <c r="BJ2122" s="2">
        <v>0.2</v>
      </c>
      <c r="BK2122" s="2">
        <v>1</v>
      </c>
      <c r="BL2122" s="2">
        <v>64.599999999999994</v>
      </c>
      <c r="BM2122" s="2">
        <v>9.0399999999999991</v>
      </c>
      <c r="BN2122" s="2">
        <v>73.64</v>
      </c>
      <c r="BO2122" s="2">
        <v>73.64</v>
      </c>
      <c r="BQ2122" s="2" t="s">
        <v>102</v>
      </c>
      <c r="BR2122" s="2" t="s">
        <v>103</v>
      </c>
      <c r="BS2122" s="3">
        <v>43084</v>
      </c>
      <c r="BT2122" s="4">
        <v>0.47916666666666669</v>
      </c>
      <c r="BU2122" s="2" t="s">
        <v>727</v>
      </c>
      <c r="BV2122" s="2" t="s">
        <v>85</v>
      </c>
      <c r="BY2122" s="2">
        <v>1200</v>
      </c>
      <c r="CC2122" s="2" t="s">
        <v>305</v>
      </c>
      <c r="CD2122" s="2">
        <v>1028</v>
      </c>
      <c r="CE2122" s="2" t="s">
        <v>120</v>
      </c>
      <c r="CF2122" s="3">
        <v>43088</v>
      </c>
      <c r="CI2122" s="2">
        <v>2</v>
      </c>
      <c r="CJ2122" s="2">
        <v>1</v>
      </c>
      <c r="CK2122" s="2">
        <v>24</v>
      </c>
      <c r="CL2122" s="2" t="s">
        <v>89</v>
      </c>
    </row>
    <row r="2123" spans="1:90">
      <c r="A2123" s="2" t="s">
        <v>71</v>
      </c>
      <c r="B2123" s="2" t="s">
        <v>72</v>
      </c>
      <c r="C2123" s="2" t="s">
        <v>73</v>
      </c>
      <c r="E2123" s="2" t="str">
        <f>"FES1162596146"</f>
        <v>FES1162596146</v>
      </c>
      <c r="F2123" s="3">
        <v>43083</v>
      </c>
      <c r="G2123" s="2">
        <v>201806</v>
      </c>
      <c r="H2123" s="2" t="s">
        <v>74</v>
      </c>
      <c r="I2123" s="2" t="s">
        <v>75</v>
      </c>
      <c r="J2123" s="2" t="s">
        <v>97</v>
      </c>
      <c r="K2123" s="2" t="s">
        <v>77</v>
      </c>
      <c r="L2123" s="2" t="s">
        <v>883</v>
      </c>
      <c r="M2123" s="2" t="s">
        <v>884</v>
      </c>
      <c r="N2123" s="2" t="s">
        <v>2421</v>
      </c>
      <c r="O2123" s="2" t="s">
        <v>101</v>
      </c>
      <c r="P2123" s="2" t="str">
        <f>"2170607896                    "</f>
        <v xml:space="preserve">2170607896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6.43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</v>
      </c>
      <c r="BJ2123" s="2">
        <v>0.2</v>
      </c>
      <c r="BK2123" s="2">
        <v>1</v>
      </c>
      <c r="BL2123" s="2">
        <v>45.93</v>
      </c>
      <c r="BM2123" s="2">
        <v>6.43</v>
      </c>
      <c r="BN2123" s="2">
        <v>52.36</v>
      </c>
      <c r="BO2123" s="2">
        <v>52.36</v>
      </c>
      <c r="BQ2123" s="2" t="s">
        <v>82</v>
      </c>
      <c r="BR2123" s="2" t="s">
        <v>103</v>
      </c>
      <c r="BS2123" s="3">
        <v>43084</v>
      </c>
      <c r="BT2123" s="4">
        <v>0.42152777777777778</v>
      </c>
      <c r="BU2123" s="2" t="s">
        <v>2422</v>
      </c>
      <c r="BV2123" s="2" t="s">
        <v>85</v>
      </c>
      <c r="BY2123" s="2">
        <v>1200</v>
      </c>
      <c r="CA2123" s="2" t="s">
        <v>887</v>
      </c>
      <c r="CC2123" s="2" t="s">
        <v>884</v>
      </c>
      <c r="CD2123" s="2">
        <v>7600</v>
      </c>
      <c r="CE2123" s="2" t="s">
        <v>120</v>
      </c>
      <c r="CF2123" s="3">
        <v>43087</v>
      </c>
      <c r="CI2123" s="2">
        <v>1</v>
      </c>
      <c r="CJ2123" s="2">
        <v>1</v>
      </c>
      <c r="CK2123" s="2">
        <v>21</v>
      </c>
      <c r="CL2123" s="2" t="s">
        <v>89</v>
      </c>
    </row>
    <row r="2124" spans="1:90">
      <c r="A2124" s="2" t="s">
        <v>71</v>
      </c>
      <c r="B2124" s="2" t="s">
        <v>72</v>
      </c>
      <c r="C2124" s="2" t="s">
        <v>73</v>
      </c>
      <c r="E2124" s="2" t="str">
        <f>"FES1162595924"</f>
        <v>FES1162595924</v>
      </c>
      <c r="F2124" s="3">
        <v>43083</v>
      </c>
      <c r="G2124" s="2">
        <v>201806</v>
      </c>
      <c r="H2124" s="2" t="s">
        <v>74</v>
      </c>
      <c r="I2124" s="2" t="s">
        <v>75</v>
      </c>
      <c r="J2124" s="2" t="s">
        <v>97</v>
      </c>
      <c r="K2124" s="2" t="s">
        <v>77</v>
      </c>
      <c r="L2124" s="2" t="s">
        <v>158</v>
      </c>
      <c r="M2124" s="2" t="s">
        <v>159</v>
      </c>
      <c r="N2124" s="2" t="s">
        <v>588</v>
      </c>
      <c r="O2124" s="2" t="s">
        <v>101</v>
      </c>
      <c r="P2124" s="2" t="str">
        <f>"2170604196                    "</f>
        <v xml:space="preserve">2170604196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6.43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1</v>
      </c>
      <c r="BJ2124" s="2">
        <v>0.2</v>
      </c>
      <c r="BK2124" s="2">
        <v>1</v>
      </c>
      <c r="BL2124" s="2">
        <v>45.93</v>
      </c>
      <c r="BM2124" s="2">
        <v>6.43</v>
      </c>
      <c r="BN2124" s="2">
        <v>52.36</v>
      </c>
      <c r="BO2124" s="2">
        <v>52.36</v>
      </c>
      <c r="BQ2124" s="2" t="s">
        <v>102</v>
      </c>
      <c r="BR2124" s="2" t="s">
        <v>103</v>
      </c>
      <c r="BS2124" s="3">
        <v>43084</v>
      </c>
      <c r="BT2124" s="4">
        <v>0.50347222222222221</v>
      </c>
      <c r="BU2124" s="2" t="s">
        <v>2413</v>
      </c>
      <c r="BV2124" s="2" t="s">
        <v>85</v>
      </c>
      <c r="BY2124" s="2">
        <v>1200</v>
      </c>
      <c r="CA2124" s="2" t="s">
        <v>590</v>
      </c>
      <c r="CC2124" s="2" t="s">
        <v>159</v>
      </c>
      <c r="CD2124" s="2">
        <v>40</v>
      </c>
      <c r="CE2124" s="2" t="s">
        <v>120</v>
      </c>
      <c r="CF2124" s="3">
        <v>43088</v>
      </c>
      <c r="CI2124" s="2">
        <v>1</v>
      </c>
      <c r="CJ2124" s="2">
        <v>1</v>
      </c>
      <c r="CK2124" s="2">
        <v>21</v>
      </c>
      <c r="CL2124" s="2" t="s">
        <v>89</v>
      </c>
    </row>
    <row r="2125" spans="1:90">
      <c r="A2125" s="2" t="s">
        <v>71</v>
      </c>
      <c r="B2125" s="2" t="s">
        <v>72</v>
      </c>
      <c r="C2125" s="2" t="s">
        <v>73</v>
      </c>
      <c r="E2125" s="2" t="str">
        <f>"FES1162596027"</f>
        <v>FES1162596027</v>
      </c>
      <c r="F2125" s="3">
        <v>43083</v>
      </c>
      <c r="G2125" s="2">
        <v>201806</v>
      </c>
      <c r="H2125" s="2" t="s">
        <v>74</v>
      </c>
      <c r="I2125" s="2" t="s">
        <v>75</v>
      </c>
      <c r="J2125" s="2" t="s">
        <v>97</v>
      </c>
      <c r="K2125" s="2" t="s">
        <v>77</v>
      </c>
      <c r="L2125" s="2" t="s">
        <v>158</v>
      </c>
      <c r="M2125" s="2" t="s">
        <v>159</v>
      </c>
      <c r="N2125" s="2" t="s">
        <v>186</v>
      </c>
      <c r="O2125" s="2" t="s">
        <v>101</v>
      </c>
      <c r="P2125" s="2" t="str">
        <f>"2170607059                    "</f>
        <v xml:space="preserve">2170607059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6.43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</v>
      </c>
      <c r="BJ2125" s="2">
        <v>0.2</v>
      </c>
      <c r="BK2125" s="2">
        <v>1</v>
      </c>
      <c r="BL2125" s="2">
        <v>45.93</v>
      </c>
      <c r="BM2125" s="2">
        <v>6.43</v>
      </c>
      <c r="BN2125" s="2">
        <v>52.36</v>
      </c>
      <c r="BO2125" s="2">
        <v>52.36</v>
      </c>
      <c r="BQ2125" s="2" t="s">
        <v>187</v>
      </c>
      <c r="BR2125" s="2" t="s">
        <v>103</v>
      </c>
      <c r="BS2125" s="3">
        <v>43084</v>
      </c>
      <c r="BT2125" s="4">
        <v>0.43541666666666662</v>
      </c>
      <c r="BU2125" s="2" t="s">
        <v>200</v>
      </c>
      <c r="BV2125" s="2" t="s">
        <v>85</v>
      </c>
      <c r="BY2125" s="2">
        <v>1200</v>
      </c>
      <c r="CC2125" s="2" t="s">
        <v>159</v>
      </c>
      <c r="CD2125" s="2">
        <v>159</v>
      </c>
      <c r="CE2125" s="2" t="s">
        <v>120</v>
      </c>
      <c r="CF2125" s="3">
        <v>43088</v>
      </c>
      <c r="CI2125" s="2">
        <v>1</v>
      </c>
      <c r="CJ2125" s="2">
        <v>1</v>
      </c>
      <c r="CK2125" s="2">
        <v>21</v>
      </c>
      <c r="CL2125" s="2" t="s">
        <v>89</v>
      </c>
    </row>
    <row r="2126" spans="1:90">
      <c r="A2126" s="2" t="s">
        <v>71</v>
      </c>
      <c r="B2126" s="2" t="s">
        <v>72</v>
      </c>
      <c r="C2126" s="2" t="s">
        <v>73</v>
      </c>
      <c r="E2126" s="2" t="str">
        <f>"FES1162596009"</f>
        <v>FES1162596009</v>
      </c>
      <c r="F2126" s="3">
        <v>43083</v>
      </c>
      <c r="G2126" s="2">
        <v>201806</v>
      </c>
      <c r="H2126" s="2" t="s">
        <v>74</v>
      </c>
      <c r="I2126" s="2" t="s">
        <v>75</v>
      </c>
      <c r="J2126" s="2" t="s">
        <v>97</v>
      </c>
      <c r="K2126" s="2" t="s">
        <v>77</v>
      </c>
      <c r="L2126" s="2" t="s">
        <v>295</v>
      </c>
      <c r="M2126" s="2" t="s">
        <v>296</v>
      </c>
      <c r="N2126" s="2" t="s">
        <v>297</v>
      </c>
      <c r="O2126" s="2" t="s">
        <v>101</v>
      </c>
      <c r="P2126" s="2" t="str">
        <f>"2170604907                    "</f>
        <v xml:space="preserve">2170604907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9.0500000000000007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1</v>
      </c>
      <c r="BJ2126" s="2">
        <v>0.2</v>
      </c>
      <c r="BK2126" s="2">
        <v>1</v>
      </c>
      <c r="BL2126" s="2">
        <v>64.599999999999994</v>
      </c>
      <c r="BM2126" s="2">
        <v>9.0399999999999991</v>
      </c>
      <c r="BN2126" s="2">
        <v>73.64</v>
      </c>
      <c r="BO2126" s="2">
        <v>73.64</v>
      </c>
      <c r="BQ2126" s="2" t="s">
        <v>298</v>
      </c>
      <c r="BR2126" s="2" t="s">
        <v>103</v>
      </c>
      <c r="BS2126" s="3">
        <v>43084</v>
      </c>
      <c r="BT2126" s="4">
        <v>0.54166666666666663</v>
      </c>
      <c r="BU2126" s="2" t="s">
        <v>93</v>
      </c>
      <c r="BV2126" s="2" t="s">
        <v>85</v>
      </c>
      <c r="BY2126" s="2">
        <v>1200</v>
      </c>
      <c r="CC2126" s="2" t="s">
        <v>296</v>
      </c>
      <c r="CD2126" s="2">
        <v>208</v>
      </c>
      <c r="CE2126" s="2" t="s">
        <v>120</v>
      </c>
      <c r="CF2126" s="3">
        <v>43088</v>
      </c>
      <c r="CI2126" s="2">
        <v>1</v>
      </c>
      <c r="CJ2126" s="2">
        <v>1</v>
      </c>
      <c r="CK2126" s="2">
        <v>24</v>
      </c>
      <c r="CL2126" s="2" t="s">
        <v>89</v>
      </c>
    </row>
    <row r="2127" spans="1:90">
      <c r="A2127" s="2" t="s">
        <v>71</v>
      </c>
      <c r="B2127" s="2" t="s">
        <v>72</v>
      </c>
      <c r="C2127" s="2" t="s">
        <v>73</v>
      </c>
      <c r="E2127" s="2" t="str">
        <f>"FES1162596186"</f>
        <v>FES1162596186</v>
      </c>
      <c r="F2127" s="3">
        <v>43083</v>
      </c>
      <c r="G2127" s="2">
        <v>201806</v>
      </c>
      <c r="H2127" s="2" t="s">
        <v>74</v>
      </c>
      <c r="I2127" s="2" t="s">
        <v>75</v>
      </c>
      <c r="J2127" s="2" t="s">
        <v>97</v>
      </c>
      <c r="K2127" s="2" t="s">
        <v>77</v>
      </c>
      <c r="L2127" s="2" t="s">
        <v>173</v>
      </c>
      <c r="M2127" s="2" t="s">
        <v>174</v>
      </c>
      <c r="N2127" s="2" t="s">
        <v>1259</v>
      </c>
      <c r="O2127" s="2" t="s">
        <v>101</v>
      </c>
      <c r="P2127" s="2" t="str">
        <f>"2170607939                    "</f>
        <v xml:space="preserve">2170607939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6.43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1</v>
      </c>
      <c r="BJ2127" s="2">
        <v>0.2</v>
      </c>
      <c r="BK2127" s="2">
        <v>1</v>
      </c>
      <c r="BL2127" s="2">
        <v>45.93</v>
      </c>
      <c r="BM2127" s="2">
        <v>6.43</v>
      </c>
      <c r="BN2127" s="2">
        <v>52.36</v>
      </c>
      <c r="BO2127" s="2">
        <v>52.36</v>
      </c>
      <c r="BQ2127" s="2" t="s">
        <v>82</v>
      </c>
      <c r="BR2127" s="2" t="s">
        <v>103</v>
      </c>
      <c r="BS2127" s="3">
        <v>43084</v>
      </c>
      <c r="BT2127" s="4">
        <v>0.51250000000000007</v>
      </c>
      <c r="BU2127" s="2" t="s">
        <v>586</v>
      </c>
      <c r="BV2127" s="2" t="s">
        <v>89</v>
      </c>
      <c r="BW2127" s="2" t="s">
        <v>149</v>
      </c>
      <c r="BX2127" s="2" t="s">
        <v>368</v>
      </c>
      <c r="BY2127" s="2">
        <v>1200</v>
      </c>
      <c r="CA2127" s="2" t="s">
        <v>1261</v>
      </c>
      <c r="CC2127" s="2" t="s">
        <v>174</v>
      </c>
      <c r="CD2127" s="2">
        <v>7800</v>
      </c>
      <c r="CE2127" s="2" t="s">
        <v>120</v>
      </c>
      <c r="CF2127" s="3">
        <v>43087</v>
      </c>
      <c r="CI2127" s="2">
        <v>1</v>
      </c>
      <c r="CJ2127" s="2">
        <v>1</v>
      </c>
      <c r="CK2127" s="2">
        <v>21</v>
      </c>
      <c r="CL2127" s="2" t="s">
        <v>89</v>
      </c>
    </row>
    <row r="2128" spans="1:90">
      <c r="A2128" s="2" t="s">
        <v>71</v>
      </c>
      <c r="B2128" s="2" t="s">
        <v>72</v>
      </c>
      <c r="C2128" s="2" t="s">
        <v>73</v>
      </c>
      <c r="E2128" s="2" t="str">
        <f>"FES1162596164"</f>
        <v>FES1162596164</v>
      </c>
      <c r="F2128" s="3">
        <v>43083</v>
      </c>
      <c r="G2128" s="2">
        <v>201806</v>
      </c>
      <c r="H2128" s="2" t="s">
        <v>74</v>
      </c>
      <c r="I2128" s="2" t="s">
        <v>75</v>
      </c>
      <c r="J2128" s="2" t="s">
        <v>97</v>
      </c>
      <c r="K2128" s="2" t="s">
        <v>77</v>
      </c>
      <c r="L2128" s="2" t="s">
        <v>173</v>
      </c>
      <c r="M2128" s="2" t="s">
        <v>174</v>
      </c>
      <c r="N2128" s="2" t="s">
        <v>2423</v>
      </c>
      <c r="O2128" s="2" t="s">
        <v>101</v>
      </c>
      <c r="P2128" s="2" t="str">
        <f>"2170605087                    "</f>
        <v xml:space="preserve">2170605087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6.43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45.93</v>
      </c>
      <c r="BM2128" s="2">
        <v>6.43</v>
      </c>
      <c r="BN2128" s="2">
        <v>52.36</v>
      </c>
      <c r="BO2128" s="2">
        <v>52.36</v>
      </c>
      <c r="BQ2128" s="2" t="s">
        <v>82</v>
      </c>
      <c r="BR2128" s="2" t="s">
        <v>103</v>
      </c>
      <c r="BS2128" s="3">
        <v>43087</v>
      </c>
      <c r="BT2128" s="4">
        <v>0.56944444444444442</v>
      </c>
      <c r="BU2128" s="2" t="s">
        <v>846</v>
      </c>
      <c r="BV2128" s="2" t="s">
        <v>89</v>
      </c>
      <c r="BW2128" s="2" t="s">
        <v>313</v>
      </c>
      <c r="BX2128" s="2" t="s">
        <v>246</v>
      </c>
      <c r="BY2128" s="2">
        <v>1200</v>
      </c>
      <c r="CA2128" s="2" t="s">
        <v>743</v>
      </c>
      <c r="CC2128" s="2" t="s">
        <v>174</v>
      </c>
      <c r="CD2128" s="2">
        <v>7925</v>
      </c>
      <c r="CE2128" s="2" t="s">
        <v>120</v>
      </c>
      <c r="CF2128" s="3">
        <v>43088</v>
      </c>
      <c r="CI2128" s="2">
        <v>1</v>
      </c>
      <c r="CJ2128" s="2">
        <v>2</v>
      </c>
      <c r="CK2128" s="2">
        <v>21</v>
      </c>
      <c r="CL2128" s="2" t="s">
        <v>89</v>
      </c>
    </row>
    <row r="2129" spans="1:90">
      <c r="A2129" s="2" t="s">
        <v>71</v>
      </c>
      <c r="B2129" s="2" t="s">
        <v>72</v>
      </c>
      <c r="C2129" s="2" t="s">
        <v>73</v>
      </c>
      <c r="E2129" s="2" t="str">
        <f>"FES1162595778"</f>
        <v>FES1162595778</v>
      </c>
      <c r="F2129" s="3">
        <v>43083</v>
      </c>
      <c r="G2129" s="2">
        <v>201806</v>
      </c>
      <c r="H2129" s="2" t="s">
        <v>74</v>
      </c>
      <c r="I2129" s="2" t="s">
        <v>75</v>
      </c>
      <c r="J2129" s="2" t="s">
        <v>97</v>
      </c>
      <c r="K2129" s="2" t="s">
        <v>77</v>
      </c>
      <c r="L2129" s="2" t="s">
        <v>173</v>
      </c>
      <c r="M2129" s="2" t="s">
        <v>174</v>
      </c>
      <c r="N2129" s="2" t="s">
        <v>1259</v>
      </c>
      <c r="O2129" s="2" t="s">
        <v>101</v>
      </c>
      <c r="P2129" s="2" t="str">
        <f>"2170607595                    "</f>
        <v xml:space="preserve">2170607595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6.43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45.93</v>
      </c>
      <c r="BM2129" s="2">
        <v>6.43</v>
      </c>
      <c r="BN2129" s="2">
        <v>52.36</v>
      </c>
      <c r="BO2129" s="2">
        <v>52.36</v>
      </c>
      <c r="BQ2129" s="2" t="s">
        <v>82</v>
      </c>
      <c r="BR2129" s="2" t="s">
        <v>103</v>
      </c>
      <c r="BS2129" s="3">
        <v>43084</v>
      </c>
      <c r="BT2129" s="4">
        <v>0.51250000000000007</v>
      </c>
      <c r="BU2129" s="2" t="s">
        <v>586</v>
      </c>
      <c r="BV2129" s="2" t="s">
        <v>89</v>
      </c>
      <c r="BW2129" s="2" t="s">
        <v>149</v>
      </c>
      <c r="BX2129" s="2" t="s">
        <v>368</v>
      </c>
      <c r="BY2129" s="2">
        <v>1200</v>
      </c>
      <c r="CA2129" s="2" t="s">
        <v>1261</v>
      </c>
      <c r="CC2129" s="2" t="s">
        <v>174</v>
      </c>
      <c r="CD2129" s="2">
        <v>7800</v>
      </c>
      <c r="CE2129" s="2" t="s">
        <v>120</v>
      </c>
      <c r="CF2129" s="3">
        <v>43087</v>
      </c>
      <c r="CI2129" s="2">
        <v>1</v>
      </c>
      <c r="CJ2129" s="2">
        <v>1</v>
      </c>
      <c r="CK2129" s="2">
        <v>21</v>
      </c>
      <c r="CL2129" s="2" t="s">
        <v>89</v>
      </c>
    </row>
    <row r="2130" spans="1:90">
      <c r="A2130" s="2" t="s">
        <v>71</v>
      </c>
      <c r="B2130" s="2" t="s">
        <v>72</v>
      </c>
      <c r="C2130" s="2" t="s">
        <v>73</v>
      </c>
      <c r="E2130" s="2" t="str">
        <f>"FES1162596083"</f>
        <v>FES1162596083</v>
      </c>
      <c r="F2130" s="3">
        <v>43083</v>
      </c>
      <c r="G2130" s="2">
        <v>201806</v>
      </c>
      <c r="H2130" s="2" t="s">
        <v>74</v>
      </c>
      <c r="I2130" s="2" t="s">
        <v>75</v>
      </c>
      <c r="J2130" s="2" t="s">
        <v>97</v>
      </c>
      <c r="K2130" s="2" t="s">
        <v>77</v>
      </c>
      <c r="L2130" s="2" t="s">
        <v>173</v>
      </c>
      <c r="M2130" s="2" t="s">
        <v>174</v>
      </c>
      <c r="N2130" s="2" t="s">
        <v>679</v>
      </c>
      <c r="O2130" s="2" t="s">
        <v>101</v>
      </c>
      <c r="P2130" s="2" t="str">
        <f>"2170607836                    "</f>
        <v xml:space="preserve">2170607836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6.43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0.2</v>
      </c>
      <c r="BK2130" s="2">
        <v>1</v>
      </c>
      <c r="BL2130" s="2">
        <v>45.93</v>
      </c>
      <c r="BM2130" s="2">
        <v>6.43</v>
      </c>
      <c r="BN2130" s="2">
        <v>52.36</v>
      </c>
      <c r="BO2130" s="2">
        <v>52.36</v>
      </c>
      <c r="BQ2130" s="2" t="s">
        <v>680</v>
      </c>
      <c r="BR2130" s="2" t="s">
        <v>103</v>
      </c>
      <c r="BS2130" s="3">
        <v>43084</v>
      </c>
      <c r="BT2130" s="4">
        <v>0.41666666666666669</v>
      </c>
      <c r="BU2130" s="2" t="s">
        <v>2424</v>
      </c>
      <c r="BV2130" s="2" t="s">
        <v>85</v>
      </c>
      <c r="BY2130" s="2">
        <v>1200</v>
      </c>
      <c r="CA2130" s="2" t="s">
        <v>247</v>
      </c>
      <c r="CC2130" s="2" t="s">
        <v>174</v>
      </c>
      <c r="CD2130" s="2">
        <v>7530</v>
      </c>
      <c r="CE2130" s="2" t="s">
        <v>120</v>
      </c>
      <c r="CF2130" s="3">
        <v>43087</v>
      </c>
      <c r="CI2130" s="2">
        <v>1</v>
      </c>
      <c r="CJ2130" s="2">
        <v>1</v>
      </c>
      <c r="CK2130" s="2">
        <v>21</v>
      </c>
      <c r="CL2130" s="2" t="s">
        <v>89</v>
      </c>
    </row>
    <row r="2131" spans="1:90">
      <c r="A2131" s="2" t="s">
        <v>71</v>
      </c>
      <c r="B2131" s="2" t="s">
        <v>72</v>
      </c>
      <c r="C2131" s="2" t="s">
        <v>73</v>
      </c>
      <c r="E2131" s="2" t="str">
        <f>"FES1162595981"</f>
        <v>FES1162595981</v>
      </c>
      <c r="F2131" s="3">
        <v>43083</v>
      </c>
      <c r="G2131" s="2">
        <v>201806</v>
      </c>
      <c r="H2131" s="2" t="s">
        <v>74</v>
      </c>
      <c r="I2131" s="2" t="s">
        <v>75</v>
      </c>
      <c r="J2131" s="2" t="s">
        <v>97</v>
      </c>
      <c r="K2131" s="2" t="s">
        <v>77</v>
      </c>
      <c r="L2131" s="2" t="s">
        <v>158</v>
      </c>
      <c r="M2131" s="2" t="s">
        <v>159</v>
      </c>
      <c r="N2131" s="2" t="s">
        <v>588</v>
      </c>
      <c r="O2131" s="2" t="s">
        <v>101</v>
      </c>
      <c r="P2131" s="2" t="str">
        <f>"2170604196                    "</f>
        <v xml:space="preserve">2170604196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6.43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</v>
      </c>
      <c r="BJ2131" s="2">
        <v>0.2</v>
      </c>
      <c r="BK2131" s="2">
        <v>1</v>
      </c>
      <c r="BL2131" s="2">
        <v>45.93</v>
      </c>
      <c r="BM2131" s="2">
        <v>6.43</v>
      </c>
      <c r="BN2131" s="2">
        <v>52.36</v>
      </c>
      <c r="BO2131" s="2">
        <v>52.36</v>
      </c>
      <c r="BQ2131" s="2" t="s">
        <v>102</v>
      </c>
      <c r="BR2131" s="2" t="s">
        <v>103</v>
      </c>
      <c r="BS2131" s="3">
        <v>43084</v>
      </c>
      <c r="BT2131" s="4">
        <v>0.50347222222222221</v>
      </c>
      <c r="BU2131" s="2" t="s">
        <v>2425</v>
      </c>
      <c r="BV2131" s="2" t="s">
        <v>85</v>
      </c>
      <c r="BY2131" s="2">
        <v>1200</v>
      </c>
      <c r="CA2131" s="2" t="s">
        <v>590</v>
      </c>
      <c r="CC2131" s="2" t="s">
        <v>159</v>
      </c>
      <c r="CD2131" s="2">
        <v>40</v>
      </c>
      <c r="CE2131" s="2" t="s">
        <v>120</v>
      </c>
      <c r="CF2131" s="3">
        <v>43088</v>
      </c>
      <c r="CI2131" s="2">
        <v>1</v>
      </c>
      <c r="CJ2131" s="2">
        <v>1</v>
      </c>
      <c r="CK2131" s="2">
        <v>21</v>
      </c>
      <c r="CL2131" s="2" t="s">
        <v>89</v>
      </c>
    </row>
    <row r="2132" spans="1:90">
      <c r="A2132" s="2" t="s">
        <v>71</v>
      </c>
      <c r="B2132" s="2" t="s">
        <v>72</v>
      </c>
      <c r="C2132" s="2" t="s">
        <v>73</v>
      </c>
      <c r="E2132" s="2" t="str">
        <f>"FES1162596063"</f>
        <v>FES1162596063</v>
      </c>
      <c r="F2132" s="3">
        <v>43083</v>
      </c>
      <c r="G2132" s="2">
        <v>201806</v>
      </c>
      <c r="H2132" s="2" t="s">
        <v>74</v>
      </c>
      <c r="I2132" s="2" t="s">
        <v>75</v>
      </c>
      <c r="J2132" s="2" t="s">
        <v>97</v>
      </c>
      <c r="K2132" s="2" t="s">
        <v>77</v>
      </c>
      <c r="L2132" s="2" t="s">
        <v>98</v>
      </c>
      <c r="M2132" s="2" t="s">
        <v>99</v>
      </c>
      <c r="N2132" s="2" t="s">
        <v>607</v>
      </c>
      <c r="O2132" s="2" t="s">
        <v>101</v>
      </c>
      <c r="P2132" s="2" t="str">
        <f>"2170607806                    "</f>
        <v xml:space="preserve">2170607806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6.43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</v>
      </c>
      <c r="BJ2132" s="2">
        <v>0.2</v>
      </c>
      <c r="BK2132" s="2">
        <v>1</v>
      </c>
      <c r="BL2132" s="2">
        <v>45.93</v>
      </c>
      <c r="BM2132" s="2">
        <v>6.43</v>
      </c>
      <c r="BN2132" s="2">
        <v>52.36</v>
      </c>
      <c r="BO2132" s="2">
        <v>52.36</v>
      </c>
      <c r="BQ2132" s="2" t="s">
        <v>142</v>
      </c>
      <c r="BR2132" s="2" t="s">
        <v>103</v>
      </c>
      <c r="BS2132" s="3">
        <v>43087</v>
      </c>
      <c r="BT2132" s="4">
        <v>0.40625</v>
      </c>
      <c r="BU2132" s="2" t="s">
        <v>2197</v>
      </c>
      <c r="BV2132" s="2" t="s">
        <v>89</v>
      </c>
      <c r="BW2132" s="2" t="s">
        <v>149</v>
      </c>
      <c r="BX2132" s="2" t="s">
        <v>1390</v>
      </c>
      <c r="BY2132" s="2">
        <v>1200</v>
      </c>
      <c r="CA2132" s="2" t="s">
        <v>497</v>
      </c>
      <c r="CC2132" s="2" t="s">
        <v>99</v>
      </c>
      <c r="CD2132" s="2">
        <v>3201</v>
      </c>
      <c r="CE2132" s="2" t="s">
        <v>120</v>
      </c>
      <c r="CF2132" s="3">
        <v>43089</v>
      </c>
      <c r="CI2132" s="2">
        <v>1</v>
      </c>
      <c r="CJ2132" s="2">
        <v>2</v>
      </c>
      <c r="CK2132" s="2">
        <v>21</v>
      </c>
      <c r="CL2132" s="2" t="s">
        <v>89</v>
      </c>
    </row>
    <row r="2133" spans="1:90">
      <c r="A2133" s="2" t="s">
        <v>71</v>
      </c>
      <c r="B2133" s="2" t="s">
        <v>72</v>
      </c>
      <c r="C2133" s="2" t="s">
        <v>73</v>
      </c>
      <c r="E2133" s="2" t="str">
        <f>"FES1162596133"</f>
        <v>FES1162596133</v>
      </c>
      <c r="F2133" s="3">
        <v>43083</v>
      </c>
      <c r="G2133" s="2">
        <v>201806</v>
      </c>
      <c r="H2133" s="2" t="s">
        <v>74</v>
      </c>
      <c r="I2133" s="2" t="s">
        <v>75</v>
      </c>
      <c r="J2133" s="2" t="s">
        <v>97</v>
      </c>
      <c r="K2133" s="2" t="s">
        <v>77</v>
      </c>
      <c r="L2133" s="2" t="s">
        <v>98</v>
      </c>
      <c r="M2133" s="2" t="s">
        <v>99</v>
      </c>
      <c r="N2133" s="2" t="s">
        <v>2095</v>
      </c>
      <c r="O2133" s="2" t="s">
        <v>101</v>
      </c>
      <c r="P2133" s="2" t="str">
        <f>"2170607867                    "</f>
        <v xml:space="preserve">2170607867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6.43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1</v>
      </c>
      <c r="BJ2133" s="2">
        <v>0.2</v>
      </c>
      <c r="BK2133" s="2">
        <v>1</v>
      </c>
      <c r="BL2133" s="2">
        <v>45.93</v>
      </c>
      <c r="BM2133" s="2">
        <v>6.43</v>
      </c>
      <c r="BN2133" s="2">
        <v>52.36</v>
      </c>
      <c r="BO2133" s="2">
        <v>52.36</v>
      </c>
      <c r="BQ2133" s="2" t="s">
        <v>128</v>
      </c>
      <c r="BR2133" s="2" t="s">
        <v>103</v>
      </c>
      <c r="BS2133" s="3">
        <v>43087</v>
      </c>
      <c r="BT2133" s="4">
        <v>0.40972222222222227</v>
      </c>
      <c r="BU2133" s="2" t="s">
        <v>2426</v>
      </c>
      <c r="BV2133" s="2" t="s">
        <v>89</v>
      </c>
      <c r="BW2133" s="2" t="s">
        <v>149</v>
      </c>
      <c r="BX2133" s="2" t="s">
        <v>1390</v>
      </c>
      <c r="BY2133" s="2">
        <v>1200</v>
      </c>
      <c r="CA2133" s="2" t="s">
        <v>497</v>
      </c>
      <c r="CC2133" s="2" t="s">
        <v>99</v>
      </c>
      <c r="CD2133" s="2">
        <v>3201</v>
      </c>
      <c r="CE2133" s="2" t="s">
        <v>120</v>
      </c>
      <c r="CF2133" s="3">
        <v>43089</v>
      </c>
      <c r="CI2133" s="2">
        <v>1</v>
      </c>
      <c r="CJ2133" s="2">
        <v>2</v>
      </c>
      <c r="CK2133" s="2">
        <v>21</v>
      </c>
      <c r="CL2133" s="2" t="s">
        <v>89</v>
      </c>
    </row>
    <row r="2134" spans="1:90">
      <c r="A2134" s="2" t="s">
        <v>71</v>
      </c>
      <c r="B2134" s="2" t="s">
        <v>72</v>
      </c>
      <c r="C2134" s="2" t="s">
        <v>73</v>
      </c>
      <c r="E2134" s="2" t="str">
        <f>"FES1162595902"</f>
        <v>FES1162595902</v>
      </c>
      <c r="F2134" s="3">
        <v>43083</v>
      </c>
      <c r="G2134" s="2">
        <v>201806</v>
      </c>
      <c r="H2134" s="2" t="s">
        <v>74</v>
      </c>
      <c r="I2134" s="2" t="s">
        <v>75</v>
      </c>
      <c r="J2134" s="2" t="s">
        <v>97</v>
      </c>
      <c r="K2134" s="2" t="s">
        <v>77</v>
      </c>
      <c r="L2134" s="2" t="s">
        <v>158</v>
      </c>
      <c r="M2134" s="2" t="s">
        <v>159</v>
      </c>
      <c r="N2134" s="2" t="s">
        <v>966</v>
      </c>
      <c r="O2134" s="2" t="s">
        <v>101</v>
      </c>
      <c r="P2134" s="2" t="str">
        <f>"2170607745                    "</f>
        <v xml:space="preserve">2170607745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6.43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45.93</v>
      </c>
      <c r="BM2134" s="2">
        <v>6.43</v>
      </c>
      <c r="BN2134" s="2">
        <v>52.36</v>
      </c>
      <c r="BO2134" s="2">
        <v>52.36</v>
      </c>
      <c r="BQ2134" s="2" t="s">
        <v>102</v>
      </c>
      <c r="BR2134" s="2" t="s">
        <v>103</v>
      </c>
      <c r="BS2134" s="2" t="s">
        <v>185</v>
      </c>
      <c r="BY2134" s="2">
        <v>1200</v>
      </c>
      <c r="CC2134" s="2" t="s">
        <v>159</v>
      </c>
      <c r="CD2134" s="2">
        <v>200</v>
      </c>
      <c r="CE2134" s="2" t="s">
        <v>120</v>
      </c>
      <c r="CI2134" s="2">
        <v>1</v>
      </c>
      <c r="CJ2134" s="2" t="s">
        <v>185</v>
      </c>
      <c r="CK2134" s="2">
        <v>21</v>
      </c>
      <c r="CL2134" s="2" t="s">
        <v>89</v>
      </c>
    </row>
    <row r="2135" spans="1:90">
      <c r="A2135" s="2" t="s">
        <v>71</v>
      </c>
      <c r="B2135" s="2" t="s">
        <v>72</v>
      </c>
      <c r="C2135" s="2" t="s">
        <v>73</v>
      </c>
      <c r="E2135" s="2" t="str">
        <f>"FES1162596108"</f>
        <v>FES1162596108</v>
      </c>
      <c r="F2135" s="3">
        <v>43083</v>
      </c>
      <c r="G2135" s="2">
        <v>201806</v>
      </c>
      <c r="H2135" s="2" t="s">
        <v>74</v>
      </c>
      <c r="I2135" s="2" t="s">
        <v>75</v>
      </c>
      <c r="J2135" s="2" t="s">
        <v>97</v>
      </c>
      <c r="K2135" s="2" t="s">
        <v>77</v>
      </c>
      <c r="L2135" s="2" t="s">
        <v>526</v>
      </c>
      <c r="M2135" s="2" t="s">
        <v>527</v>
      </c>
      <c r="N2135" s="2" t="s">
        <v>1206</v>
      </c>
      <c r="O2135" s="2" t="s">
        <v>101</v>
      </c>
      <c r="P2135" s="2" t="str">
        <f>"2170604210                    "</f>
        <v xml:space="preserve">2170604210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16.079999999999998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4.9000000000000004</v>
      </c>
      <c r="BJ2135" s="2">
        <v>1.6</v>
      </c>
      <c r="BK2135" s="2">
        <v>5</v>
      </c>
      <c r="BL2135" s="2">
        <v>114.8</v>
      </c>
      <c r="BM2135" s="2">
        <v>16.07</v>
      </c>
      <c r="BN2135" s="2">
        <v>130.87</v>
      </c>
      <c r="BO2135" s="2">
        <v>130.87</v>
      </c>
      <c r="BQ2135" s="2" t="s">
        <v>82</v>
      </c>
      <c r="BR2135" s="2" t="s">
        <v>103</v>
      </c>
      <c r="BS2135" s="3">
        <v>43087</v>
      </c>
      <c r="BT2135" s="4">
        <v>0.55208333333333337</v>
      </c>
      <c r="BU2135" s="2" t="s">
        <v>2427</v>
      </c>
      <c r="BV2135" s="2" t="s">
        <v>85</v>
      </c>
      <c r="BY2135" s="2">
        <v>8118.97</v>
      </c>
      <c r="CA2135" s="2" t="s">
        <v>530</v>
      </c>
      <c r="CC2135" s="2" t="s">
        <v>527</v>
      </c>
      <c r="CD2135" s="2">
        <v>6849</v>
      </c>
      <c r="CE2135" s="2" t="s">
        <v>95</v>
      </c>
      <c r="CF2135" s="3">
        <v>43088</v>
      </c>
      <c r="CI2135" s="2">
        <v>3</v>
      </c>
      <c r="CJ2135" s="2">
        <v>2</v>
      </c>
      <c r="CK2135" s="2">
        <v>21</v>
      </c>
      <c r="CL2135" s="2" t="s">
        <v>89</v>
      </c>
    </row>
    <row r="2136" spans="1:90">
      <c r="A2136" s="2" t="s">
        <v>71</v>
      </c>
      <c r="B2136" s="2" t="s">
        <v>72</v>
      </c>
      <c r="C2136" s="2" t="s">
        <v>73</v>
      </c>
      <c r="E2136" s="2" t="str">
        <f>"FES1162596142"</f>
        <v>FES1162596142</v>
      </c>
      <c r="F2136" s="3">
        <v>43083</v>
      </c>
      <c r="G2136" s="2">
        <v>201806</v>
      </c>
      <c r="H2136" s="2" t="s">
        <v>74</v>
      </c>
      <c r="I2136" s="2" t="s">
        <v>75</v>
      </c>
      <c r="J2136" s="2" t="s">
        <v>97</v>
      </c>
      <c r="K2136" s="2" t="s">
        <v>77</v>
      </c>
      <c r="L2136" s="2" t="s">
        <v>125</v>
      </c>
      <c r="M2136" s="2" t="s">
        <v>126</v>
      </c>
      <c r="N2136" s="2" t="s">
        <v>2280</v>
      </c>
      <c r="O2136" s="2" t="s">
        <v>101</v>
      </c>
      <c r="P2136" s="2" t="str">
        <f>"2170607897                    "</f>
        <v xml:space="preserve">2170607897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6.43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</v>
      </c>
      <c r="BJ2136" s="2">
        <v>0.2</v>
      </c>
      <c r="BK2136" s="2">
        <v>1</v>
      </c>
      <c r="BL2136" s="2">
        <v>45.93</v>
      </c>
      <c r="BM2136" s="2">
        <v>6.43</v>
      </c>
      <c r="BN2136" s="2">
        <v>52.36</v>
      </c>
      <c r="BO2136" s="2">
        <v>52.36</v>
      </c>
      <c r="BQ2136" s="2" t="s">
        <v>82</v>
      </c>
      <c r="BR2136" s="2" t="s">
        <v>103</v>
      </c>
      <c r="BS2136" s="3">
        <v>43084</v>
      </c>
      <c r="BT2136" s="4">
        <v>0.43402777777777773</v>
      </c>
      <c r="BU2136" s="2" t="s">
        <v>2428</v>
      </c>
      <c r="BV2136" s="2" t="s">
        <v>85</v>
      </c>
      <c r="BY2136" s="2">
        <v>1200</v>
      </c>
      <c r="CA2136" s="2" t="s">
        <v>220</v>
      </c>
      <c r="CC2136" s="2" t="s">
        <v>126</v>
      </c>
      <c r="CD2136" s="2">
        <v>4001</v>
      </c>
      <c r="CE2136" s="2" t="s">
        <v>120</v>
      </c>
      <c r="CF2136" s="3">
        <v>43087</v>
      </c>
      <c r="CI2136" s="2">
        <v>1</v>
      </c>
      <c r="CJ2136" s="2">
        <v>1</v>
      </c>
      <c r="CK2136" s="2">
        <v>21</v>
      </c>
      <c r="CL2136" s="2" t="s">
        <v>89</v>
      </c>
    </row>
    <row r="2137" spans="1:90">
      <c r="A2137" s="2" t="s">
        <v>71</v>
      </c>
      <c r="B2137" s="2" t="s">
        <v>72</v>
      </c>
      <c r="C2137" s="2" t="s">
        <v>73</v>
      </c>
      <c r="E2137" s="2" t="str">
        <f>"FES1162596162"</f>
        <v>FES1162596162</v>
      </c>
      <c r="F2137" s="3">
        <v>43083</v>
      </c>
      <c r="G2137" s="2">
        <v>201806</v>
      </c>
      <c r="H2137" s="2" t="s">
        <v>74</v>
      </c>
      <c r="I2137" s="2" t="s">
        <v>75</v>
      </c>
      <c r="J2137" s="2" t="s">
        <v>97</v>
      </c>
      <c r="K2137" s="2" t="s">
        <v>77</v>
      </c>
      <c r="L2137" s="2" t="s">
        <v>168</v>
      </c>
      <c r="M2137" s="2" t="s">
        <v>169</v>
      </c>
      <c r="N2137" s="2" t="s">
        <v>764</v>
      </c>
      <c r="O2137" s="2" t="s">
        <v>101</v>
      </c>
      <c r="P2137" s="2" t="str">
        <f>"2170607916                    "</f>
        <v xml:space="preserve">2170607916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6.43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</v>
      </c>
      <c r="BJ2137" s="2">
        <v>0.2</v>
      </c>
      <c r="BK2137" s="2">
        <v>1</v>
      </c>
      <c r="BL2137" s="2">
        <v>45.93</v>
      </c>
      <c r="BM2137" s="2">
        <v>6.43</v>
      </c>
      <c r="BN2137" s="2">
        <v>52.36</v>
      </c>
      <c r="BO2137" s="2">
        <v>52.36</v>
      </c>
      <c r="BQ2137" s="2" t="s">
        <v>765</v>
      </c>
      <c r="BR2137" s="2" t="s">
        <v>103</v>
      </c>
      <c r="BS2137" s="3">
        <v>43084</v>
      </c>
      <c r="BT2137" s="4">
        <v>0.36458333333333331</v>
      </c>
      <c r="BU2137" s="2" t="s">
        <v>766</v>
      </c>
      <c r="BV2137" s="2" t="s">
        <v>85</v>
      </c>
      <c r="BY2137" s="2">
        <v>1200</v>
      </c>
      <c r="CA2137" s="2" t="s">
        <v>220</v>
      </c>
      <c r="CC2137" s="2" t="s">
        <v>169</v>
      </c>
      <c r="CD2137" s="2">
        <v>3610</v>
      </c>
      <c r="CE2137" s="2" t="s">
        <v>120</v>
      </c>
      <c r="CF2137" s="3">
        <v>43087</v>
      </c>
      <c r="CI2137" s="2">
        <v>1</v>
      </c>
      <c r="CJ2137" s="2">
        <v>1</v>
      </c>
      <c r="CK2137" s="2">
        <v>21</v>
      </c>
      <c r="CL2137" s="2" t="s">
        <v>89</v>
      </c>
    </row>
    <row r="2138" spans="1:90">
      <c r="A2138" s="2" t="s">
        <v>71</v>
      </c>
      <c r="B2138" s="2" t="s">
        <v>72</v>
      </c>
      <c r="C2138" s="2" t="s">
        <v>73</v>
      </c>
      <c r="E2138" s="2" t="str">
        <f>"FES1162595974"</f>
        <v>FES1162595974</v>
      </c>
      <c r="F2138" s="3">
        <v>43083</v>
      </c>
      <c r="G2138" s="2">
        <v>201806</v>
      </c>
      <c r="H2138" s="2" t="s">
        <v>74</v>
      </c>
      <c r="I2138" s="2" t="s">
        <v>75</v>
      </c>
      <c r="J2138" s="2" t="s">
        <v>97</v>
      </c>
      <c r="K2138" s="2" t="s">
        <v>77</v>
      </c>
      <c r="L2138" s="2" t="s">
        <v>304</v>
      </c>
      <c r="M2138" s="2" t="s">
        <v>305</v>
      </c>
      <c r="N2138" s="2" t="s">
        <v>306</v>
      </c>
      <c r="O2138" s="2" t="s">
        <v>101</v>
      </c>
      <c r="P2138" s="2" t="str">
        <f>"2170604083                    "</f>
        <v xml:space="preserve">2170604083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9.0500000000000007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</v>
      </c>
      <c r="BJ2138" s="2">
        <v>0.2</v>
      </c>
      <c r="BK2138" s="2">
        <v>1</v>
      </c>
      <c r="BL2138" s="2">
        <v>64.599999999999994</v>
      </c>
      <c r="BM2138" s="2">
        <v>9.0399999999999991</v>
      </c>
      <c r="BN2138" s="2">
        <v>73.64</v>
      </c>
      <c r="BO2138" s="2">
        <v>73.64</v>
      </c>
      <c r="BQ2138" s="2" t="s">
        <v>102</v>
      </c>
      <c r="BR2138" s="2" t="s">
        <v>103</v>
      </c>
      <c r="BS2138" s="3">
        <v>43084</v>
      </c>
      <c r="BT2138" s="4">
        <v>0.47916666666666669</v>
      </c>
      <c r="BU2138" s="2" t="s">
        <v>727</v>
      </c>
      <c r="BV2138" s="2" t="s">
        <v>85</v>
      </c>
      <c r="BY2138" s="2">
        <v>1200</v>
      </c>
      <c r="CC2138" s="2" t="s">
        <v>305</v>
      </c>
      <c r="CD2138" s="2">
        <v>1028</v>
      </c>
      <c r="CE2138" s="2" t="s">
        <v>120</v>
      </c>
      <c r="CF2138" s="3">
        <v>43088</v>
      </c>
      <c r="CI2138" s="2">
        <v>2</v>
      </c>
      <c r="CJ2138" s="2">
        <v>1</v>
      </c>
      <c r="CK2138" s="2">
        <v>24</v>
      </c>
      <c r="CL2138" s="2" t="s">
        <v>89</v>
      </c>
    </row>
    <row r="2139" spans="1:90">
      <c r="A2139" s="2" t="s">
        <v>71</v>
      </c>
      <c r="B2139" s="2" t="s">
        <v>72</v>
      </c>
      <c r="C2139" s="2" t="s">
        <v>73</v>
      </c>
      <c r="E2139" s="2" t="str">
        <f>"FES1162596144"</f>
        <v>FES1162596144</v>
      </c>
      <c r="F2139" s="3">
        <v>43083</v>
      </c>
      <c r="G2139" s="2">
        <v>201806</v>
      </c>
      <c r="H2139" s="2" t="s">
        <v>74</v>
      </c>
      <c r="I2139" s="2" t="s">
        <v>75</v>
      </c>
      <c r="J2139" s="2" t="s">
        <v>97</v>
      </c>
      <c r="K2139" s="2" t="s">
        <v>77</v>
      </c>
      <c r="L2139" s="2" t="s">
        <v>106</v>
      </c>
      <c r="M2139" s="2" t="s">
        <v>107</v>
      </c>
      <c r="N2139" s="2" t="s">
        <v>427</v>
      </c>
      <c r="O2139" s="2" t="s">
        <v>101</v>
      </c>
      <c r="P2139" s="2" t="str">
        <f>"2170607893                    "</f>
        <v xml:space="preserve">2170607893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6.23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4.9000000000000004</v>
      </c>
      <c r="BJ2139" s="2">
        <v>9.6</v>
      </c>
      <c r="BK2139" s="2">
        <v>10</v>
      </c>
      <c r="BL2139" s="2">
        <v>44.49</v>
      </c>
      <c r="BM2139" s="2">
        <v>6.23</v>
      </c>
      <c r="BN2139" s="2">
        <v>50.72</v>
      </c>
      <c r="BO2139" s="2">
        <v>50.72</v>
      </c>
      <c r="BQ2139" s="2" t="s">
        <v>102</v>
      </c>
      <c r="BR2139" s="2" t="s">
        <v>103</v>
      </c>
      <c r="BS2139" s="3">
        <v>43084</v>
      </c>
      <c r="BT2139" s="4">
        <v>0.41666666666666669</v>
      </c>
      <c r="BU2139" s="2" t="s">
        <v>432</v>
      </c>
      <c r="BV2139" s="2" t="s">
        <v>85</v>
      </c>
      <c r="BY2139" s="2">
        <v>47914.45</v>
      </c>
      <c r="CA2139" s="2" t="s">
        <v>293</v>
      </c>
      <c r="CC2139" s="2" t="s">
        <v>107</v>
      </c>
      <c r="CD2139" s="2">
        <v>2091</v>
      </c>
      <c r="CE2139" s="2" t="s">
        <v>95</v>
      </c>
      <c r="CF2139" s="3">
        <v>43087</v>
      </c>
      <c r="CI2139" s="2">
        <v>1</v>
      </c>
      <c r="CJ2139" s="2">
        <v>1</v>
      </c>
      <c r="CK2139" s="2">
        <v>22</v>
      </c>
      <c r="CL2139" s="2" t="s">
        <v>89</v>
      </c>
    </row>
    <row r="2140" spans="1:90">
      <c r="A2140" s="2" t="s">
        <v>71</v>
      </c>
      <c r="B2140" s="2" t="s">
        <v>72</v>
      </c>
      <c r="C2140" s="2" t="s">
        <v>73</v>
      </c>
      <c r="E2140" s="2" t="str">
        <f>"FES1162596012"</f>
        <v>FES1162596012</v>
      </c>
      <c r="F2140" s="3">
        <v>43083</v>
      </c>
      <c r="G2140" s="2">
        <v>201806</v>
      </c>
      <c r="H2140" s="2" t="s">
        <v>74</v>
      </c>
      <c r="I2140" s="2" t="s">
        <v>75</v>
      </c>
      <c r="J2140" s="2" t="s">
        <v>97</v>
      </c>
      <c r="K2140" s="2" t="s">
        <v>77</v>
      </c>
      <c r="L2140" s="2" t="s">
        <v>158</v>
      </c>
      <c r="M2140" s="2" t="s">
        <v>159</v>
      </c>
      <c r="N2140" s="2" t="s">
        <v>1980</v>
      </c>
      <c r="O2140" s="2" t="s">
        <v>101</v>
      </c>
      <c r="P2140" s="2" t="str">
        <f>"2170605052                    "</f>
        <v xml:space="preserve">2170605052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9.65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2.7</v>
      </c>
      <c r="BJ2140" s="2">
        <v>1.6</v>
      </c>
      <c r="BK2140" s="2">
        <v>3</v>
      </c>
      <c r="BL2140" s="2">
        <v>68.89</v>
      </c>
      <c r="BM2140" s="2">
        <v>9.64</v>
      </c>
      <c r="BN2140" s="2">
        <v>78.53</v>
      </c>
      <c r="BO2140" s="2">
        <v>78.53</v>
      </c>
      <c r="BQ2140" s="2" t="s">
        <v>102</v>
      </c>
      <c r="BR2140" s="2" t="s">
        <v>103</v>
      </c>
      <c r="BS2140" s="3">
        <v>43084</v>
      </c>
      <c r="BT2140" s="4">
        <v>0.60972222222222217</v>
      </c>
      <c r="BU2140" s="2" t="s">
        <v>746</v>
      </c>
      <c r="BV2140" s="2" t="s">
        <v>89</v>
      </c>
      <c r="BW2140" s="2" t="s">
        <v>149</v>
      </c>
      <c r="BX2140" s="2" t="s">
        <v>2429</v>
      </c>
      <c r="BY2140" s="2">
        <v>8035.2</v>
      </c>
      <c r="CA2140" s="2" t="s">
        <v>362</v>
      </c>
      <c r="CC2140" s="2" t="s">
        <v>159</v>
      </c>
      <c r="CD2140" s="2">
        <v>200</v>
      </c>
      <c r="CE2140" s="2" t="s">
        <v>95</v>
      </c>
      <c r="CF2140" s="3">
        <v>43088</v>
      </c>
      <c r="CI2140" s="2">
        <v>1</v>
      </c>
      <c r="CJ2140" s="2">
        <v>1</v>
      </c>
      <c r="CK2140" s="2">
        <v>21</v>
      </c>
      <c r="CL2140" s="2" t="s">
        <v>89</v>
      </c>
    </row>
    <row r="2141" spans="1:90">
      <c r="A2141" s="2" t="s">
        <v>71</v>
      </c>
      <c r="B2141" s="2" t="s">
        <v>72</v>
      </c>
      <c r="C2141" s="2" t="s">
        <v>73</v>
      </c>
      <c r="E2141" s="2" t="str">
        <f>"FES1162596154"</f>
        <v>FES1162596154</v>
      </c>
      <c r="F2141" s="3">
        <v>43083</v>
      </c>
      <c r="G2141" s="2">
        <v>201806</v>
      </c>
      <c r="H2141" s="2" t="s">
        <v>74</v>
      </c>
      <c r="I2141" s="2" t="s">
        <v>75</v>
      </c>
      <c r="J2141" s="2" t="s">
        <v>97</v>
      </c>
      <c r="K2141" s="2" t="s">
        <v>77</v>
      </c>
      <c r="L2141" s="2" t="s">
        <v>173</v>
      </c>
      <c r="M2141" s="2" t="s">
        <v>174</v>
      </c>
      <c r="N2141" s="2" t="s">
        <v>467</v>
      </c>
      <c r="O2141" s="2" t="s">
        <v>101</v>
      </c>
      <c r="P2141" s="2" t="str">
        <f>"2170607860                    "</f>
        <v xml:space="preserve">2170607860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6.43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0.2</v>
      </c>
      <c r="BK2141" s="2">
        <v>1</v>
      </c>
      <c r="BL2141" s="2">
        <v>45.93</v>
      </c>
      <c r="BM2141" s="2">
        <v>6.43</v>
      </c>
      <c r="BN2141" s="2">
        <v>52.36</v>
      </c>
      <c r="BO2141" s="2">
        <v>52.36</v>
      </c>
      <c r="BQ2141" s="2" t="s">
        <v>1631</v>
      </c>
      <c r="BR2141" s="2" t="s">
        <v>103</v>
      </c>
      <c r="BS2141" s="3">
        <v>43084</v>
      </c>
      <c r="BT2141" s="4">
        <v>0.45347222222222222</v>
      </c>
      <c r="BU2141" s="2" t="s">
        <v>2430</v>
      </c>
      <c r="BV2141" s="2" t="s">
        <v>85</v>
      </c>
      <c r="BY2141" s="2">
        <v>1200</v>
      </c>
      <c r="CA2141" s="2" t="s">
        <v>2431</v>
      </c>
      <c r="CC2141" s="2" t="s">
        <v>174</v>
      </c>
      <c r="CD2141" s="2">
        <v>7802</v>
      </c>
      <c r="CE2141" s="2" t="s">
        <v>120</v>
      </c>
      <c r="CF2141" s="3">
        <v>43087</v>
      </c>
      <c r="CI2141" s="2">
        <v>1</v>
      </c>
      <c r="CJ2141" s="2">
        <v>1</v>
      </c>
      <c r="CK2141" s="2">
        <v>21</v>
      </c>
      <c r="CL2141" s="2" t="s">
        <v>89</v>
      </c>
    </row>
    <row r="2142" spans="1:90">
      <c r="A2142" s="2" t="s">
        <v>71</v>
      </c>
      <c r="B2142" s="2" t="s">
        <v>72</v>
      </c>
      <c r="C2142" s="2" t="s">
        <v>73</v>
      </c>
      <c r="E2142" s="2" t="str">
        <f>"FES1162596057"</f>
        <v>FES1162596057</v>
      </c>
      <c r="F2142" s="3">
        <v>43083</v>
      </c>
      <c r="G2142" s="2">
        <v>201806</v>
      </c>
      <c r="H2142" s="2" t="s">
        <v>74</v>
      </c>
      <c r="I2142" s="2" t="s">
        <v>75</v>
      </c>
      <c r="J2142" s="2" t="s">
        <v>97</v>
      </c>
      <c r="K2142" s="2" t="s">
        <v>77</v>
      </c>
      <c r="L2142" s="2" t="s">
        <v>551</v>
      </c>
      <c r="M2142" s="2" t="s">
        <v>552</v>
      </c>
      <c r="N2142" s="2" t="s">
        <v>1002</v>
      </c>
      <c r="O2142" s="2" t="s">
        <v>101</v>
      </c>
      <c r="P2142" s="2" t="str">
        <f>"2170607450                    "</f>
        <v xml:space="preserve">2170607450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6.43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45.93</v>
      </c>
      <c r="BM2142" s="2">
        <v>6.43</v>
      </c>
      <c r="BN2142" s="2">
        <v>52.36</v>
      </c>
      <c r="BO2142" s="2">
        <v>52.36</v>
      </c>
      <c r="BQ2142" s="2" t="s">
        <v>102</v>
      </c>
      <c r="BR2142" s="2" t="s">
        <v>103</v>
      </c>
      <c r="BS2142" s="3">
        <v>43087</v>
      </c>
      <c r="BT2142" s="4">
        <v>0.50208333333333333</v>
      </c>
      <c r="BU2142" s="2" t="s">
        <v>1003</v>
      </c>
      <c r="BV2142" s="2" t="s">
        <v>89</v>
      </c>
      <c r="BW2142" s="2" t="s">
        <v>471</v>
      </c>
      <c r="BX2142" s="2" t="s">
        <v>1390</v>
      </c>
      <c r="BY2142" s="2">
        <v>1200</v>
      </c>
      <c r="CA2142" s="2" t="s">
        <v>555</v>
      </c>
      <c r="CC2142" s="2" t="s">
        <v>552</v>
      </c>
      <c r="CD2142" s="2">
        <v>3310</v>
      </c>
      <c r="CE2142" s="2" t="s">
        <v>120</v>
      </c>
      <c r="CF2142" s="3">
        <v>43088</v>
      </c>
      <c r="CI2142" s="2">
        <v>1</v>
      </c>
      <c r="CJ2142" s="2">
        <v>2</v>
      </c>
      <c r="CK2142" s="2">
        <v>21</v>
      </c>
      <c r="CL2142" s="2" t="s">
        <v>89</v>
      </c>
    </row>
    <row r="2143" spans="1:90">
      <c r="A2143" s="2" t="s">
        <v>71</v>
      </c>
      <c r="B2143" s="2" t="s">
        <v>72</v>
      </c>
      <c r="C2143" s="2" t="s">
        <v>73</v>
      </c>
      <c r="E2143" s="2" t="str">
        <f>"FES1162596187"</f>
        <v>FES1162596187</v>
      </c>
      <c r="F2143" s="3">
        <v>43083</v>
      </c>
      <c r="G2143" s="2">
        <v>201806</v>
      </c>
      <c r="H2143" s="2" t="s">
        <v>74</v>
      </c>
      <c r="I2143" s="2" t="s">
        <v>75</v>
      </c>
      <c r="J2143" s="2" t="s">
        <v>97</v>
      </c>
      <c r="K2143" s="2" t="s">
        <v>77</v>
      </c>
      <c r="L2143" s="2" t="s">
        <v>136</v>
      </c>
      <c r="M2143" s="2" t="s">
        <v>137</v>
      </c>
      <c r="N2143" s="2" t="s">
        <v>540</v>
      </c>
      <c r="O2143" s="2" t="s">
        <v>101</v>
      </c>
      <c r="P2143" s="2" t="str">
        <f>"2170607941                    "</f>
        <v xml:space="preserve">2170607941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30.55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5.3</v>
      </c>
      <c r="BJ2143" s="2">
        <v>9.3000000000000007</v>
      </c>
      <c r="BK2143" s="2">
        <v>9.5</v>
      </c>
      <c r="BL2143" s="2">
        <v>218.1</v>
      </c>
      <c r="BM2143" s="2">
        <v>30.53</v>
      </c>
      <c r="BN2143" s="2">
        <v>248.63</v>
      </c>
      <c r="BO2143" s="2">
        <v>248.63</v>
      </c>
      <c r="BQ2143" s="2" t="s">
        <v>82</v>
      </c>
      <c r="BR2143" s="2" t="s">
        <v>103</v>
      </c>
      <c r="BS2143" s="3">
        <v>43084</v>
      </c>
      <c r="BT2143" s="4">
        <v>0.41388888888888892</v>
      </c>
      <c r="BU2143" s="2" t="s">
        <v>554</v>
      </c>
      <c r="BV2143" s="2" t="s">
        <v>85</v>
      </c>
      <c r="BY2143" s="2">
        <v>46528.83</v>
      </c>
      <c r="CA2143" s="2" t="s">
        <v>767</v>
      </c>
      <c r="CC2143" s="2" t="s">
        <v>137</v>
      </c>
      <c r="CD2143" s="2">
        <v>6045</v>
      </c>
      <c r="CE2143" s="2" t="s">
        <v>95</v>
      </c>
      <c r="CF2143" s="3">
        <v>43088</v>
      </c>
      <c r="CI2143" s="2">
        <v>1</v>
      </c>
      <c r="CJ2143" s="2">
        <v>1</v>
      </c>
      <c r="CK2143" s="2">
        <v>21</v>
      </c>
      <c r="CL2143" s="2" t="s">
        <v>89</v>
      </c>
    </row>
    <row r="2144" spans="1:90">
      <c r="A2144" s="2" t="s">
        <v>71</v>
      </c>
      <c r="B2144" s="2" t="s">
        <v>72</v>
      </c>
      <c r="C2144" s="2" t="s">
        <v>73</v>
      </c>
      <c r="E2144" s="2" t="str">
        <f>"FES1162595456"</f>
        <v>FES1162595456</v>
      </c>
      <c r="F2144" s="3">
        <v>43083</v>
      </c>
      <c r="G2144" s="2">
        <v>201806</v>
      </c>
      <c r="H2144" s="2" t="s">
        <v>74</v>
      </c>
      <c r="I2144" s="2" t="s">
        <v>75</v>
      </c>
      <c r="J2144" s="2" t="s">
        <v>97</v>
      </c>
      <c r="K2144" s="2" t="s">
        <v>77</v>
      </c>
      <c r="L2144" s="2" t="s">
        <v>106</v>
      </c>
      <c r="M2144" s="2" t="s">
        <v>107</v>
      </c>
      <c r="N2144" s="2" t="s">
        <v>2101</v>
      </c>
      <c r="O2144" s="2" t="s">
        <v>101</v>
      </c>
      <c r="P2144" s="2" t="str">
        <f>"2170607321                    "</f>
        <v xml:space="preserve">2170607321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5.03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35.89</v>
      </c>
      <c r="BM2144" s="2">
        <v>5.0199999999999996</v>
      </c>
      <c r="BN2144" s="2">
        <v>40.909999999999997</v>
      </c>
      <c r="BO2144" s="2">
        <v>40.909999999999997</v>
      </c>
      <c r="BQ2144" s="2" t="s">
        <v>102</v>
      </c>
      <c r="BR2144" s="2" t="s">
        <v>103</v>
      </c>
      <c r="BS2144" s="3">
        <v>43084</v>
      </c>
      <c r="BT2144" s="4">
        <v>0.41666666666666669</v>
      </c>
      <c r="BU2144" s="2" t="s">
        <v>432</v>
      </c>
      <c r="BV2144" s="2" t="s">
        <v>85</v>
      </c>
      <c r="BY2144" s="2">
        <v>1200</v>
      </c>
      <c r="CA2144" s="2" t="s">
        <v>293</v>
      </c>
      <c r="CC2144" s="2" t="s">
        <v>107</v>
      </c>
      <c r="CD2144" s="2">
        <v>2013</v>
      </c>
      <c r="CE2144" s="2" t="s">
        <v>120</v>
      </c>
      <c r="CF2144" s="3">
        <v>43087</v>
      </c>
      <c r="CI2144" s="2">
        <v>1</v>
      </c>
      <c r="CJ2144" s="2">
        <v>1</v>
      </c>
      <c r="CK2144" s="2">
        <v>22</v>
      </c>
      <c r="CL2144" s="2" t="s">
        <v>89</v>
      </c>
    </row>
    <row r="2145" spans="1:90">
      <c r="A2145" s="2" t="s">
        <v>71</v>
      </c>
      <c r="B2145" s="2" t="s">
        <v>72</v>
      </c>
      <c r="C2145" s="2" t="s">
        <v>73</v>
      </c>
      <c r="E2145" s="2" t="str">
        <f>"FES1162595937"</f>
        <v>FES1162595937</v>
      </c>
      <c r="F2145" s="3">
        <v>43083</v>
      </c>
      <c r="G2145" s="2">
        <v>201806</v>
      </c>
      <c r="H2145" s="2" t="s">
        <v>74</v>
      </c>
      <c r="I2145" s="2" t="s">
        <v>75</v>
      </c>
      <c r="J2145" s="2" t="s">
        <v>97</v>
      </c>
      <c r="K2145" s="2" t="s">
        <v>77</v>
      </c>
      <c r="L2145" s="2" t="s">
        <v>136</v>
      </c>
      <c r="M2145" s="2" t="s">
        <v>137</v>
      </c>
      <c r="N2145" s="2" t="s">
        <v>2105</v>
      </c>
      <c r="O2145" s="2" t="s">
        <v>101</v>
      </c>
      <c r="P2145" s="2" t="str">
        <f>"2170604853                    "</f>
        <v xml:space="preserve">2170604853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6.43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</v>
      </c>
      <c r="BJ2145" s="2">
        <v>0.2</v>
      </c>
      <c r="BK2145" s="2">
        <v>1</v>
      </c>
      <c r="BL2145" s="2">
        <v>45.93</v>
      </c>
      <c r="BM2145" s="2">
        <v>6.43</v>
      </c>
      <c r="BN2145" s="2">
        <v>52.36</v>
      </c>
      <c r="BO2145" s="2">
        <v>52.36</v>
      </c>
      <c r="BQ2145" s="2" t="s">
        <v>102</v>
      </c>
      <c r="BR2145" s="2" t="s">
        <v>103</v>
      </c>
      <c r="BS2145" s="3">
        <v>43089</v>
      </c>
      <c r="BT2145" s="4">
        <v>0.45833333333333331</v>
      </c>
      <c r="BU2145" s="2" t="s">
        <v>2432</v>
      </c>
      <c r="BV2145" s="2" t="s">
        <v>89</v>
      </c>
      <c r="BW2145" s="2" t="s">
        <v>2433</v>
      </c>
      <c r="BX2145" s="2" t="s">
        <v>314</v>
      </c>
      <c r="BY2145" s="2">
        <v>1200</v>
      </c>
      <c r="CA2145" s="2" t="s">
        <v>1050</v>
      </c>
      <c r="CC2145" s="2" t="s">
        <v>137</v>
      </c>
      <c r="CD2145" s="2">
        <v>6012</v>
      </c>
      <c r="CE2145" s="2" t="s">
        <v>120</v>
      </c>
      <c r="CF2145" s="3">
        <v>43090</v>
      </c>
      <c r="CI2145" s="2">
        <v>1</v>
      </c>
      <c r="CJ2145" s="2">
        <v>4</v>
      </c>
      <c r="CK2145" s="2">
        <v>21</v>
      </c>
      <c r="CL2145" s="2" t="s">
        <v>89</v>
      </c>
    </row>
    <row r="2146" spans="1:90">
      <c r="A2146" s="2" t="s">
        <v>71</v>
      </c>
      <c r="B2146" s="2" t="s">
        <v>72</v>
      </c>
      <c r="C2146" s="2" t="s">
        <v>73</v>
      </c>
      <c r="E2146" s="2" t="str">
        <f>"FES1162595964"</f>
        <v>FES1162595964</v>
      </c>
      <c r="F2146" s="3">
        <v>43083</v>
      </c>
      <c r="G2146" s="2">
        <v>201806</v>
      </c>
      <c r="H2146" s="2" t="s">
        <v>74</v>
      </c>
      <c r="I2146" s="2" t="s">
        <v>75</v>
      </c>
      <c r="J2146" s="2" t="s">
        <v>97</v>
      </c>
      <c r="K2146" s="2" t="s">
        <v>77</v>
      </c>
      <c r="L2146" s="2" t="s">
        <v>136</v>
      </c>
      <c r="M2146" s="2" t="s">
        <v>137</v>
      </c>
      <c r="N2146" s="2" t="s">
        <v>2434</v>
      </c>
      <c r="O2146" s="2" t="s">
        <v>101</v>
      </c>
      <c r="P2146" s="2" t="str">
        <f>"2170603011                    "</f>
        <v xml:space="preserve">2170603011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6.43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45.93</v>
      </c>
      <c r="BM2146" s="2">
        <v>6.43</v>
      </c>
      <c r="BN2146" s="2">
        <v>52.36</v>
      </c>
      <c r="BO2146" s="2">
        <v>52.36</v>
      </c>
      <c r="BQ2146" s="2" t="s">
        <v>142</v>
      </c>
      <c r="BR2146" s="2" t="s">
        <v>103</v>
      </c>
      <c r="BS2146" s="3">
        <v>43084</v>
      </c>
      <c r="BT2146" s="4">
        <v>0.3298611111111111</v>
      </c>
      <c r="BU2146" s="2" t="s">
        <v>2435</v>
      </c>
      <c r="BV2146" s="2" t="s">
        <v>85</v>
      </c>
      <c r="BY2146" s="2">
        <v>1200</v>
      </c>
      <c r="CA2146" s="2" t="s">
        <v>261</v>
      </c>
      <c r="CC2146" s="2" t="s">
        <v>137</v>
      </c>
      <c r="CD2146" s="2">
        <v>6001</v>
      </c>
      <c r="CE2146" s="2" t="s">
        <v>120</v>
      </c>
      <c r="CF2146" s="3">
        <v>43088</v>
      </c>
      <c r="CI2146" s="2">
        <v>1</v>
      </c>
      <c r="CJ2146" s="2">
        <v>1</v>
      </c>
      <c r="CK2146" s="2">
        <v>21</v>
      </c>
      <c r="CL2146" s="2" t="s">
        <v>89</v>
      </c>
    </row>
    <row r="2147" spans="1:90">
      <c r="A2147" s="2" t="s">
        <v>71</v>
      </c>
      <c r="B2147" s="2" t="s">
        <v>72</v>
      </c>
      <c r="C2147" s="2" t="s">
        <v>73</v>
      </c>
      <c r="E2147" s="2" t="str">
        <f>"FES1162595951"</f>
        <v>FES1162595951</v>
      </c>
      <c r="F2147" s="3">
        <v>43083</v>
      </c>
      <c r="G2147" s="2">
        <v>201806</v>
      </c>
      <c r="H2147" s="2" t="s">
        <v>74</v>
      </c>
      <c r="I2147" s="2" t="s">
        <v>75</v>
      </c>
      <c r="J2147" s="2" t="s">
        <v>97</v>
      </c>
      <c r="K2147" s="2" t="s">
        <v>77</v>
      </c>
      <c r="L2147" s="2" t="s">
        <v>136</v>
      </c>
      <c r="M2147" s="2" t="s">
        <v>137</v>
      </c>
      <c r="N2147" s="2" t="s">
        <v>1331</v>
      </c>
      <c r="O2147" s="2" t="s">
        <v>101</v>
      </c>
      <c r="P2147" s="2" t="str">
        <f>"2170607760                    "</f>
        <v xml:space="preserve">2170607760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6.43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45.93</v>
      </c>
      <c r="BM2147" s="2">
        <v>6.43</v>
      </c>
      <c r="BN2147" s="2">
        <v>52.36</v>
      </c>
      <c r="BO2147" s="2">
        <v>52.36</v>
      </c>
      <c r="BQ2147" s="2" t="s">
        <v>265</v>
      </c>
      <c r="BR2147" s="2" t="s">
        <v>103</v>
      </c>
      <c r="BS2147" s="3">
        <v>43087</v>
      </c>
      <c r="BT2147" s="4">
        <v>0.4375</v>
      </c>
      <c r="BU2147" s="2" t="s">
        <v>2290</v>
      </c>
      <c r="BV2147" s="2" t="s">
        <v>89</v>
      </c>
      <c r="BW2147" s="2" t="s">
        <v>313</v>
      </c>
      <c r="BX2147" s="2" t="s">
        <v>314</v>
      </c>
      <c r="BY2147" s="2">
        <v>1200</v>
      </c>
      <c r="CA2147" s="2" t="s">
        <v>2291</v>
      </c>
      <c r="CC2147" s="2" t="s">
        <v>137</v>
      </c>
      <c r="CD2147" s="2">
        <v>6001</v>
      </c>
      <c r="CE2147" s="2" t="s">
        <v>120</v>
      </c>
      <c r="CF2147" s="3">
        <v>43088</v>
      </c>
      <c r="CI2147" s="2">
        <v>1</v>
      </c>
      <c r="CJ2147" s="2">
        <v>2</v>
      </c>
      <c r="CK2147" s="2">
        <v>21</v>
      </c>
      <c r="CL2147" s="2" t="s">
        <v>89</v>
      </c>
    </row>
    <row r="2148" spans="1:90">
      <c r="A2148" s="2" t="s">
        <v>71</v>
      </c>
      <c r="B2148" s="2" t="s">
        <v>72</v>
      </c>
      <c r="C2148" s="2" t="s">
        <v>73</v>
      </c>
      <c r="E2148" s="2" t="str">
        <f>"FES1162595960"</f>
        <v>FES1162595960</v>
      </c>
      <c r="F2148" s="3">
        <v>43083</v>
      </c>
      <c r="G2148" s="2">
        <v>201806</v>
      </c>
      <c r="H2148" s="2" t="s">
        <v>74</v>
      </c>
      <c r="I2148" s="2" t="s">
        <v>75</v>
      </c>
      <c r="J2148" s="2" t="s">
        <v>97</v>
      </c>
      <c r="K2148" s="2" t="s">
        <v>77</v>
      </c>
      <c r="L2148" s="2" t="s">
        <v>136</v>
      </c>
      <c r="M2148" s="2" t="s">
        <v>137</v>
      </c>
      <c r="N2148" s="2" t="s">
        <v>138</v>
      </c>
      <c r="O2148" s="2" t="s">
        <v>101</v>
      </c>
      <c r="P2148" s="2" t="str">
        <f>"2170605302                    "</f>
        <v xml:space="preserve">2170605302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6.43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45.93</v>
      </c>
      <c r="BM2148" s="2">
        <v>6.43</v>
      </c>
      <c r="BN2148" s="2">
        <v>52.36</v>
      </c>
      <c r="BO2148" s="2">
        <v>52.36</v>
      </c>
      <c r="BQ2148" s="2" t="s">
        <v>82</v>
      </c>
      <c r="BR2148" s="2" t="s">
        <v>103</v>
      </c>
      <c r="BS2148" s="3">
        <v>43084</v>
      </c>
      <c r="BT2148" s="4">
        <v>0.375</v>
      </c>
      <c r="BU2148" s="2" t="s">
        <v>139</v>
      </c>
      <c r="BV2148" s="2" t="s">
        <v>85</v>
      </c>
      <c r="BY2148" s="2">
        <v>1200</v>
      </c>
      <c r="CA2148" s="2" t="s">
        <v>140</v>
      </c>
      <c r="CC2148" s="2" t="s">
        <v>137</v>
      </c>
      <c r="CD2148" s="2">
        <v>6001</v>
      </c>
      <c r="CE2148" s="2" t="s">
        <v>120</v>
      </c>
      <c r="CF2148" s="3">
        <v>43088</v>
      </c>
      <c r="CI2148" s="2">
        <v>1</v>
      </c>
      <c r="CJ2148" s="2">
        <v>1</v>
      </c>
      <c r="CK2148" s="2">
        <v>21</v>
      </c>
      <c r="CL2148" s="2" t="s">
        <v>89</v>
      </c>
    </row>
    <row r="2149" spans="1:90">
      <c r="A2149" s="2" t="s">
        <v>71</v>
      </c>
      <c r="B2149" s="2" t="s">
        <v>72</v>
      </c>
      <c r="C2149" s="2" t="s">
        <v>73</v>
      </c>
      <c r="E2149" s="2" t="str">
        <f>"FES1162595948"</f>
        <v>FES1162595948</v>
      </c>
      <c r="F2149" s="3">
        <v>43083</v>
      </c>
      <c r="G2149" s="2">
        <v>201806</v>
      </c>
      <c r="H2149" s="2" t="s">
        <v>74</v>
      </c>
      <c r="I2149" s="2" t="s">
        <v>75</v>
      </c>
      <c r="J2149" s="2" t="s">
        <v>97</v>
      </c>
      <c r="K2149" s="2" t="s">
        <v>77</v>
      </c>
      <c r="L2149" s="2" t="s">
        <v>415</v>
      </c>
      <c r="M2149" s="2" t="s">
        <v>416</v>
      </c>
      <c r="N2149" s="2" t="s">
        <v>417</v>
      </c>
      <c r="O2149" s="2" t="s">
        <v>101</v>
      </c>
      <c r="P2149" s="2" t="str">
        <f>"2170607758                    "</f>
        <v xml:space="preserve">2170607758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6.43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0.2</v>
      </c>
      <c r="BK2149" s="2">
        <v>1</v>
      </c>
      <c r="BL2149" s="2">
        <v>45.93</v>
      </c>
      <c r="BM2149" s="2">
        <v>6.43</v>
      </c>
      <c r="BN2149" s="2">
        <v>52.36</v>
      </c>
      <c r="BO2149" s="2">
        <v>52.36</v>
      </c>
      <c r="BQ2149" s="2" t="s">
        <v>102</v>
      </c>
      <c r="BR2149" s="2" t="s">
        <v>103</v>
      </c>
      <c r="BS2149" s="3">
        <v>43087</v>
      </c>
      <c r="BT2149" s="4">
        <v>0.41666666666666669</v>
      </c>
      <c r="BU2149" s="2" t="s">
        <v>2436</v>
      </c>
      <c r="BV2149" s="2" t="s">
        <v>85</v>
      </c>
      <c r="BY2149" s="2">
        <v>1200</v>
      </c>
      <c r="CC2149" s="2" t="s">
        <v>416</v>
      </c>
      <c r="CD2149" s="2">
        <v>6715</v>
      </c>
      <c r="CE2149" s="2" t="s">
        <v>120</v>
      </c>
      <c r="CF2149" s="3">
        <v>43088</v>
      </c>
      <c r="CI2149" s="2">
        <v>3</v>
      </c>
      <c r="CJ2149" s="2">
        <v>2</v>
      </c>
      <c r="CK2149" s="2">
        <v>21</v>
      </c>
      <c r="CL2149" s="2" t="s">
        <v>89</v>
      </c>
    </row>
    <row r="2150" spans="1:90">
      <c r="A2150" s="2" t="s">
        <v>71</v>
      </c>
      <c r="B2150" s="2" t="s">
        <v>72</v>
      </c>
      <c r="C2150" s="2" t="s">
        <v>73</v>
      </c>
      <c r="E2150" s="2" t="str">
        <f>"FES1162596036"</f>
        <v>FES1162596036</v>
      </c>
      <c r="F2150" s="3">
        <v>43083</v>
      </c>
      <c r="G2150" s="2">
        <v>201806</v>
      </c>
      <c r="H2150" s="2" t="s">
        <v>74</v>
      </c>
      <c r="I2150" s="2" t="s">
        <v>75</v>
      </c>
      <c r="J2150" s="2" t="s">
        <v>97</v>
      </c>
      <c r="K2150" s="2" t="s">
        <v>77</v>
      </c>
      <c r="L2150" s="2" t="s">
        <v>173</v>
      </c>
      <c r="M2150" s="2" t="s">
        <v>174</v>
      </c>
      <c r="N2150" s="2" t="s">
        <v>323</v>
      </c>
      <c r="O2150" s="2" t="s">
        <v>101</v>
      </c>
      <c r="P2150" s="2" t="str">
        <f>"2170607774                    "</f>
        <v xml:space="preserve">2170607774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6.43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1</v>
      </c>
      <c r="BJ2150" s="2">
        <v>0.2</v>
      </c>
      <c r="BK2150" s="2">
        <v>1</v>
      </c>
      <c r="BL2150" s="2">
        <v>45.93</v>
      </c>
      <c r="BM2150" s="2">
        <v>6.43</v>
      </c>
      <c r="BN2150" s="2">
        <v>52.36</v>
      </c>
      <c r="BO2150" s="2">
        <v>52.36</v>
      </c>
      <c r="BQ2150" s="2" t="s">
        <v>82</v>
      </c>
      <c r="BR2150" s="2" t="s">
        <v>103</v>
      </c>
      <c r="BS2150" s="3">
        <v>43084</v>
      </c>
      <c r="BT2150" s="4">
        <v>0.49513888888888885</v>
      </c>
      <c r="BU2150" s="2" t="s">
        <v>2378</v>
      </c>
      <c r="BV2150" s="2" t="s">
        <v>89</v>
      </c>
      <c r="BW2150" s="2" t="s">
        <v>149</v>
      </c>
      <c r="BX2150" s="2" t="s">
        <v>246</v>
      </c>
      <c r="BY2150" s="2">
        <v>1200</v>
      </c>
      <c r="CA2150" s="2" t="s">
        <v>1221</v>
      </c>
      <c r="CC2150" s="2" t="s">
        <v>174</v>
      </c>
      <c r="CD2150" s="2">
        <v>7405</v>
      </c>
      <c r="CE2150" s="2" t="s">
        <v>120</v>
      </c>
      <c r="CF2150" s="3">
        <v>43087</v>
      </c>
      <c r="CI2150" s="2">
        <v>1</v>
      </c>
      <c r="CJ2150" s="2">
        <v>1</v>
      </c>
      <c r="CK2150" s="2">
        <v>21</v>
      </c>
      <c r="CL2150" s="2" t="s">
        <v>89</v>
      </c>
    </row>
    <row r="2151" spans="1:90">
      <c r="A2151" s="2" t="s">
        <v>71</v>
      </c>
      <c r="B2151" s="2" t="s">
        <v>72</v>
      </c>
      <c r="C2151" s="2" t="s">
        <v>73</v>
      </c>
      <c r="E2151" s="2" t="str">
        <f>"FES1162596004"</f>
        <v>FES1162596004</v>
      </c>
      <c r="F2151" s="3">
        <v>43083</v>
      </c>
      <c r="G2151" s="2">
        <v>201806</v>
      </c>
      <c r="H2151" s="2" t="s">
        <v>74</v>
      </c>
      <c r="I2151" s="2" t="s">
        <v>75</v>
      </c>
      <c r="J2151" s="2" t="s">
        <v>97</v>
      </c>
      <c r="K2151" s="2" t="s">
        <v>77</v>
      </c>
      <c r="L2151" s="2" t="s">
        <v>145</v>
      </c>
      <c r="M2151" s="2" t="s">
        <v>146</v>
      </c>
      <c r="N2151" s="2" t="s">
        <v>953</v>
      </c>
      <c r="O2151" s="2" t="s">
        <v>101</v>
      </c>
      <c r="P2151" s="2" t="str">
        <f>"2170604744                    "</f>
        <v xml:space="preserve">2170604744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6.43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</v>
      </c>
      <c r="BJ2151" s="2">
        <v>0.2</v>
      </c>
      <c r="BK2151" s="2">
        <v>1</v>
      </c>
      <c r="BL2151" s="2">
        <v>45.93</v>
      </c>
      <c r="BM2151" s="2">
        <v>6.43</v>
      </c>
      <c r="BN2151" s="2">
        <v>52.36</v>
      </c>
      <c r="BO2151" s="2">
        <v>52.36</v>
      </c>
      <c r="BQ2151" s="2" t="s">
        <v>102</v>
      </c>
      <c r="BR2151" s="2" t="s">
        <v>103</v>
      </c>
      <c r="BS2151" s="3">
        <v>43084</v>
      </c>
      <c r="BT2151" s="4">
        <v>0.41666666666666669</v>
      </c>
      <c r="BU2151" s="2" t="s">
        <v>2437</v>
      </c>
      <c r="BV2151" s="2" t="s">
        <v>85</v>
      </c>
      <c r="BY2151" s="2">
        <v>1200</v>
      </c>
      <c r="CA2151" s="2" t="s">
        <v>293</v>
      </c>
      <c r="CC2151" s="2" t="s">
        <v>146</v>
      </c>
      <c r="CD2151" s="2">
        <v>5201</v>
      </c>
      <c r="CE2151" s="2" t="s">
        <v>120</v>
      </c>
      <c r="CF2151" s="3">
        <v>43088</v>
      </c>
      <c r="CI2151" s="2">
        <v>1</v>
      </c>
      <c r="CJ2151" s="2">
        <v>1</v>
      </c>
      <c r="CK2151" s="2">
        <v>21</v>
      </c>
      <c r="CL2151" s="2" t="s">
        <v>89</v>
      </c>
    </row>
    <row r="2152" spans="1:90">
      <c r="A2152" s="2" t="s">
        <v>71</v>
      </c>
      <c r="B2152" s="2" t="s">
        <v>72</v>
      </c>
      <c r="C2152" s="2" t="s">
        <v>73</v>
      </c>
      <c r="E2152" s="2" t="str">
        <f>"FES1162596007"</f>
        <v>FES1162596007</v>
      </c>
      <c r="F2152" s="3">
        <v>43083</v>
      </c>
      <c r="G2152" s="2">
        <v>201806</v>
      </c>
      <c r="H2152" s="2" t="s">
        <v>74</v>
      </c>
      <c r="I2152" s="2" t="s">
        <v>75</v>
      </c>
      <c r="J2152" s="2" t="s">
        <v>97</v>
      </c>
      <c r="K2152" s="2" t="s">
        <v>77</v>
      </c>
      <c r="L2152" s="2" t="s">
        <v>136</v>
      </c>
      <c r="M2152" s="2" t="s">
        <v>137</v>
      </c>
      <c r="N2152" s="2" t="s">
        <v>2105</v>
      </c>
      <c r="O2152" s="2" t="s">
        <v>101</v>
      </c>
      <c r="P2152" s="2" t="str">
        <f>"2170604853                    "</f>
        <v xml:space="preserve">2170604853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6.43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1</v>
      </c>
      <c r="BJ2152" s="2">
        <v>0.2</v>
      </c>
      <c r="BK2152" s="2">
        <v>1</v>
      </c>
      <c r="BL2152" s="2">
        <v>45.93</v>
      </c>
      <c r="BM2152" s="2">
        <v>6.43</v>
      </c>
      <c r="BN2152" s="2">
        <v>52.36</v>
      </c>
      <c r="BO2152" s="2">
        <v>52.36</v>
      </c>
      <c r="BQ2152" s="2" t="s">
        <v>102</v>
      </c>
      <c r="BR2152" s="2" t="s">
        <v>103</v>
      </c>
      <c r="BS2152" s="3">
        <v>43089</v>
      </c>
      <c r="BT2152" s="4">
        <v>0.45833333333333331</v>
      </c>
      <c r="BU2152" s="2" t="s">
        <v>2438</v>
      </c>
      <c r="BV2152" s="2" t="s">
        <v>89</v>
      </c>
      <c r="BW2152" s="2" t="s">
        <v>2433</v>
      </c>
      <c r="BX2152" s="2" t="s">
        <v>314</v>
      </c>
      <c r="BY2152" s="2">
        <v>1200</v>
      </c>
      <c r="CA2152" s="2" t="s">
        <v>1050</v>
      </c>
      <c r="CC2152" s="2" t="s">
        <v>137</v>
      </c>
      <c r="CD2152" s="2">
        <v>6012</v>
      </c>
      <c r="CE2152" s="2" t="s">
        <v>120</v>
      </c>
      <c r="CF2152" s="3">
        <v>43090</v>
      </c>
      <c r="CI2152" s="2">
        <v>1</v>
      </c>
      <c r="CJ2152" s="2">
        <v>4</v>
      </c>
      <c r="CK2152" s="2">
        <v>21</v>
      </c>
      <c r="CL2152" s="2" t="s">
        <v>89</v>
      </c>
    </row>
    <row r="2153" spans="1:90">
      <c r="A2153" s="2" t="s">
        <v>71</v>
      </c>
      <c r="B2153" s="2" t="s">
        <v>72</v>
      </c>
      <c r="C2153" s="2" t="s">
        <v>73</v>
      </c>
      <c r="E2153" s="2" t="str">
        <f>"FES1162596010"</f>
        <v>FES1162596010</v>
      </c>
      <c r="F2153" s="3">
        <v>43083</v>
      </c>
      <c r="G2153" s="2">
        <v>201806</v>
      </c>
      <c r="H2153" s="2" t="s">
        <v>74</v>
      </c>
      <c r="I2153" s="2" t="s">
        <v>75</v>
      </c>
      <c r="J2153" s="2" t="s">
        <v>97</v>
      </c>
      <c r="K2153" s="2" t="s">
        <v>77</v>
      </c>
      <c r="L2153" s="2" t="s">
        <v>136</v>
      </c>
      <c r="M2153" s="2" t="s">
        <v>137</v>
      </c>
      <c r="N2153" s="2" t="s">
        <v>662</v>
      </c>
      <c r="O2153" s="2" t="s">
        <v>101</v>
      </c>
      <c r="P2153" s="2" t="str">
        <f>"2170604920                    "</f>
        <v xml:space="preserve">2170604920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6.43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1.9</v>
      </c>
      <c r="BJ2153" s="2">
        <v>1.7</v>
      </c>
      <c r="BK2153" s="2">
        <v>2</v>
      </c>
      <c r="BL2153" s="2">
        <v>45.93</v>
      </c>
      <c r="BM2153" s="2">
        <v>6.43</v>
      </c>
      <c r="BN2153" s="2">
        <v>52.36</v>
      </c>
      <c r="BO2153" s="2">
        <v>52.36</v>
      </c>
      <c r="BQ2153" s="2" t="s">
        <v>128</v>
      </c>
      <c r="BR2153" s="2" t="s">
        <v>103</v>
      </c>
      <c r="BS2153" s="3">
        <v>43089</v>
      </c>
      <c r="BT2153" s="4">
        <v>0.45833333333333331</v>
      </c>
      <c r="BU2153" s="2" t="s">
        <v>2439</v>
      </c>
      <c r="BV2153" s="2" t="s">
        <v>89</v>
      </c>
      <c r="BW2153" s="2" t="s">
        <v>2433</v>
      </c>
      <c r="BX2153" s="2" t="s">
        <v>314</v>
      </c>
      <c r="BY2153" s="2">
        <v>8446.4599999999991</v>
      </c>
      <c r="CA2153" s="2" t="s">
        <v>1050</v>
      </c>
      <c r="CC2153" s="2" t="s">
        <v>137</v>
      </c>
      <c r="CD2153" s="2">
        <v>6012</v>
      </c>
      <c r="CE2153" s="2" t="s">
        <v>95</v>
      </c>
      <c r="CF2153" s="3">
        <v>43090</v>
      </c>
      <c r="CI2153" s="2">
        <v>1</v>
      </c>
      <c r="CJ2153" s="2">
        <v>4</v>
      </c>
      <c r="CK2153" s="2">
        <v>21</v>
      </c>
      <c r="CL2153" s="2" t="s">
        <v>89</v>
      </c>
    </row>
    <row r="2154" spans="1:90">
      <c r="A2154" s="2" t="s">
        <v>71</v>
      </c>
      <c r="B2154" s="2" t="s">
        <v>72</v>
      </c>
      <c r="C2154" s="2" t="s">
        <v>73</v>
      </c>
      <c r="E2154" s="2" t="str">
        <f>"FES1162596046"</f>
        <v>FES1162596046</v>
      </c>
      <c r="F2154" s="3">
        <v>43083</v>
      </c>
      <c r="G2154" s="2">
        <v>201806</v>
      </c>
      <c r="H2154" s="2" t="s">
        <v>74</v>
      </c>
      <c r="I2154" s="2" t="s">
        <v>75</v>
      </c>
      <c r="J2154" s="2" t="s">
        <v>97</v>
      </c>
      <c r="K2154" s="2" t="s">
        <v>77</v>
      </c>
      <c r="L2154" s="2" t="s">
        <v>136</v>
      </c>
      <c r="M2154" s="2" t="s">
        <v>137</v>
      </c>
      <c r="N2154" s="2" t="s">
        <v>1026</v>
      </c>
      <c r="O2154" s="2" t="s">
        <v>101</v>
      </c>
      <c r="P2154" s="2" t="str">
        <f>"2170600203                    "</f>
        <v xml:space="preserve">2170600203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6.43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</v>
      </c>
      <c r="BJ2154" s="2">
        <v>0.2</v>
      </c>
      <c r="BK2154" s="2">
        <v>1</v>
      </c>
      <c r="BL2154" s="2">
        <v>45.93</v>
      </c>
      <c r="BM2154" s="2">
        <v>6.43</v>
      </c>
      <c r="BN2154" s="2">
        <v>52.36</v>
      </c>
      <c r="BO2154" s="2">
        <v>52.36</v>
      </c>
      <c r="BQ2154" s="2" t="s">
        <v>102</v>
      </c>
      <c r="BR2154" s="2" t="s">
        <v>103</v>
      </c>
      <c r="BS2154" s="3">
        <v>43084</v>
      </c>
      <c r="BT2154" s="4">
        <v>0.35069444444444442</v>
      </c>
      <c r="BU2154" s="2" t="s">
        <v>2363</v>
      </c>
      <c r="BV2154" s="2" t="s">
        <v>85</v>
      </c>
      <c r="BY2154" s="2">
        <v>1200</v>
      </c>
      <c r="CA2154" s="2" t="s">
        <v>2354</v>
      </c>
      <c r="CC2154" s="2" t="s">
        <v>137</v>
      </c>
      <c r="CD2154" s="2">
        <v>6001</v>
      </c>
      <c r="CE2154" s="2" t="s">
        <v>120</v>
      </c>
      <c r="CF2154" s="3">
        <v>43088</v>
      </c>
      <c r="CI2154" s="2">
        <v>1</v>
      </c>
      <c r="CJ2154" s="2">
        <v>1</v>
      </c>
      <c r="CK2154" s="2">
        <v>21</v>
      </c>
      <c r="CL2154" s="2" t="s">
        <v>89</v>
      </c>
    </row>
    <row r="2155" spans="1:90">
      <c r="A2155" s="2" t="s">
        <v>71</v>
      </c>
      <c r="B2155" s="2" t="s">
        <v>72</v>
      </c>
      <c r="C2155" s="2" t="s">
        <v>73</v>
      </c>
      <c r="E2155" s="2" t="str">
        <f>"FES1162595819"</f>
        <v>FES1162595819</v>
      </c>
      <c r="F2155" s="3">
        <v>43083</v>
      </c>
      <c r="G2155" s="2">
        <v>201806</v>
      </c>
      <c r="H2155" s="2" t="s">
        <v>74</v>
      </c>
      <c r="I2155" s="2" t="s">
        <v>75</v>
      </c>
      <c r="J2155" s="2" t="s">
        <v>97</v>
      </c>
      <c r="K2155" s="2" t="s">
        <v>77</v>
      </c>
      <c r="L2155" s="2" t="s">
        <v>106</v>
      </c>
      <c r="M2155" s="2" t="s">
        <v>107</v>
      </c>
      <c r="N2155" s="2" t="s">
        <v>472</v>
      </c>
      <c r="O2155" s="2" t="s">
        <v>101</v>
      </c>
      <c r="P2155" s="2" t="str">
        <f>"2170605169                    "</f>
        <v xml:space="preserve">2170605169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5.03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35.89</v>
      </c>
      <c r="BM2155" s="2">
        <v>5.0199999999999996</v>
      </c>
      <c r="BN2155" s="2">
        <v>40.909999999999997</v>
      </c>
      <c r="BO2155" s="2">
        <v>40.909999999999997</v>
      </c>
      <c r="BQ2155" s="2" t="s">
        <v>102</v>
      </c>
      <c r="BR2155" s="2" t="s">
        <v>103</v>
      </c>
      <c r="BS2155" s="3">
        <v>43084</v>
      </c>
      <c r="BT2155" s="4">
        <v>0.39930555555555558</v>
      </c>
      <c r="BU2155" s="2" t="s">
        <v>2440</v>
      </c>
      <c r="BV2155" s="2" t="s">
        <v>85</v>
      </c>
      <c r="BY2155" s="2">
        <v>1200</v>
      </c>
      <c r="CA2155" s="2" t="s">
        <v>110</v>
      </c>
      <c r="CC2155" s="2" t="s">
        <v>107</v>
      </c>
      <c r="CD2155" s="2">
        <v>2197</v>
      </c>
      <c r="CE2155" s="2" t="s">
        <v>120</v>
      </c>
      <c r="CF2155" s="3">
        <v>43087</v>
      </c>
      <c r="CI2155" s="2">
        <v>1</v>
      </c>
      <c r="CJ2155" s="2">
        <v>1</v>
      </c>
      <c r="CK2155" s="2">
        <v>22</v>
      </c>
      <c r="CL2155" s="2" t="s">
        <v>89</v>
      </c>
    </row>
    <row r="2156" spans="1:90">
      <c r="A2156" s="2" t="s">
        <v>71</v>
      </c>
      <c r="B2156" s="2" t="s">
        <v>72</v>
      </c>
      <c r="C2156" s="2" t="s">
        <v>73</v>
      </c>
      <c r="E2156" s="2" t="str">
        <f>"FES1162595961"</f>
        <v>FES1162595961</v>
      </c>
      <c r="F2156" s="3">
        <v>43083</v>
      </c>
      <c r="G2156" s="2">
        <v>201806</v>
      </c>
      <c r="H2156" s="2" t="s">
        <v>74</v>
      </c>
      <c r="I2156" s="2" t="s">
        <v>75</v>
      </c>
      <c r="J2156" s="2" t="s">
        <v>97</v>
      </c>
      <c r="K2156" s="2" t="s">
        <v>77</v>
      </c>
      <c r="L2156" s="2" t="s">
        <v>1778</v>
      </c>
      <c r="M2156" s="2" t="s">
        <v>1779</v>
      </c>
      <c r="N2156" s="2" t="s">
        <v>2308</v>
      </c>
      <c r="O2156" s="2" t="s">
        <v>101</v>
      </c>
      <c r="P2156" s="2" t="str">
        <f>"217060600066                  "</f>
        <v xml:space="preserve">217060600066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12.47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89</v>
      </c>
      <c r="BM2156" s="2">
        <v>12.46</v>
      </c>
      <c r="BN2156" s="2">
        <v>101.46</v>
      </c>
      <c r="BO2156" s="2">
        <v>101.46</v>
      </c>
      <c r="BR2156" s="2" t="s">
        <v>103</v>
      </c>
      <c r="BS2156" s="3">
        <v>43084</v>
      </c>
      <c r="BT2156" s="4">
        <v>0.63194444444444442</v>
      </c>
      <c r="BU2156" s="2" t="s">
        <v>1781</v>
      </c>
      <c r="BV2156" s="2" t="s">
        <v>85</v>
      </c>
      <c r="BY2156" s="2">
        <v>1200</v>
      </c>
      <c r="CC2156" s="2" t="s">
        <v>1779</v>
      </c>
      <c r="CD2156" s="2">
        <v>5850</v>
      </c>
      <c r="CE2156" s="2" t="s">
        <v>120</v>
      </c>
      <c r="CF2156" s="3">
        <v>43097</v>
      </c>
      <c r="CI2156" s="2">
        <v>3</v>
      </c>
      <c r="CJ2156" s="2">
        <v>1</v>
      </c>
      <c r="CK2156" s="2">
        <v>23</v>
      </c>
      <c r="CL2156" s="2" t="s">
        <v>89</v>
      </c>
    </row>
    <row r="2157" spans="1:90">
      <c r="A2157" s="2" t="s">
        <v>71</v>
      </c>
      <c r="B2157" s="2" t="s">
        <v>72</v>
      </c>
      <c r="C2157" s="2" t="s">
        <v>73</v>
      </c>
      <c r="E2157" s="2" t="str">
        <f>"FES1162595869"</f>
        <v>FES1162595869</v>
      </c>
      <c r="F2157" s="3">
        <v>43083</v>
      </c>
      <c r="G2157" s="2">
        <v>201806</v>
      </c>
      <c r="H2157" s="2" t="s">
        <v>74</v>
      </c>
      <c r="I2157" s="2" t="s">
        <v>75</v>
      </c>
      <c r="J2157" s="2" t="s">
        <v>97</v>
      </c>
      <c r="K2157" s="2" t="s">
        <v>77</v>
      </c>
      <c r="L2157" s="2" t="s">
        <v>136</v>
      </c>
      <c r="M2157" s="2" t="s">
        <v>137</v>
      </c>
      <c r="N2157" s="2" t="s">
        <v>660</v>
      </c>
      <c r="O2157" s="2" t="s">
        <v>101</v>
      </c>
      <c r="P2157" s="2" t="str">
        <f>"2170607383                    "</f>
        <v xml:space="preserve">2170607383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19.3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6</v>
      </c>
      <c r="BJ2157" s="2">
        <v>0.2</v>
      </c>
      <c r="BK2157" s="2">
        <v>6</v>
      </c>
      <c r="BL2157" s="2">
        <v>137.76</v>
      </c>
      <c r="BM2157" s="2">
        <v>19.29</v>
      </c>
      <c r="BN2157" s="2">
        <v>157.05000000000001</v>
      </c>
      <c r="BO2157" s="2">
        <v>157.05000000000001</v>
      </c>
      <c r="BQ2157" s="2" t="s">
        <v>82</v>
      </c>
      <c r="BR2157" s="2" t="s">
        <v>103</v>
      </c>
      <c r="BS2157" s="3">
        <v>43084</v>
      </c>
      <c r="BT2157" s="4">
        <v>0.43055555555555558</v>
      </c>
      <c r="BU2157" s="2" t="s">
        <v>1822</v>
      </c>
      <c r="BV2157" s="2" t="s">
        <v>85</v>
      </c>
      <c r="BY2157" s="2">
        <v>1200</v>
      </c>
      <c r="CA2157" s="2" t="s">
        <v>180</v>
      </c>
      <c r="CC2157" s="2" t="s">
        <v>137</v>
      </c>
      <c r="CD2157" s="2">
        <v>6001</v>
      </c>
      <c r="CE2157" s="2" t="s">
        <v>120</v>
      </c>
      <c r="CF2157" s="3">
        <v>43088</v>
      </c>
      <c r="CI2157" s="2">
        <v>1</v>
      </c>
      <c r="CJ2157" s="2">
        <v>1</v>
      </c>
      <c r="CK2157" s="2">
        <v>21</v>
      </c>
      <c r="CL2157" s="2" t="s">
        <v>89</v>
      </c>
    </row>
    <row r="2158" spans="1:90">
      <c r="A2158" s="2" t="s">
        <v>71</v>
      </c>
      <c r="B2158" s="2" t="s">
        <v>72</v>
      </c>
      <c r="C2158" s="2" t="s">
        <v>73</v>
      </c>
      <c r="E2158" s="2" t="str">
        <f>"FES1162595962"</f>
        <v>FES1162595962</v>
      </c>
      <c r="F2158" s="3">
        <v>43083</v>
      </c>
      <c r="G2158" s="2">
        <v>201806</v>
      </c>
      <c r="H2158" s="2" t="s">
        <v>74</v>
      </c>
      <c r="I2158" s="2" t="s">
        <v>75</v>
      </c>
      <c r="J2158" s="2" t="s">
        <v>97</v>
      </c>
      <c r="K2158" s="2" t="s">
        <v>77</v>
      </c>
      <c r="L2158" s="2" t="s">
        <v>136</v>
      </c>
      <c r="M2158" s="2" t="s">
        <v>137</v>
      </c>
      <c r="N2158" s="2" t="s">
        <v>823</v>
      </c>
      <c r="O2158" s="2" t="s">
        <v>101</v>
      </c>
      <c r="P2158" s="2" t="str">
        <f>"2170601951                    "</f>
        <v xml:space="preserve">2170601951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6.43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45.93</v>
      </c>
      <c r="BM2158" s="2">
        <v>6.43</v>
      </c>
      <c r="BN2158" s="2">
        <v>52.36</v>
      </c>
      <c r="BO2158" s="2">
        <v>52.36</v>
      </c>
      <c r="BQ2158" s="2" t="s">
        <v>924</v>
      </c>
      <c r="BR2158" s="2" t="s">
        <v>103</v>
      </c>
      <c r="BS2158" s="3">
        <v>43084</v>
      </c>
      <c r="BT2158" s="4">
        <v>0.36458333333333331</v>
      </c>
      <c r="BU2158" s="2" t="s">
        <v>2441</v>
      </c>
      <c r="BV2158" s="2" t="s">
        <v>85</v>
      </c>
      <c r="BY2158" s="2">
        <v>1200</v>
      </c>
      <c r="CA2158" s="2" t="s">
        <v>180</v>
      </c>
      <c r="CC2158" s="2" t="s">
        <v>137</v>
      </c>
      <c r="CD2158" s="2">
        <v>6001</v>
      </c>
      <c r="CE2158" s="2" t="s">
        <v>120</v>
      </c>
      <c r="CF2158" s="3">
        <v>43088</v>
      </c>
      <c r="CI2158" s="2">
        <v>1</v>
      </c>
      <c r="CJ2158" s="2">
        <v>1</v>
      </c>
      <c r="CK2158" s="2">
        <v>21</v>
      </c>
      <c r="CL2158" s="2" t="s">
        <v>89</v>
      </c>
    </row>
    <row r="2159" spans="1:90">
      <c r="A2159" s="2" t="s">
        <v>71</v>
      </c>
      <c r="B2159" s="2" t="s">
        <v>72</v>
      </c>
      <c r="C2159" s="2" t="s">
        <v>73</v>
      </c>
      <c r="E2159" s="2" t="str">
        <f>"FES1162595821"</f>
        <v>FES1162595821</v>
      </c>
      <c r="F2159" s="3">
        <v>43083</v>
      </c>
      <c r="G2159" s="2">
        <v>201806</v>
      </c>
      <c r="H2159" s="2" t="s">
        <v>74</v>
      </c>
      <c r="I2159" s="2" t="s">
        <v>75</v>
      </c>
      <c r="J2159" s="2" t="s">
        <v>97</v>
      </c>
      <c r="K2159" s="2" t="s">
        <v>77</v>
      </c>
      <c r="L2159" s="2" t="s">
        <v>106</v>
      </c>
      <c r="M2159" s="2" t="s">
        <v>107</v>
      </c>
      <c r="N2159" s="2" t="s">
        <v>2101</v>
      </c>
      <c r="O2159" s="2" t="s">
        <v>101</v>
      </c>
      <c r="P2159" s="2" t="str">
        <f>"2170607639                    "</f>
        <v xml:space="preserve">2170607639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5.03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35.89</v>
      </c>
      <c r="BM2159" s="2">
        <v>5.0199999999999996</v>
      </c>
      <c r="BN2159" s="2">
        <v>40.909999999999997</v>
      </c>
      <c r="BO2159" s="2">
        <v>40.909999999999997</v>
      </c>
      <c r="BQ2159" s="2" t="s">
        <v>102</v>
      </c>
      <c r="BR2159" s="2" t="s">
        <v>103</v>
      </c>
      <c r="BS2159" s="3">
        <v>43084</v>
      </c>
      <c r="BT2159" s="4">
        <v>0.41666666666666669</v>
      </c>
      <c r="BU2159" s="2" t="s">
        <v>432</v>
      </c>
      <c r="BV2159" s="2" t="s">
        <v>85</v>
      </c>
      <c r="BY2159" s="2">
        <v>1200</v>
      </c>
      <c r="CA2159" s="2" t="s">
        <v>293</v>
      </c>
      <c r="CC2159" s="2" t="s">
        <v>107</v>
      </c>
      <c r="CD2159" s="2">
        <v>2013</v>
      </c>
      <c r="CE2159" s="2" t="s">
        <v>120</v>
      </c>
      <c r="CF2159" s="3">
        <v>43087</v>
      </c>
      <c r="CI2159" s="2">
        <v>1</v>
      </c>
      <c r="CJ2159" s="2">
        <v>1</v>
      </c>
      <c r="CK2159" s="2">
        <v>22</v>
      </c>
      <c r="CL2159" s="2" t="s">
        <v>89</v>
      </c>
    </row>
    <row r="2160" spans="1:90">
      <c r="A2160" s="2" t="s">
        <v>71</v>
      </c>
      <c r="B2160" s="2" t="s">
        <v>72</v>
      </c>
      <c r="C2160" s="2" t="s">
        <v>73</v>
      </c>
      <c r="E2160" s="2" t="str">
        <f>"FES1162595995"</f>
        <v>FES1162595995</v>
      </c>
      <c r="F2160" s="3">
        <v>43083</v>
      </c>
      <c r="G2160" s="2">
        <v>201806</v>
      </c>
      <c r="H2160" s="2" t="s">
        <v>74</v>
      </c>
      <c r="I2160" s="2" t="s">
        <v>75</v>
      </c>
      <c r="J2160" s="2" t="s">
        <v>97</v>
      </c>
      <c r="K2160" s="2" t="s">
        <v>77</v>
      </c>
      <c r="L2160" s="2" t="s">
        <v>145</v>
      </c>
      <c r="M2160" s="2" t="s">
        <v>146</v>
      </c>
      <c r="N2160" s="2" t="s">
        <v>1974</v>
      </c>
      <c r="O2160" s="2" t="s">
        <v>101</v>
      </c>
      <c r="P2160" s="2" t="str">
        <f>"2170604526                    "</f>
        <v xml:space="preserve">2170604526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6.43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</v>
      </c>
      <c r="BJ2160" s="2">
        <v>0.2</v>
      </c>
      <c r="BK2160" s="2">
        <v>1</v>
      </c>
      <c r="BL2160" s="2">
        <v>45.93</v>
      </c>
      <c r="BM2160" s="2">
        <v>6.43</v>
      </c>
      <c r="BN2160" s="2">
        <v>52.36</v>
      </c>
      <c r="BO2160" s="2">
        <v>52.36</v>
      </c>
      <c r="BQ2160" s="2" t="s">
        <v>82</v>
      </c>
      <c r="BR2160" s="2" t="s">
        <v>103</v>
      </c>
      <c r="BS2160" s="3">
        <v>43084</v>
      </c>
      <c r="BT2160" s="4">
        <v>0.41666666666666669</v>
      </c>
      <c r="BU2160" s="2" t="s">
        <v>2442</v>
      </c>
      <c r="BV2160" s="2" t="s">
        <v>85</v>
      </c>
      <c r="BY2160" s="2">
        <v>1200</v>
      </c>
      <c r="CA2160" s="2" t="s">
        <v>293</v>
      </c>
      <c r="CC2160" s="2" t="s">
        <v>146</v>
      </c>
      <c r="CD2160" s="2">
        <v>5201</v>
      </c>
      <c r="CE2160" s="2" t="s">
        <v>120</v>
      </c>
      <c r="CF2160" s="3">
        <v>43088</v>
      </c>
      <c r="CI2160" s="2">
        <v>1</v>
      </c>
      <c r="CJ2160" s="2">
        <v>1</v>
      </c>
      <c r="CK2160" s="2">
        <v>21</v>
      </c>
      <c r="CL2160" s="2" t="s">
        <v>89</v>
      </c>
    </row>
    <row r="2161" spans="1:90">
      <c r="A2161" s="2" t="s">
        <v>71</v>
      </c>
      <c r="B2161" s="2" t="s">
        <v>72</v>
      </c>
      <c r="C2161" s="2" t="s">
        <v>73</v>
      </c>
      <c r="E2161" s="2" t="str">
        <f>"FES1162595966"</f>
        <v>FES1162595966</v>
      </c>
      <c r="F2161" s="3">
        <v>43083</v>
      </c>
      <c r="G2161" s="2">
        <v>201806</v>
      </c>
      <c r="H2161" s="2" t="s">
        <v>74</v>
      </c>
      <c r="I2161" s="2" t="s">
        <v>75</v>
      </c>
      <c r="J2161" s="2" t="s">
        <v>97</v>
      </c>
      <c r="K2161" s="2" t="s">
        <v>77</v>
      </c>
      <c r="L2161" s="2" t="s">
        <v>136</v>
      </c>
      <c r="M2161" s="2" t="s">
        <v>137</v>
      </c>
      <c r="N2161" s="2" t="s">
        <v>138</v>
      </c>
      <c r="O2161" s="2" t="s">
        <v>101</v>
      </c>
      <c r="P2161" s="2" t="str">
        <f>"217060374                     "</f>
        <v xml:space="preserve">217060374 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6.43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</v>
      </c>
      <c r="BJ2161" s="2">
        <v>0.2</v>
      </c>
      <c r="BK2161" s="2">
        <v>1</v>
      </c>
      <c r="BL2161" s="2">
        <v>45.93</v>
      </c>
      <c r="BM2161" s="2">
        <v>6.43</v>
      </c>
      <c r="BN2161" s="2">
        <v>52.36</v>
      </c>
      <c r="BO2161" s="2">
        <v>52.36</v>
      </c>
      <c r="BQ2161" s="2" t="s">
        <v>82</v>
      </c>
      <c r="BR2161" s="2" t="s">
        <v>103</v>
      </c>
      <c r="BS2161" s="3">
        <v>43084</v>
      </c>
      <c r="BT2161" s="4">
        <v>0.375</v>
      </c>
      <c r="BU2161" s="2" t="s">
        <v>139</v>
      </c>
      <c r="BV2161" s="2" t="s">
        <v>85</v>
      </c>
      <c r="BY2161" s="2">
        <v>1200</v>
      </c>
      <c r="CA2161" s="2" t="s">
        <v>140</v>
      </c>
      <c r="CC2161" s="2" t="s">
        <v>137</v>
      </c>
      <c r="CD2161" s="2">
        <v>6001</v>
      </c>
      <c r="CE2161" s="2" t="s">
        <v>120</v>
      </c>
      <c r="CF2161" s="3">
        <v>43088</v>
      </c>
      <c r="CI2161" s="2">
        <v>1</v>
      </c>
      <c r="CJ2161" s="2">
        <v>1</v>
      </c>
      <c r="CK2161" s="2">
        <v>21</v>
      </c>
      <c r="CL2161" s="2" t="s">
        <v>89</v>
      </c>
    </row>
    <row r="2162" spans="1:90">
      <c r="A2162" s="2" t="s">
        <v>71</v>
      </c>
      <c r="B2162" s="2" t="s">
        <v>72</v>
      </c>
      <c r="C2162" s="2" t="s">
        <v>73</v>
      </c>
      <c r="E2162" s="2" t="str">
        <f>"FES1162584084"</f>
        <v>FES1162584084</v>
      </c>
      <c r="F2162" s="3">
        <v>43083</v>
      </c>
      <c r="G2162" s="2">
        <v>201806</v>
      </c>
      <c r="H2162" s="2" t="s">
        <v>74</v>
      </c>
      <c r="I2162" s="2" t="s">
        <v>75</v>
      </c>
      <c r="J2162" s="2" t="s">
        <v>97</v>
      </c>
      <c r="K2162" s="2" t="s">
        <v>77</v>
      </c>
      <c r="L2162" s="2" t="s">
        <v>106</v>
      </c>
      <c r="M2162" s="2" t="s">
        <v>107</v>
      </c>
      <c r="N2162" s="2" t="s">
        <v>2101</v>
      </c>
      <c r="O2162" s="2" t="s">
        <v>101</v>
      </c>
      <c r="P2162" s="2" t="str">
        <f>"2170597917                    "</f>
        <v xml:space="preserve">2170597917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5.03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</v>
      </c>
      <c r="BJ2162" s="2">
        <v>0.2</v>
      </c>
      <c r="BK2162" s="2">
        <v>1</v>
      </c>
      <c r="BL2162" s="2">
        <v>35.89</v>
      </c>
      <c r="BM2162" s="2">
        <v>5.0199999999999996</v>
      </c>
      <c r="BN2162" s="2">
        <v>40.909999999999997</v>
      </c>
      <c r="BO2162" s="2">
        <v>40.909999999999997</v>
      </c>
      <c r="BQ2162" s="2" t="s">
        <v>102</v>
      </c>
      <c r="BR2162" s="2" t="s">
        <v>103</v>
      </c>
      <c r="BS2162" s="3">
        <v>43084</v>
      </c>
      <c r="BT2162" s="4">
        <v>0.41666666666666669</v>
      </c>
      <c r="BU2162" s="2" t="s">
        <v>432</v>
      </c>
      <c r="BV2162" s="2" t="s">
        <v>85</v>
      </c>
      <c r="BY2162" s="2">
        <v>1200</v>
      </c>
      <c r="CA2162" s="2" t="s">
        <v>293</v>
      </c>
      <c r="CC2162" s="2" t="s">
        <v>107</v>
      </c>
      <c r="CD2162" s="2">
        <v>2013</v>
      </c>
      <c r="CE2162" s="2" t="s">
        <v>120</v>
      </c>
      <c r="CF2162" s="3">
        <v>43087</v>
      </c>
      <c r="CI2162" s="2">
        <v>1</v>
      </c>
      <c r="CJ2162" s="2">
        <v>1</v>
      </c>
      <c r="CK2162" s="2">
        <v>22</v>
      </c>
      <c r="CL2162" s="2" t="s">
        <v>89</v>
      </c>
    </row>
    <row r="2163" spans="1:90">
      <c r="A2163" s="2" t="s">
        <v>71</v>
      </c>
      <c r="B2163" s="2" t="s">
        <v>72</v>
      </c>
      <c r="C2163" s="2" t="s">
        <v>73</v>
      </c>
      <c r="E2163" s="2" t="str">
        <f>"FES1162595913"</f>
        <v>FES1162595913</v>
      </c>
      <c r="F2163" s="3">
        <v>43083</v>
      </c>
      <c r="G2163" s="2">
        <v>201806</v>
      </c>
      <c r="H2163" s="2" t="s">
        <v>74</v>
      </c>
      <c r="I2163" s="2" t="s">
        <v>75</v>
      </c>
      <c r="J2163" s="2" t="s">
        <v>97</v>
      </c>
      <c r="K2163" s="2" t="s">
        <v>77</v>
      </c>
      <c r="L2163" s="2" t="s">
        <v>136</v>
      </c>
      <c r="M2163" s="2" t="s">
        <v>137</v>
      </c>
      <c r="N2163" s="2" t="s">
        <v>138</v>
      </c>
      <c r="O2163" s="2" t="s">
        <v>101</v>
      </c>
      <c r="P2163" s="2" t="str">
        <f>"2170607748                    "</f>
        <v xml:space="preserve">2170607748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6.43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45.93</v>
      </c>
      <c r="BM2163" s="2">
        <v>6.43</v>
      </c>
      <c r="BN2163" s="2">
        <v>52.36</v>
      </c>
      <c r="BO2163" s="2">
        <v>52.36</v>
      </c>
      <c r="BQ2163" s="2" t="s">
        <v>82</v>
      </c>
      <c r="BR2163" s="2" t="s">
        <v>103</v>
      </c>
      <c r="BS2163" s="3">
        <v>43084</v>
      </c>
      <c r="BT2163" s="4">
        <v>0.375</v>
      </c>
      <c r="BU2163" s="2" t="s">
        <v>139</v>
      </c>
      <c r="BV2163" s="2" t="s">
        <v>85</v>
      </c>
      <c r="BY2163" s="2">
        <v>1200</v>
      </c>
      <c r="CA2163" s="2" t="s">
        <v>140</v>
      </c>
      <c r="CC2163" s="2" t="s">
        <v>137</v>
      </c>
      <c r="CD2163" s="2">
        <v>6001</v>
      </c>
      <c r="CE2163" s="2" t="s">
        <v>120</v>
      </c>
      <c r="CF2163" s="3">
        <v>43088</v>
      </c>
      <c r="CI2163" s="2">
        <v>1</v>
      </c>
      <c r="CJ2163" s="2">
        <v>1</v>
      </c>
      <c r="CK2163" s="2">
        <v>21</v>
      </c>
      <c r="CL2163" s="2" t="s">
        <v>89</v>
      </c>
    </row>
    <row r="2164" spans="1:90">
      <c r="A2164" s="2" t="s">
        <v>71</v>
      </c>
      <c r="B2164" s="2" t="s">
        <v>72</v>
      </c>
      <c r="C2164" s="2" t="s">
        <v>73</v>
      </c>
      <c r="E2164" s="2" t="str">
        <f>"FES1162596018"</f>
        <v>FES1162596018</v>
      </c>
      <c r="F2164" s="3">
        <v>43083</v>
      </c>
      <c r="G2164" s="2">
        <v>201806</v>
      </c>
      <c r="H2164" s="2" t="s">
        <v>74</v>
      </c>
      <c r="I2164" s="2" t="s">
        <v>75</v>
      </c>
      <c r="J2164" s="2" t="s">
        <v>97</v>
      </c>
      <c r="K2164" s="2" t="s">
        <v>77</v>
      </c>
      <c r="L2164" s="2" t="s">
        <v>136</v>
      </c>
      <c r="M2164" s="2" t="s">
        <v>137</v>
      </c>
      <c r="N2164" s="2" t="s">
        <v>1586</v>
      </c>
      <c r="O2164" s="2" t="s">
        <v>101</v>
      </c>
      <c r="P2164" s="2" t="str">
        <f>"2170605466                    "</f>
        <v xml:space="preserve">2170605466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59.49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11.9</v>
      </c>
      <c r="BJ2164" s="2">
        <v>18.2</v>
      </c>
      <c r="BK2164" s="2">
        <v>18.5</v>
      </c>
      <c r="BL2164" s="2">
        <v>424.7</v>
      </c>
      <c r="BM2164" s="2">
        <v>59.46</v>
      </c>
      <c r="BN2164" s="2">
        <v>484.16</v>
      </c>
      <c r="BO2164" s="2">
        <v>484.16</v>
      </c>
      <c r="BQ2164" s="2" t="s">
        <v>82</v>
      </c>
      <c r="BR2164" s="2" t="s">
        <v>103</v>
      </c>
      <c r="BS2164" s="3">
        <v>43084</v>
      </c>
      <c r="BT2164" s="4">
        <v>0.40625</v>
      </c>
      <c r="BU2164" s="2" t="s">
        <v>1795</v>
      </c>
      <c r="BV2164" s="2" t="s">
        <v>85</v>
      </c>
      <c r="BY2164" s="2">
        <v>91164.26</v>
      </c>
      <c r="CA2164" s="2" t="s">
        <v>261</v>
      </c>
      <c r="CC2164" s="2" t="s">
        <v>137</v>
      </c>
      <c r="CD2164" s="2">
        <v>6045</v>
      </c>
      <c r="CE2164" s="2" t="s">
        <v>95</v>
      </c>
      <c r="CF2164" s="3">
        <v>43088</v>
      </c>
      <c r="CI2164" s="2">
        <v>1</v>
      </c>
      <c r="CJ2164" s="2">
        <v>1</v>
      </c>
      <c r="CK2164" s="2">
        <v>21</v>
      </c>
      <c r="CL2164" s="2" t="s">
        <v>89</v>
      </c>
    </row>
    <row r="2165" spans="1:90">
      <c r="A2165" s="2" t="s">
        <v>71</v>
      </c>
      <c r="B2165" s="2" t="s">
        <v>72</v>
      </c>
      <c r="C2165" s="2" t="s">
        <v>73</v>
      </c>
      <c r="E2165" s="2" t="str">
        <f>"FES1162596072"</f>
        <v>FES1162596072</v>
      </c>
      <c r="F2165" s="3">
        <v>43083</v>
      </c>
      <c r="G2165" s="2">
        <v>201806</v>
      </c>
      <c r="H2165" s="2" t="s">
        <v>74</v>
      </c>
      <c r="I2165" s="2" t="s">
        <v>75</v>
      </c>
      <c r="J2165" s="2" t="s">
        <v>97</v>
      </c>
      <c r="K2165" s="2" t="s">
        <v>77</v>
      </c>
      <c r="L2165" s="2" t="s">
        <v>136</v>
      </c>
      <c r="M2165" s="2" t="s">
        <v>137</v>
      </c>
      <c r="N2165" s="2" t="s">
        <v>178</v>
      </c>
      <c r="O2165" s="2" t="s">
        <v>101</v>
      </c>
      <c r="P2165" s="2" t="str">
        <f>"2170607820                    "</f>
        <v xml:space="preserve">2170607820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16.079999999999998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4.9000000000000004</v>
      </c>
      <c r="BJ2165" s="2">
        <v>2.2999999999999998</v>
      </c>
      <c r="BK2165" s="2">
        <v>5</v>
      </c>
      <c r="BL2165" s="2">
        <v>114.8</v>
      </c>
      <c r="BM2165" s="2">
        <v>16.07</v>
      </c>
      <c r="BN2165" s="2">
        <v>130.87</v>
      </c>
      <c r="BO2165" s="2">
        <v>130.87</v>
      </c>
      <c r="BQ2165" s="2" t="s">
        <v>102</v>
      </c>
      <c r="BR2165" s="2" t="s">
        <v>103</v>
      </c>
      <c r="BS2165" s="3">
        <v>43084</v>
      </c>
      <c r="BT2165" s="4">
        <v>0.33333333333333331</v>
      </c>
      <c r="BU2165" s="2" t="s">
        <v>348</v>
      </c>
      <c r="BV2165" s="2" t="s">
        <v>85</v>
      </c>
      <c r="BY2165" s="2">
        <v>11509.63</v>
      </c>
      <c r="CA2165" s="2" t="s">
        <v>180</v>
      </c>
      <c r="CC2165" s="2" t="s">
        <v>137</v>
      </c>
      <c r="CD2165" s="2">
        <v>6001</v>
      </c>
      <c r="CE2165" s="2" t="s">
        <v>95</v>
      </c>
      <c r="CF2165" s="3">
        <v>43084</v>
      </c>
      <c r="CI2165" s="2">
        <v>1</v>
      </c>
      <c r="CJ2165" s="2">
        <v>1</v>
      </c>
      <c r="CK2165" s="2">
        <v>21</v>
      </c>
      <c r="CL2165" s="2" t="s">
        <v>89</v>
      </c>
    </row>
    <row r="2166" spans="1:90">
      <c r="A2166" s="2" t="s">
        <v>71</v>
      </c>
      <c r="B2166" s="2" t="s">
        <v>72</v>
      </c>
      <c r="C2166" s="2" t="s">
        <v>73</v>
      </c>
      <c r="E2166" s="2" t="str">
        <f>"FES1162595863"</f>
        <v>FES1162595863</v>
      </c>
      <c r="F2166" s="3">
        <v>43083</v>
      </c>
      <c r="G2166" s="2">
        <v>201806</v>
      </c>
      <c r="H2166" s="2" t="s">
        <v>74</v>
      </c>
      <c r="I2166" s="2" t="s">
        <v>75</v>
      </c>
      <c r="J2166" s="2" t="s">
        <v>97</v>
      </c>
      <c r="K2166" s="2" t="s">
        <v>77</v>
      </c>
      <c r="L2166" s="2" t="s">
        <v>74</v>
      </c>
      <c r="M2166" s="2" t="s">
        <v>75</v>
      </c>
      <c r="N2166" s="2" t="s">
        <v>1663</v>
      </c>
      <c r="O2166" s="2" t="s">
        <v>101</v>
      </c>
      <c r="P2166" s="2" t="str">
        <f>"2170607705                    "</f>
        <v xml:space="preserve">2170607705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5.03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35.89</v>
      </c>
      <c r="BM2166" s="2">
        <v>5.0199999999999996</v>
      </c>
      <c r="BN2166" s="2">
        <v>40.909999999999997</v>
      </c>
      <c r="BO2166" s="2">
        <v>40.909999999999997</v>
      </c>
      <c r="BQ2166" s="2" t="s">
        <v>82</v>
      </c>
      <c r="BR2166" s="2" t="s">
        <v>103</v>
      </c>
      <c r="BS2166" s="3">
        <v>43084</v>
      </c>
      <c r="BT2166" s="4">
        <v>0.375</v>
      </c>
      <c r="BU2166" s="2" t="s">
        <v>2443</v>
      </c>
      <c r="BV2166" s="2" t="s">
        <v>85</v>
      </c>
      <c r="BY2166" s="2">
        <v>1200</v>
      </c>
      <c r="CA2166" s="2" t="s">
        <v>366</v>
      </c>
      <c r="CC2166" s="2" t="s">
        <v>75</v>
      </c>
      <c r="CD2166" s="2">
        <v>1600</v>
      </c>
      <c r="CE2166" s="2" t="s">
        <v>120</v>
      </c>
      <c r="CF2166" s="3">
        <v>43087</v>
      </c>
      <c r="CI2166" s="2">
        <v>1</v>
      </c>
      <c r="CJ2166" s="2">
        <v>1</v>
      </c>
      <c r="CK2166" s="2">
        <v>22</v>
      </c>
      <c r="CL2166" s="2" t="s">
        <v>89</v>
      </c>
    </row>
    <row r="2167" spans="1:90">
      <c r="A2167" s="2" t="s">
        <v>71</v>
      </c>
      <c r="B2167" s="2" t="s">
        <v>72</v>
      </c>
      <c r="C2167" s="2" t="s">
        <v>73</v>
      </c>
      <c r="E2167" s="2" t="str">
        <f>"FES1162594906"</f>
        <v>FES1162594906</v>
      </c>
      <c r="F2167" s="3">
        <v>43083</v>
      </c>
      <c r="G2167" s="2">
        <v>201806</v>
      </c>
      <c r="H2167" s="2" t="s">
        <v>74</v>
      </c>
      <c r="I2167" s="2" t="s">
        <v>75</v>
      </c>
      <c r="J2167" s="2" t="s">
        <v>97</v>
      </c>
      <c r="K2167" s="2" t="s">
        <v>77</v>
      </c>
      <c r="L2167" s="2" t="s">
        <v>106</v>
      </c>
      <c r="M2167" s="2" t="s">
        <v>107</v>
      </c>
      <c r="N2167" s="2" t="s">
        <v>2101</v>
      </c>
      <c r="O2167" s="2" t="s">
        <v>101</v>
      </c>
      <c r="P2167" s="2" t="str">
        <f>"2170606807                    "</f>
        <v xml:space="preserve">2170606807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5.03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35.89</v>
      </c>
      <c r="BM2167" s="2">
        <v>5.0199999999999996</v>
      </c>
      <c r="BN2167" s="2">
        <v>40.909999999999997</v>
      </c>
      <c r="BO2167" s="2">
        <v>40.909999999999997</v>
      </c>
      <c r="BQ2167" s="2" t="s">
        <v>102</v>
      </c>
      <c r="BR2167" s="2" t="s">
        <v>103</v>
      </c>
      <c r="BS2167" s="3">
        <v>43084</v>
      </c>
      <c r="BT2167" s="4">
        <v>0.41666666666666669</v>
      </c>
      <c r="BU2167" s="2" t="s">
        <v>432</v>
      </c>
      <c r="BV2167" s="2" t="s">
        <v>85</v>
      </c>
      <c r="BY2167" s="2">
        <v>1200</v>
      </c>
      <c r="CA2167" s="2" t="s">
        <v>293</v>
      </c>
      <c r="CC2167" s="2" t="s">
        <v>107</v>
      </c>
      <c r="CD2167" s="2">
        <v>2013</v>
      </c>
      <c r="CE2167" s="2" t="s">
        <v>120</v>
      </c>
      <c r="CF2167" s="3">
        <v>43087</v>
      </c>
      <c r="CI2167" s="2">
        <v>1</v>
      </c>
      <c r="CJ2167" s="2">
        <v>1</v>
      </c>
      <c r="CK2167" s="2">
        <v>22</v>
      </c>
      <c r="CL2167" s="2" t="s">
        <v>89</v>
      </c>
    </row>
    <row r="2168" spans="1:90">
      <c r="A2168" s="2" t="s">
        <v>71</v>
      </c>
      <c r="B2168" s="2" t="s">
        <v>72</v>
      </c>
      <c r="C2168" s="2" t="s">
        <v>73</v>
      </c>
      <c r="E2168" s="2" t="str">
        <f>"FES1162595868"</f>
        <v>FES1162595868</v>
      </c>
      <c r="F2168" s="3">
        <v>43083</v>
      </c>
      <c r="G2168" s="2">
        <v>201806</v>
      </c>
      <c r="H2168" s="2" t="s">
        <v>74</v>
      </c>
      <c r="I2168" s="2" t="s">
        <v>75</v>
      </c>
      <c r="J2168" s="2" t="s">
        <v>97</v>
      </c>
      <c r="K2168" s="2" t="s">
        <v>77</v>
      </c>
      <c r="L2168" s="2" t="s">
        <v>194</v>
      </c>
      <c r="M2168" s="2" t="s">
        <v>195</v>
      </c>
      <c r="N2168" s="2" t="s">
        <v>196</v>
      </c>
      <c r="O2168" s="2" t="s">
        <v>101</v>
      </c>
      <c r="P2168" s="2" t="str">
        <f>"2170607706                    "</f>
        <v xml:space="preserve">2170607706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6.43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45.93</v>
      </c>
      <c r="BM2168" s="2">
        <v>6.43</v>
      </c>
      <c r="BN2168" s="2">
        <v>52.36</v>
      </c>
      <c r="BO2168" s="2">
        <v>52.36</v>
      </c>
      <c r="BQ2168" s="2" t="s">
        <v>82</v>
      </c>
      <c r="BR2168" s="2" t="s">
        <v>103</v>
      </c>
      <c r="BS2168" s="3">
        <v>43087</v>
      </c>
      <c r="BT2168" s="4">
        <v>0.41666666666666669</v>
      </c>
      <c r="BU2168" s="2" t="s">
        <v>2444</v>
      </c>
      <c r="BV2168" s="2" t="s">
        <v>85</v>
      </c>
      <c r="BY2168" s="2">
        <v>1200</v>
      </c>
      <c r="CA2168" s="2" t="s">
        <v>198</v>
      </c>
      <c r="CC2168" s="2" t="s">
        <v>195</v>
      </c>
      <c r="CD2168" s="2">
        <v>8405</v>
      </c>
      <c r="CE2168" s="2" t="s">
        <v>120</v>
      </c>
      <c r="CF2168" s="3">
        <v>43090</v>
      </c>
      <c r="CI2168" s="2">
        <v>3</v>
      </c>
      <c r="CJ2168" s="2">
        <v>2</v>
      </c>
      <c r="CK2168" s="2">
        <v>21</v>
      </c>
      <c r="CL2168" s="2" t="s">
        <v>89</v>
      </c>
    </row>
    <row r="2169" spans="1:90">
      <c r="A2169" s="2" t="s">
        <v>71</v>
      </c>
      <c r="B2169" s="2" t="s">
        <v>72</v>
      </c>
      <c r="C2169" s="2" t="s">
        <v>73</v>
      </c>
      <c r="E2169" s="2" t="str">
        <f>"FES1162595973"</f>
        <v>FES1162595973</v>
      </c>
      <c r="F2169" s="3">
        <v>43083</v>
      </c>
      <c r="G2169" s="2">
        <v>201806</v>
      </c>
      <c r="H2169" s="2" t="s">
        <v>74</v>
      </c>
      <c r="I2169" s="2" t="s">
        <v>75</v>
      </c>
      <c r="J2169" s="2" t="s">
        <v>97</v>
      </c>
      <c r="K2169" s="2" t="s">
        <v>77</v>
      </c>
      <c r="L2169" s="2" t="s">
        <v>145</v>
      </c>
      <c r="M2169" s="2" t="s">
        <v>146</v>
      </c>
      <c r="N2169" s="2" t="s">
        <v>709</v>
      </c>
      <c r="O2169" s="2" t="s">
        <v>101</v>
      </c>
      <c r="P2169" s="2" t="str">
        <f>"2170604082                    "</f>
        <v xml:space="preserve">2170604082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14.47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4.0999999999999996</v>
      </c>
      <c r="BK2169" s="2">
        <v>4.5</v>
      </c>
      <c r="BL2169" s="2">
        <v>103.32</v>
      </c>
      <c r="BM2169" s="2">
        <v>14.46</v>
      </c>
      <c r="BN2169" s="2">
        <v>117.78</v>
      </c>
      <c r="BO2169" s="2">
        <v>117.78</v>
      </c>
      <c r="BQ2169" s="2" t="s">
        <v>102</v>
      </c>
      <c r="BR2169" s="2" t="s">
        <v>103</v>
      </c>
      <c r="BS2169" s="3">
        <v>43084</v>
      </c>
      <c r="BT2169" s="4">
        <v>0.41666666666666669</v>
      </c>
      <c r="BU2169" s="2" t="s">
        <v>710</v>
      </c>
      <c r="BV2169" s="2" t="s">
        <v>85</v>
      </c>
      <c r="BY2169" s="2">
        <v>20358</v>
      </c>
      <c r="CC2169" s="2" t="s">
        <v>146</v>
      </c>
      <c r="CD2169" s="2">
        <v>5201</v>
      </c>
      <c r="CE2169" s="2" t="s">
        <v>95</v>
      </c>
      <c r="CF2169" s="3">
        <v>43088</v>
      </c>
      <c r="CI2169" s="2">
        <v>1</v>
      </c>
      <c r="CJ2169" s="2">
        <v>1</v>
      </c>
      <c r="CK2169" s="2">
        <v>21</v>
      </c>
      <c r="CL2169" s="2" t="s">
        <v>89</v>
      </c>
    </row>
    <row r="2170" spans="1:90">
      <c r="A2170" s="2" t="s">
        <v>71</v>
      </c>
      <c r="B2170" s="2" t="s">
        <v>72</v>
      </c>
      <c r="C2170" s="2" t="s">
        <v>73</v>
      </c>
      <c r="E2170" s="2" t="str">
        <f>"FES1162595935"</f>
        <v>FES1162595935</v>
      </c>
      <c r="F2170" s="3">
        <v>43083</v>
      </c>
      <c r="G2170" s="2">
        <v>201806</v>
      </c>
      <c r="H2170" s="2" t="s">
        <v>74</v>
      </c>
      <c r="I2170" s="2" t="s">
        <v>75</v>
      </c>
      <c r="J2170" s="2" t="s">
        <v>97</v>
      </c>
      <c r="K2170" s="2" t="s">
        <v>77</v>
      </c>
      <c r="L2170" s="2" t="s">
        <v>136</v>
      </c>
      <c r="M2170" s="2" t="s">
        <v>137</v>
      </c>
      <c r="N2170" s="2" t="s">
        <v>138</v>
      </c>
      <c r="O2170" s="2" t="s">
        <v>101</v>
      </c>
      <c r="P2170" s="2" t="str">
        <f>"21706064641                   "</f>
        <v xml:space="preserve">21706064641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6.43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45.93</v>
      </c>
      <c r="BM2170" s="2">
        <v>6.43</v>
      </c>
      <c r="BN2170" s="2">
        <v>52.36</v>
      </c>
      <c r="BO2170" s="2">
        <v>52.36</v>
      </c>
      <c r="BQ2170" s="2" t="s">
        <v>82</v>
      </c>
      <c r="BR2170" s="2" t="s">
        <v>103</v>
      </c>
      <c r="BS2170" s="3">
        <v>43084</v>
      </c>
      <c r="BT2170" s="4">
        <v>0.375</v>
      </c>
      <c r="BU2170" s="2" t="s">
        <v>139</v>
      </c>
      <c r="BV2170" s="2" t="s">
        <v>85</v>
      </c>
      <c r="BY2170" s="2">
        <v>1200</v>
      </c>
      <c r="CA2170" s="2" t="s">
        <v>140</v>
      </c>
      <c r="CC2170" s="2" t="s">
        <v>137</v>
      </c>
      <c r="CD2170" s="2">
        <v>6001</v>
      </c>
      <c r="CE2170" s="2" t="s">
        <v>120</v>
      </c>
      <c r="CF2170" s="3">
        <v>43088</v>
      </c>
      <c r="CI2170" s="2">
        <v>1</v>
      </c>
      <c r="CJ2170" s="2">
        <v>1</v>
      </c>
      <c r="CK2170" s="2">
        <v>21</v>
      </c>
      <c r="CL2170" s="2" t="s">
        <v>89</v>
      </c>
    </row>
    <row r="2171" spans="1:90">
      <c r="A2171" s="2" t="s">
        <v>71</v>
      </c>
      <c r="B2171" s="2" t="s">
        <v>72</v>
      </c>
      <c r="C2171" s="2" t="s">
        <v>73</v>
      </c>
      <c r="E2171" s="2" t="str">
        <f>"FES1162595825"</f>
        <v>FES1162595825</v>
      </c>
      <c r="F2171" s="3">
        <v>43083</v>
      </c>
      <c r="G2171" s="2">
        <v>201806</v>
      </c>
      <c r="H2171" s="2" t="s">
        <v>74</v>
      </c>
      <c r="I2171" s="2" t="s">
        <v>75</v>
      </c>
      <c r="J2171" s="2" t="s">
        <v>97</v>
      </c>
      <c r="K2171" s="2" t="s">
        <v>77</v>
      </c>
      <c r="L2171" s="2" t="s">
        <v>325</v>
      </c>
      <c r="M2171" s="2" t="s">
        <v>326</v>
      </c>
      <c r="N2171" s="2" t="s">
        <v>1129</v>
      </c>
      <c r="O2171" s="2" t="s">
        <v>908</v>
      </c>
      <c r="P2171" s="2" t="str">
        <f>"2170607211                    "</f>
        <v xml:space="preserve">2170607211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412.74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343.79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4</v>
      </c>
      <c r="BI2171" s="2">
        <v>86</v>
      </c>
      <c r="BJ2171" s="2">
        <v>81.400000000000006</v>
      </c>
      <c r="BK2171" s="2">
        <v>86</v>
      </c>
      <c r="BL2171" s="2">
        <v>2454.19</v>
      </c>
      <c r="BM2171" s="2">
        <v>343.59</v>
      </c>
      <c r="BN2171" s="2">
        <v>2797.78</v>
      </c>
      <c r="BO2171" s="2">
        <v>2797.78</v>
      </c>
      <c r="BP2171" s="2" t="s">
        <v>2445</v>
      </c>
      <c r="BQ2171" s="2" t="s">
        <v>2446</v>
      </c>
      <c r="BR2171" s="2" t="s">
        <v>103</v>
      </c>
      <c r="BS2171" s="3">
        <v>43083</v>
      </c>
      <c r="BT2171" s="4">
        <v>0.66666666666666663</v>
      </c>
      <c r="BU2171" s="2" t="s">
        <v>2447</v>
      </c>
      <c r="BV2171" s="2" t="s">
        <v>85</v>
      </c>
      <c r="BY2171" s="2">
        <v>203552</v>
      </c>
      <c r="BZ2171" s="2" t="s">
        <v>911</v>
      </c>
      <c r="CC2171" s="2" t="s">
        <v>326</v>
      </c>
      <c r="CD2171" s="2">
        <v>1939</v>
      </c>
      <c r="CE2171" s="2" t="s">
        <v>95</v>
      </c>
      <c r="CF2171" s="3">
        <v>43089</v>
      </c>
      <c r="CI2171" s="2">
        <v>0</v>
      </c>
      <c r="CJ2171" s="2">
        <v>0</v>
      </c>
      <c r="CK2171" s="2">
        <v>21</v>
      </c>
      <c r="CL2171" s="2" t="s">
        <v>89</v>
      </c>
    </row>
    <row r="2172" spans="1:90">
      <c r="A2172" s="2" t="s">
        <v>71</v>
      </c>
      <c r="B2172" s="2" t="s">
        <v>72</v>
      </c>
      <c r="C2172" s="2" t="s">
        <v>73</v>
      </c>
      <c r="E2172" s="2" t="str">
        <f>"FES1162596039"</f>
        <v>FES1162596039</v>
      </c>
      <c r="F2172" s="3">
        <v>43083</v>
      </c>
      <c r="G2172" s="2">
        <v>201806</v>
      </c>
      <c r="H2172" s="2" t="s">
        <v>74</v>
      </c>
      <c r="I2172" s="2" t="s">
        <v>75</v>
      </c>
      <c r="J2172" s="2" t="s">
        <v>97</v>
      </c>
      <c r="K2172" s="2" t="s">
        <v>77</v>
      </c>
      <c r="L2172" s="2" t="s">
        <v>136</v>
      </c>
      <c r="M2172" s="2" t="s">
        <v>137</v>
      </c>
      <c r="N2172" s="2" t="s">
        <v>1466</v>
      </c>
      <c r="O2172" s="2" t="s">
        <v>101</v>
      </c>
      <c r="P2172" s="2" t="str">
        <f>"21706077779                   "</f>
        <v xml:space="preserve">21706077779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8.0399999999999991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2.4</v>
      </c>
      <c r="BJ2172" s="2">
        <v>1.8</v>
      </c>
      <c r="BK2172" s="2">
        <v>2.5</v>
      </c>
      <c r="BL2172" s="2">
        <v>57.41</v>
      </c>
      <c r="BM2172" s="2">
        <v>8.0399999999999991</v>
      </c>
      <c r="BN2172" s="2">
        <v>65.45</v>
      </c>
      <c r="BO2172" s="2">
        <v>65.45</v>
      </c>
      <c r="BQ2172" s="2" t="s">
        <v>1467</v>
      </c>
      <c r="BR2172" s="2" t="s">
        <v>103</v>
      </c>
      <c r="BS2172" s="3">
        <v>43084</v>
      </c>
      <c r="BT2172" s="4">
        <v>0.37847222222222227</v>
      </c>
      <c r="BU2172" s="2" t="s">
        <v>2448</v>
      </c>
      <c r="BV2172" s="2" t="s">
        <v>85</v>
      </c>
      <c r="BY2172" s="2">
        <v>9016.39</v>
      </c>
      <c r="CA2172" s="2" t="s">
        <v>180</v>
      </c>
      <c r="CC2172" s="2" t="s">
        <v>137</v>
      </c>
      <c r="CD2172" s="2">
        <v>6001</v>
      </c>
      <c r="CE2172" s="2" t="s">
        <v>95</v>
      </c>
      <c r="CF2172" s="3">
        <v>43088</v>
      </c>
      <c r="CI2172" s="2">
        <v>1</v>
      </c>
      <c r="CJ2172" s="2">
        <v>1</v>
      </c>
      <c r="CK2172" s="2">
        <v>21</v>
      </c>
      <c r="CL2172" s="2" t="s">
        <v>89</v>
      </c>
    </row>
    <row r="2173" spans="1:90">
      <c r="A2173" s="2" t="s">
        <v>71</v>
      </c>
      <c r="B2173" s="2" t="s">
        <v>72</v>
      </c>
      <c r="C2173" s="2" t="s">
        <v>73</v>
      </c>
      <c r="E2173" s="2" t="str">
        <f>"FES1162595879"</f>
        <v>FES1162595879</v>
      </c>
      <c r="F2173" s="3">
        <v>43083</v>
      </c>
      <c r="G2173" s="2">
        <v>201806</v>
      </c>
      <c r="H2173" s="2" t="s">
        <v>74</v>
      </c>
      <c r="I2173" s="2" t="s">
        <v>75</v>
      </c>
      <c r="J2173" s="2" t="s">
        <v>97</v>
      </c>
      <c r="K2173" s="2" t="s">
        <v>77</v>
      </c>
      <c r="L2173" s="2" t="s">
        <v>145</v>
      </c>
      <c r="M2173" s="2" t="s">
        <v>146</v>
      </c>
      <c r="N2173" s="2" t="s">
        <v>2449</v>
      </c>
      <c r="O2173" s="2" t="s">
        <v>101</v>
      </c>
      <c r="P2173" s="2" t="str">
        <f>"2170605843                    "</f>
        <v xml:space="preserve">2170605843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35.380000000000003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5</v>
      </c>
      <c r="BJ2173" s="2">
        <v>10.7</v>
      </c>
      <c r="BK2173" s="2">
        <v>11</v>
      </c>
      <c r="BL2173" s="2">
        <v>252.54</v>
      </c>
      <c r="BM2173" s="2">
        <v>35.36</v>
      </c>
      <c r="BN2173" s="2">
        <v>287.89999999999998</v>
      </c>
      <c r="BO2173" s="2">
        <v>287.89999999999998</v>
      </c>
      <c r="BQ2173" s="2" t="s">
        <v>102</v>
      </c>
      <c r="BR2173" s="2" t="s">
        <v>103</v>
      </c>
      <c r="BS2173" s="3">
        <v>43087</v>
      </c>
      <c r="BT2173" s="4">
        <v>0.45416666666666666</v>
      </c>
      <c r="BU2173" s="2" t="s">
        <v>2450</v>
      </c>
      <c r="BV2173" s="2" t="s">
        <v>89</v>
      </c>
      <c r="BW2173" s="2" t="s">
        <v>149</v>
      </c>
      <c r="BX2173" s="2" t="s">
        <v>2451</v>
      </c>
      <c r="BY2173" s="2">
        <v>53312</v>
      </c>
      <c r="CA2173" s="2" t="s">
        <v>629</v>
      </c>
      <c r="CC2173" s="2" t="s">
        <v>146</v>
      </c>
      <c r="CD2173" s="2">
        <v>5201</v>
      </c>
      <c r="CE2173" s="2" t="s">
        <v>95</v>
      </c>
      <c r="CF2173" s="3">
        <v>43087</v>
      </c>
      <c r="CI2173" s="2">
        <v>1</v>
      </c>
      <c r="CJ2173" s="2">
        <v>2</v>
      </c>
      <c r="CK2173" s="2">
        <v>21</v>
      </c>
      <c r="CL2173" s="2" t="s">
        <v>89</v>
      </c>
    </row>
    <row r="2174" spans="1:90">
      <c r="A2174" s="2" t="s">
        <v>71</v>
      </c>
      <c r="B2174" s="2" t="s">
        <v>72</v>
      </c>
      <c r="C2174" s="2" t="s">
        <v>73</v>
      </c>
      <c r="E2174" s="2" t="str">
        <f>"FES1162595885"</f>
        <v>FES1162595885</v>
      </c>
      <c r="F2174" s="3">
        <v>43083</v>
      </c>
      <c r="G2174" s="2">
        <v>201806</v>
      </c>
      <c r="H2174" s="2" t="s">
        <v>74</v>
      </c>
      <c r="I2174" s="2" t="s">
        <v>75</v>
      </c>
      <c r="J2174" s="2" t="s">
        <v>97</v>
      </c>
      <c r="K2174" s="2" t="s">
        <v>77</v>
      </c>
      <c r="L2174" s="2" t="s">
        <v>145</v>
      </c>
      <c r="M2174" s="2" t="s">
        <v>146</v>
      </c>
      <c r="N2174" s="2" t="s">
        <v>922</v>
      </c>
      <c r="O2174" s="2" t="s">
        <v>101</v>
      </c>
      <c r="P2174" s="2" t="str">
        <f>"2170607143                    "</f>
        <v xml:space="preserve">2170607143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6.43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45.93</v>
      </c>
      <c r="BM2174" s="2">
        <v>6.43</v>
      </c>
      <c r="BN2174" s="2">
        <v>52.36</v>
      </c>
      <c r="BO2174" s="2">
        <v>52.36</v>
      </c>
      <c r="BQ2174" s="2" t="s">
        <v>102</v>
      </c>
      <c r="BR2174" s="2" t="s">
        <v>103</v>
      </c>
      <c r="BS2174" s="3">
        <v>43084</v>
      </c>
      <c r="BT2174" s="4">
        <v>0.41666666666666669</v>
      </c>
      <c r="BU2174" s="2" t="s">
        <v>2452</v>
      </c>
      <c r="BV2174" s="2" t="s">
        <v>85</v>
      </c>
      <c r="BY2174" s="2">
        <v>1200</v>
      </c>
      <c r="CA2174" s="2" t="s">
        <v>293</v>
      </c>
      <c r="CC2174" s="2" t="s">
        <v>146</v>
      </c>
      <c r="CD2174" s="2">
        <v>5201</v>
      </c>
      <c r="CE2174" s="2" t="s">
        <v>120</v>
      </c>
      <c r="CF2174" s="3">
        <v>43088</v>
      </c>
      <c r="CI2174" s="2">
        <v>1</v>
      </c>
      <c r="CJ2174" s="2">
        <v>1</v>
      </c>
      <c r="CK2174" s="2">
        <v>21</v>
      </c>
      <c r="CL2174" s="2" t="s">
        <v>89</v>
      </c>
    </row>
    <row r="2175" spans="1:90">
      <c r="A2175" s="2" t="s">
        <v>71</v>
      </c>
      <c r="B2175" s="2" t="s">
        <v>72</v>
      </c>
      <c r="C2175" s="2" t="s">
        <v>73</v>
      </c>
      <c r="E2175" s="2" t="str">
        <f>"FES1162595870"</f>
        <v>FES1162595870</v>
      </c>
      <c r="F2175" s="3">
        <v>43083</v>
      </c>
      <c r="G2175" s="2">
        <v>201806</v>
      </c>
      <c r="H2175" s="2" t="s">
        <v>74</v>
      </c>
      <c r="I2175" s="2" t="s">
        <v>75</v>
      </c>
      <c r="J2175" s="2" t="s">
        <v>97</v>
      </c>
      <c r="K2175" s="2" t="s">
        <v>77</v>
      </c>
      <c r="L2175" s="2" t="s">
        <v>136</v>
      </c>
      <c r="M2175" s="2" t="s">
        <v>137</v>
      </c>
      <c r="N2175" s="2" t="s">
        <v>1735</v>
      </c>
      <c r="O2175" s="2" t="s">
        <v>101</v>
      </c>
      <c r="P2175" s="2" t="str">
        <f>"2170607430                    "</f>
        <v xml:space="preserve">2170607430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59.49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11.2</v>
      </c>
      <c r="BJ2175" s="2">
        <v>18.100000000000001</v>
      </c>
      <c r="BK2175" s="2">
        <v>18.5</v>
      </c>
      <c r="BL2175" s="2">
        <v>424.7</v>
      </c>
      <c r="BM2175" s="2">
        <v>59.46</v>
      </c>
      <c r="BN2175" s="2">
        <v>484.16</v>
      </c>
      <c r="BO2175" s="2">
        <v>484.16</v>
      </c>
      <c r="BQ2175" s="2" t="s">
        <v>82</v>
      </c>
      <c r="BR2175" s="2" t="s">
        <v>103</v>
      </c>
      <c r="BS2175" s="3">
        <v>43084</v>
      </c>
      <c r="BT2175" s="4">
        <v>0.42291666666666666</v>
      </c>
      <c r="BU2175" s="2" t="s">
        <v>2400</v>
      </c>
      <c r="BV2175" s="2" t="s">
        <v>85</v>
      </c>
      <c r="BY2175" s="2">
        <v>90261.86</v>
      </c>
      <c r="CA2175" s="2" t="s">
        <v>2354</v>
      </c>
      <c r="CC2175" s="2" t="s">
        <v>137</v>
      </c>
      <c r="CD2175" s="2">
        <v>6001</v>
      </c>
      <c r="CE2175" s="2" t="s">
        <v>95</v>
      </c>
      <c r="CF2175" s="3">
        <v>43088</v>
      </c>
      <c r="CI2175" s="2">
        <v>1</v>
      </c>
      <c r="CJ2175" s="2">
        <v>1</v>
      </c>
      <c r="CK2175" s="2">
        <v>21</v>
      </c>
      <c r="CL2175" s="2" t="s">
        <v>89</v>
      </c>
    </row>
    <row r="2176" spans="1:90">
      <c r="A2176" s="2" t="s">
        <v>71</v>
      </c>
      <c r="B2176" s="2" t="s">
        <v>72</v>
      </c>
      <c r="C2176" s="2" t="s">
        <v>73</v>
      </c>
      <c r="E2176" s="2" t="str">
        <f>"FES1162595857"</f>
        <v>FES1162595857</v>
      </c>
      <c r="F2176" s="3">
        <v>43083</v>
      </c>
      <c r="G2176" s="2">
        <v>201806</v>
      </c>
      <c r="H2176" s="2" t="s">
        <v>74</v>
      </c>
      <c r="I2176" s="2" t="s">
        <v>75</v>
      </c>
      <c r="J2176" s="2" t="s">
        <v>97</v>
      </c>
      <c r="K2176" s="2" t="s">
        <v>77</v>
      </c>
      <c r="L2176" s="2" t="s">
        <v>168</v>
      </c>
      <c r="M2176" s="2" t="s">
        <v>169</v>
      </c>
      <c r="N2176" s="2" t="s">
        <v>1614</v>
      </c>
      <c r="O2176" s="2" t="s">
        <v>101</v>
      </c>
      <c r="P2176" s="2" t="str">
        <f>"2170607190                    "</f>
        <v xml:space="preserve">2170607190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24.12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7.5</v>
      </c>
      <c r="BJ2176" s="2">
        <v>5</v>
      </c>
      <c r="BK2176" s="2">
        <v>7.5</v>
      </c>
      <c r="BL2176" s="2">
        <v>172.19</v>
      </c>
      <c r="BM2176" s="2">
        <v>24.11</v>
      </c>
      <c r="BN2176" s="2">
        <v>196.3</v>
      </c>
      <c r="BO2176" s="2">
        <v>196.3</v>
      </c>
      <c r="BQ2176" s="2" t="s">
        <v>102</v>
      </c>
      <c r="BR2176" s="2" t="s">
        <v>103</v>
      </c>
      <c r="BS2176" s="3">
        <v>43084</v>
      </c>
      <c r="BT2176" s="4">
        <v>0.36874999999999997</v>
      </c>
      <c r="BU2176" s="2" t="s">
        <v>2260</v>
      </c>
      <c r="BV2176" s="2" t="s">
        <v>85</v>
      </c>
      <c r="BY2176" s="2">
        <v>24849.200000000001</v>
      </c>
      <c r="CA2176" s="2" t="s">
        <v>220</v>
      </c>
      <c r="CC2176" s="2" t="s">
        <v>169</v>
      </c>
      <c r="CD2176" s="2">
        <v>3610</v>
      </c>
      <c r="CE2176" s="2" t="s">
        <v>95</v>
      </c>
      <c r="CF2176" s="3">
        <v>43087</v>
      </c>
      <c r="CI2176" s="2">
        <v>1</v>
      </c>
      <c r="CJ2176" s="2">
        <v>1</v>
      </c>
      <c r="CK2176" s="2">
        <v>21</v>
      </c>
      <c r="CL2176" s="2" t="s">
        <v>89</v>
      </c>
    </row>
    <row r="2177" spans="1:90">
      <c r="A2177" s="2" t="s">
        <v>71</v>
      </c>
      <c r="B2177" s="2" t="s">
        <v>72</v>
      </c>
      <c r="C2177" s="2" t="s">
        <v>73</v>
      </c>
      <c r="E2177" s="2" t="str">
        <f>"FES1162595928"</f>
        <v>FES1162595928</v>
      </c>
      <c r="F2177" s="3">
        <v>43083</v>
      </c>
      <c r="G2177" s="2">
        <v>201806</v>
      </c>
      <c r="H2177" s="2" t="s">
        <v>74</v>
      </c>
      <c r="I2177" s="2" t="s">
        <v>75</v>
      </c>
      <c r="J2177" s="2" t="s">
        <v>97</v>
      </c>
      <c r="K2177" s="2" t="s">
        <v>77</v>
      </c>
      <c r="L2177" s="2" t="s">
        <v>125</v>
      </c>
      <c r="M2177" s="2" t="s">
        <v>126</v>
      </c>
      <c r="N2177" s="2" t="s">
        <v>2453</v>
      </c>
      <c r="O2177" s="2" t="s">
        <v>101</v>
      </c>
      <c r="P2177" s="2" t="str">
        <f>"2170604300                    "</f>
        <v xml:space="preserve">2170604300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6.43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1</v>
      </c>
      <c r="BJ2177" s="2">
        <v>0.2</v>
      </c>
      <c r="BK2177" s="2">
        <v>1</v>
      </c>
      <c r="BL2177" s="2">
        <v>45.93</v>
      </c>
      <c r="BM2177" s="2">
        <v>6.43</v>
      </c>
      <c r="BN2177" s="2">
        <v>52.36</v>
      </c>
      <c r="BO2177" s="2">
        <v>52.36</v>
      </c>
      <c r="BQ2177" s="2" t="s">
        <v>102</v>
      </c>
      <c r="BR2177" s="2" t="s">
        <v>103</v>
      </c>
      <c r="BS2177" s="3">
        <v>43084</v>
      </c>
      <c r="BT2177" s="4">
        <v>0.3576388888888889</v>
      </c>
      <c r="BU2177" s="2" t="s">
        <v>2454</v>
      </c>
      <c r="BV2177" s="2" t="s">
        <v>85</v>
      </c>
      <c r="BY2177" s="2">
        <v>1200</v>
      </c>
      <c r="CA2177" s="2" t="s">
        <v>666</v>
      </c>
      <c r="CC2177" s="2" t="s">
        <v>126</v>
      </c>
      <c r="CD2177" s="2">
        <v>4001</v>
      </c>
      <c r="CE2177" s="2" t="s">
        <v>120</v>
      </c>
      <c r="CF2177" s="3">
        <v>43087</v>
      </c>
      <c r="CI2177" s="2">
        <v>1</v>
      </c>
      <c r="CJ2177" s="2">
        <v>1</v>
      </c>
      <c r="CK2177" s="2">
        <v>21</v>
      </c>
      <c r="CL2177" s="2" t="s">
        <v>89</v>
      </c>
    </row>
    <row r="2178" spans="1:90">
      <c r="A2178" s="2" t="s">
        <v>71</v>
      </c>
      <c r="B2178" s="2" t="s">
        <v>72</v>
      </c>
      <c r="C2178" s="2" t="s">
        <v>73</v>
      </c>
      <c r="E2178" s="2" t="str">
        <f>"FES1162596199"</f>
        <v>FES1162596199</v>
      </c>
      <c r="F2178" s="3">
        <v>43083</v>
      </c>
      <c r="G2178" s="2">
        <v>201806</v>
      </c>
      <c r="H2178" s="2" t="s">
        <v>74</v>
      </c>
      <c r="I2178" s="2" t="s">
        <v>75</v>
      </c>
      <c r="J2178" s="2" t="s">
        <v>97</v>
      </c>
      <c r="K2178" s="2" t="s">
        <v>77</v>
      </c>
      <c r="L2178" s="2" t="s">
        <v>526</v>
      </c>
      <c r="M2178" s="2" t="s">
        <v>527</v>
      </c>
      <c r="N2178" s="2" t="s">
        <v>1355</v>
      </c>
      <c r="O2178" s="2" t="s">
        <v>101</v>
      </c>
      <c r="P2178" s="2" t="str">
        <f>"2170607583                    "</f>
        <v xml:space="preserve">2170607583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12.87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3.7</v>
      </c>
      <c r="BJ2178" s="2">
        <v>1.4</v>
      </c>
      <c r="BK2178" s="2">
        <v>4</v>
      </c>
      <c r="BL2178" s="2">
        <v>91.85</v>
      </c>
      <c r="BM2178" s="2">
        <v>12.86</v>
      </c>
      <c r="BN2178" s="2">
        <v>104.71</v>
      </c>
      <c r="BO2178" s="2">
        <v>104.71</v>
      </c>
      <c r="BQ2178" s="2" t="s">
        <v>82</v>
      </c>
      <c r="BR2178" s="2" t="s">
        <v>103</v>
      </c>
      <c r="BS2178" s="3">
        <v>43084</v>
      </c>
      <c r="BT2178" s="4">
        <v>0.41666666666666669</v>
      </c>
      <c r="BU2178" s="2" t="s">
        <v>2455</v>
      </c>
      <c r="BV2178" s="2" t="s">
        <v>85</v>
      </c>
      <c r="BY2178" s="2">
        <v>7206.81</v>
      </c>
      <c r="CA2178" s="2" t="s">
        <v>530</v>
      </c>
      <c r="CC2178" s="2" t="s">
        <v>527</v>
      </c>
      <c r="CD2178" s="2">
        <v>6850</v>
      </c>
      <c r="CE2178" s="2" t="s">
        <v>95</v>
      </c>
      <c r="CF2178" s="3">
        <v>43087</v>
      </c>
      <c r="CI2178" s="2">
        <v>3</v>
      </c>
      <c r="CJ2178" s="2">
        <v>1</v>
      </c>
      <c r="CK2178" s="2">
        <v>21</v>
      </c>
      <c r="CL2178" s="2" t="s">
        <v>89</v>
      </c>
    </row>
    <row r="2179" spans="1:90">
      <c r="A2179" s="2" t="s">
        <v>71</v>
      </c>
      <c r="B2179" s="2" t="s">
        <v>72</v>
      </c>
      <c r="C2179" s="2" t="s">
        <v>73</v>
      </c>
      <c r="E2179" s="2" t="str">
        <f>"FES1162595980"</f>
        <v>FES1162595980</v>
      </c>
      <c r="F2179" s="3">
        <v>43083</v>
      </c>
      <c r="G2179" s="2">
        <v>201806</v>
      </c>
      <c r="H2179" s="2" t="s">
        <v>74</v>
      </c>
      <c r="I2179" s="2" t="s">
        <v>75</v>
      </c>
      <c r="J2179" s="2" t="s">
        <v>97</v>
      </c>
      <c r="K2179" s="2" t="s">
        <v>77</v>
      </c>
      <c r="L2179" s="2" t="s">
        <v>325</v>
      </c>
      <c r="M2179" s="2" t="s">
        <v>326</v>
      </c>
      <c r="N2179" s="2" t="s">
        <v>1129</v>
      </c>
      <c r="O2179" s="2" t="s">
        <v>101</v>
      </c>
      <c r="P2179" s="2" t="str">
        <f>"2170604189                    "</f>
        <v xml:space="preserve">2170604189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6.43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1</v>
      </c>
      <c r="BJ2179" s="2">
        <v>0.2</v>
      </c>
      <c r="BK2179" s="2">
        <v>1</v>
      </c>
      <c r="BL2179" s="2">
        <v>45.93</v>
      </c>
      <c r="BM2179" s="2">
        <v>6.43</v>
      </c>
      <c r="BN2179" s="2">
        <v>52.36</v>
      </c>
      <c r="BO2179" s="2">
        <v>52.36</v>
      </c>
      <c r="BQ2179" s="2" t="s">
        <v>102</v>
      </c>
      <c r="BR2179" s="2" t="s">
        <v>103</v>
      </c>
      <c r="BS2179" s="3">
        <v>43084</v>
      </c>
      <c r="BT2179" s="4">
        <v>0.39097222222222222</v>
      </c>
      <c r="BU2179" s="2" t="s">
        <v>2334</v>
      </c>
      <c r="BV2179" s="2" t="s">
        <v>85</v>
      </c>
      <c r="BY2179" s="2">
        <v>1200</v>
      </c>
      <c r="CA2179" s="2" t="s">
        <v>1010</v>
      </c>
      <c r="CC2179" s="2" t="s">
        <v>326</v>
      </c>
      <c r="CD2179" s="2">
        <v>1939</v>
      </c>
      <c r="CE2179" s="2" t="s">
        <v>120</v>
      </c>
      <c r="CF2179" s="3">
        <v>43088</v>
      </c>
      <c r="CI2179" s="2">
        <v>1</v>
      </c>
      <c r="CJ2179" s="2">
        <v>1</v>
      </c>
      <c r="CK2179" s="2">
        <v>21</v>
      </c>
      <c r="CL2179" s="2" t="s">
        <v>89</v>
      </c>
    </row>
    <row r="2180" spans="1:90">
      <c r="A2180" s="2" t="s">
        <v>71</v>
      </c>
      <c r="B2180" s="2" t="s">
        <v>72</v>
      </c>
      <c r="C2180" s="2" t="s">
        <v>73</v>
      </c>
      <c r="E2180" s="2" t="str">
        <f>"FES1162596158"</f>
        <v>FES1162596158</v>
      </c>
      <c r="F2180" s="3">
        <v>43083</v>
      </c>
      <c r="G2180" s="2">
        <v>201806</v>
      </c>
      <c r="H2180" s="2" t="s">
        <v>74</v>
      </c>
      <c r="I2180" s="2" t="s">
        <v>75</v>
      </c>
      <c r="J2180" s="2" t="s">
        <v>97</v>
      </c>
      <c r="K2180" s="2" t="s">
        <v>77</v>
      </c>
      <c r="L2180" s="2" t="s">
        <v>526</v>
      </c>
      <c r="M2180" s="2" t="s">
        <v>527</v>
      </c>
      <c r="N2180" s="2" t="s">
        <v>528</v>
      </c>
      <c r="O2180" s="2" t="s">
        <v>101</v>
      </c>
      <c r="P2180" s="2" t="str">
        <f>"2170607906                    "</f>
        <v xml:space="preserve">2170607906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6.43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</v>
      </c>
      <c r="BJ2180" s="2">
        <v>0.2</v>
      </c>
      <c r="BK2180" s="2">
        <v>1</v>
      </c>
      <c r="BL2180" s="2">
        <v>45.93</v>
      </c>
      <c r="BM2180" s="2">
        <v>6.43</v>
      </c>
      <c r="BN2180" s="2">
        <v>52.36</v>
      </c>
      <c r="BO2180" s="2">
        <v>52.36</v>
      </c>
      <c r="BQ2180" s="2" t="s">
        <v>128</v>
      </c>
      <c r="BR2180" s="2" t="s">
        <v>103</v>
      </c>
      <c r="BS2180" s="3">
        <v>43084</v>
      </c>
      <c r="BT2180" s="4">
        <v>0.4236111111111111</v>
      </c>
      <c r="BU2180" s="2" t="s">
        <v>2375</v>
      </c>
      <c r="BV2180" s="2" t="s">
        <v>85</v>
      </c>
      <c r="BY2180" s="2">
        <v>1200</v>
      </c>
      <c r="CA2180" s="2" t="s">
        <v>530</v>
      </c>
      <c r="CC2180" s="2" t="s">
        <v>527</v>
      </c>
      <c r="CD2180" s="2">
        <v>6850</v>
      </c>
      <c r="CE2180" s="2" t="s">
        <v>120</v>
      </c>
      <c r="CF2180" s="3">
        <v>43087</v>
      </c>
      <c r="CI2180" s="2">
        <v>3</v>
      </c>
      <c r="CJ2180" s="2">
        <v>1</v>
      </c>
      <c r="CK2180" s="2">
        <v>21</v>
      </c>
      <c r="CL2180" s="2" t="s">
        <v>89</v>
      </c>
    </row>
    <row r="2181" spans="1:90">
      <c r="A2181" s="2" t="s">
        <v>71</v>
      </c>
      <c r="B2181" s="2" t="s">
        <v>72</v>
      </c>
      <c r="C2181" s="2" t="s">
        <v>73</v>
      </c>
      <c r="E2181" s="2" t="str">
        <f>"FES1162596115"</f>
        <v>FES1162596115</v>
      </c>
      <c r="F2181" s="3">
        <v>43083</v>
      </c>
      <c r="G2181" s="2">
        <v>201806</v>
      </c>
      <c r="H2181" s="2" t="s">
        <v>74</v>
      </c>
      <c r="I2181" s="2" t="s">
        <v>75</v>
      </c>
      <c r="J2181" s="2" t="s">
        <v>97</v>
      </c>
      <c r="K2181" s="2" t="s">
        <v>77</v>
      </c>
      <c r="L2181" s="2" t="s">
        <v>212</v>
      </c>
      <c r="M2181" s="2" t="s">
        <v>212</v>
      </c>
      <c r="N2181" s="2" t="s">
        <v>370</v>
      </c>
      <c r="O2181" s="2" t="s">
        <v>101</v>
      </c>
      <c r="P2181" s="2" t="str">
        <f>"2170607852                    "</f>
        <v xml:space="preserve">2170607852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6.43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1</v>
      </c>
      <c r="BJ2181" s="2">
        <v>0.2</v>
      </c>
      <c r="BK2181" s="2">
        <v>1</v>
      </c>
      <c r="BL2181" s="2">
        <v>45.93</v>
      </c>
      <c r="BM2181" s="2">
        <v>6.43</v>
      </c>
      <c r="BN2181" s="2">
        <v>52.36</v>
      </c>
      <c r="BO2181" s="2">
        <v>52.36</v>
      </c>
      <c r="BQ2181" s="2" t="s">
        <v>102</v>
      </c>
      <c r="BR2181" s="2" t="s">
        <v>103</v>
      </c>
      <c r="BS2181" s="3">
        <v>43084</v>
      </c>
      <c r="BT2181" s="4">
        <v>0.61458333333333337</v>
      </c>
      <c r="BU2181" s="2" t="s">
        <v>2254</v>
      </c>
      <c r="BV2181" s="2" t="s">
        <v>89</v>
      </c>
      <c r="BW2181" s="2" t="s">
        <v>149</v>
      </c>
      <c r="BX2181" s="2" t="s">
        <v>2377</v>
      </c>
      <c r="BY2181" s="2">
        <v>1200</v>
      </c>
      <c r="CC2181" s="2" t="s">
        <v>212</v>
      </c>
      <c r="CD2181" s="2">
        <v>7646</v>
      </c>
      <c r="CE2181" s="2" t="s">
        <v>120</v>
      </c>
      <c r="CF2181" s="3">
        <v>43087</v>
      </c>
      <c r="CI2181" s="2">
        <v>1</v>
      </c>
      <c r="CJ2181" s="2">
        <v>1</v>
      </c>
      <c r="CK2181" s="2">
        <v>21</v>
      </c>
      <c r="CL2181" s="2" t="s">
        <v>89</v>
      </c>
    </row>
    <row r="2182" spans="1:90">
      <c r="A2182" s="2" t="s">
        <v>71</v>
      </c>
      <c r="B2182" s="2" t="s">
        <v>72</v>
      </c>
      <c r="C2182" s="2" t="s">
        <v>73</v>
      </c>
      <c r="E2182" s="2" t="str">
        <f>"FES1162596029"</f>
        <v>FES1162596029</v>
      </c>
      <c r="F2182" s="3">
        <v>43083</v>
      </c>
      <c r="G2182" s="2">
        <v>201806</v>
      </c>
      <c r="H2182" s="2" t="s">
        <v>74</v>
      </c>
      <c r="I2182" s="2" t="s">
        <v>75</v>
      </c>
      <c r="J2182" s="2" t="s">
        <v>97</v>
      </c>
      <c r="K2182" s="2" t="s">
        <v>77</v>
      </c>
      <c r="L2182" s="2" t="s">
        <v>106</v>
      </c>
      <c r="M2182" s="2" t="s">
        <v>107</v>
      </c>
      <c r="N2182" s="2" t="s">
        <v>2456</v>
      </c>
      <c r="O2182" s="2" t="s">
        <v>101</v>
      </c>
      <c r="P2182" s="2" t="str">
        <f>"2170607328                    "</f>
        <v xml:space="preserve">2170607328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5.03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1</v>
      </c>
      <c r="BJ2182" s="2">
        <v>0.2</v>
      </c>
      <c r="BK2182" s="2">
        <v>1</v>
      </c>
      <c r="BL2182" s="2">
        <v>35.89</v>
      </c>
      <c r="BM2182" s="2">
        <v>5.0199999999999996</v>
      </c>
      <c r="BN2182" s="2">
        <v>40.909999999999997</v>
      </c>
      <c r="BO2182" s="2">
        <v>40.909999999999997</v>
      </c>
      <c r="BQ2182" s="2" t="s">
        <v>142</v>
      </c>
      <c r="BR2182" s="2" t="s">
        <v>103</v>
      </c>
      <c r="BS2182" s="3">
        <v>43084</v>
      </c>
      <c r="BT2182" s="4">
        <v>0.33333333333333331</v>
      </c>
      <c r="BU2182" s="2" t="s">
        <v>2457</v>
      </c>
      <c r="BV2182" s="2" t="s">
        <v>85</v>
      </c>
      <c r="BY2182" s="2">
        <v>1200</v>
      </c>
      <c r="CA2182" s="2" t="s">
        <v>110</v>
      </c>
      <c r="CC2182" s="2" t="s">
        <v>107</v>
      </c>
      <c r="CD2182" s="2">
        <v>2094</v>
      </c>
      <c r="CE2182" s="2" t="s">
        <v>120</v>
      </c>
      <c r="CF2182" s="3">
        <v>43087</v>
      </c>
      <c r="CI2182" s="2">
        <v>1</v>
      </c>
      <c r="CJ2182" s="2">
        <v>1</v>
      </c>
      <c r="CK2182" s="2">
        <v>22</v>
      </c>
      <c r="CL2182" s="2" t="s">
        <v>89</v>
      </c>
    </row>
    <row r="2183" spans="1:90">
      <c r="A2183" s="2" t="s">
        <v>71</v>
      </c>
      <c r="B2183" s="2" t="s">
        <v>72</v>
      </c>
      <c r="C2183" s="2" t="s">
        <v>73</v>
      </c>
      <c r="E2183" s="2" t="str">
        <f>"FES1162596167"</f>
        <v>FES1162596167</v>
      </c>
      <c r="F2183" s="3">
        <v>43083</v>
      </c>
      <c r="G2183" s="2">
        <v>201806</v>
      </c>
      <c r="H2183" s="2" t="s">
        <v>74</v>
      </c>
      <c r="I2183" s="2" t="s">
        <v>75</v>
      </c>
      <c r="J2183" s="2" t="s">
        <v>97</v>
      </c>
      <c r="K2183" s="2" t="s">
        <v>77</v>
      </c>
      <c r="L2183" s="2" t="s">
        <v>325</v>
      </c>
      <c r="M2183" s="2" t="s">
        <v>326</v>
      </c>
      <c r="N2183" s="2" t="s">
        <v>1129</v>
      </c>
      <c r="O2183" s="2" t="s">
        <v>101</v>
      </c>
      <c r="P2183" s="2" t="str">
        <f>"2170607211                    "</f>
        <v xml:space="preserve">2170607211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6.43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</v>
      </c>
      <c r="BJ2183" s="2">
        <v>0.2</v>
      </c>
      <c r="BK2183" s="2">
        <v>1</v>
      </c>
      <c r="BL2183" s="2">
        <v>45.93</v>
      </c>
      <c r="BM2183" s="2">
        <v>6.43</v>
      </c>
      <c r="BN2183" s="2">
        <v>52.36</v>
      </c>
      <c r="BO2183" s="2">
        <v>52.36</v>
      </c>
      <c r="BQ2183" s="2" t="s">
        <v>102</v>
      </c>
      <c r="BR2183" s="2" t="s">
        <v>103</v>
      </c>
      <c r="BS2183" s="3">
        <v>43084</v>
      </c>
      <c r="BT2183" s="4">
        <v>0.39166666666666666</v>
      </c>
      <c r="BU2183" s="2" t="s">
        <v>2458</v>
      </c>
      <c r="BV2183" s="2" t="s">
        <v>85</v>
      </c>
      <c r="BY2183" s="2">
        <v>1200</v>
      </c>
      <c r="CA2183" s="2" t="s">
        <v>1010</v>
      </c>
      <c r="CC2183" s="2" t="s">
        <v>326</v>
      </c>
      <c r="CD2183" s="2">
        <v>1939</v>
      </c>
      <c r="CE2183" s="2" t="s">
        <v>120</v>
      </c>
      <c r="CF2183" s="3">
        <v>43088</v>
      </c>
      <c r="CI2183" s="2">
        <v>1</v>
      </c>
      <c r="CJ2183" s="2">
        <v>1</v>
      </c>
      <c r="CK2183" s="2">
        <v>21</v>
      </c>
      <c r="CL2183" s="2" t="s">
        <v>89</v>
      </c>
    </row>
    <row r="2184" spans="1:90">
      <c r="A2184" s="2" t="s">
        <v>71</v>
      </c>
      <c r="B2184" s="2" t="s">
        <v>72</v>
      </c>
      <c r="C2184" s="2" t="s">
        <v>73</v>
      </c>
      <c r="E2184" s="2" t="str">
        <f>"FES1162595864"</f>
        <v>FES1162595864</v>
      </c>
      <c r="F2184" s="3">
        <v>43083</v>
      </c>
      <c r="G2184" s="2">
        <v>201806</v>
      </c>
      <c r="H2184" s="2" t="s">
        <v>74</v>
      </c>
      <c r="I2184" s="2" t="s">
        <v>75</v>
      </c>
      <c r="J2184" s="2" t="s">
        <v>97</v>
      </c>
      <c r="K2184" s="2" t="s">
        <v>77</v>
      </c>
      <c r="L2184" s="2" t="s">
        <v>221</v>
      </c>
      <c r="M2184" s="2" t="s">
        <v>222</v>
      </c>
      <c r="N2184" s="2" t="s">
        <v>2459</v>
      </c>
      <c r="O2184" s="2" t="s">
        <v>101</v>
      </c>
      <c r="P2184" s="2" t="str">
        <f>"217058853                     "</f>
        <v xml:space="preserve">217058853 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6.43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1</v>
      </c>
      <c r="BJ2184" s="2">
        <v>0.2</v>
      </c>
      <c r="BK2184" s="2">
        <v>1</v>
      </c>
      <c r="BL2184" s="2">
        <v>45.93</v>
      </c>
      <c r="BM2184" s="2">
        <v>6.43</v>
      </c>
      <c r="BN2184" s="2">
        <v>52.36</v>
      </c>
      <c r="BO2184" s="2">
        <v>52.36</v>
      </c>
      <c r="BQ2184" s="2" t="s">
        <v>102</v>
      </c>
      <c r="BR2184" s="2" t="s">
        <v>103</v>
      </c>
      <c r="BS2184" s="3">
        <v>43084</v>
      </c>
      <c r="BT2184" s="4">
        <v>0.46458333333333335</v>
      </c>
      <c r="BU2184" s="2" t="s">
        <v>2460</v>
      </c>
      <c r="BV2184" s="2" t="s">
        <v>89</v>
      </c>
      <c r="BW2184" s="2" t="s">
        <v>149</v>
      </c>
      <c r="BX2184" s="2" t="s">
        <v>219</v>
      </c>
      <c r="BY2184" s="2">
        <v>1200</v>
      </c>
      <c r="CA2184" s="2" t="s">
        <v>225</v>
      </c>
      <c r="CC2184" s="2" t="s">
        <v>222</v>
      </c>
      <c r="CD2184" s="2">
        <v>4115</v>
      </c>
      <c r="CE2184" s="2" t="s">
        <v>120</v>
      </c>
      <c r="CF2184" s="3">
        <v>43087</v>
      </c>
      <c r="CI2184" s="2">
        <v>1</v>
      </c>
      <c r="CJ2184" s="2">
        <v>1</v>
      </c>
      <c r="CK2184" s="2">
        <v>21</v>
      </c>
      <c r="CL2184" s="2" t="s">
        <v>89</v>
      </c>
    </row>
    <row r="2185" spans="1:90">
      <c r="A2185" s="2" t="s">
        <v>71</v>
      </c>
      <c r="B2185" s="2" t="s">
        <v>72</v>
      </c>
      <c r="C2185" s="2" t="s">
        <v>73</v>
      </c>
      <c r="E2185" s="2" t="str">
        <f>"FES1162596080"</f>
        <v>FES1162596080</v>
      </c>
      <c r="F2185" s="3">
        <v>43083</v>
      </c>
      <c r="G2185" s="2">
        <v>201806</v>
      </c>
      <c r="H2185" s="2" t="s">
        <v>74</v>
      </c>
      <c r="I2185" s="2" t="s">
        <v>75</v>
      </c>
      <c r="J2185" s="2" t="s">
        <v>97</v>
      </c>
      <c r="K2185" s="2" t="s">
        <v>77</v>
      </c>
      <c r="L2185" s="2" t="s">
        <v>125</v>
      </c>
      <c r="M2185" s="2" t="s">
        <v>126</v>
      </c>
      <c r="N2185" s="2" t="s">
        <v>664</v>
      </c>
      <c r="O2185" s="2" t="s">
        <v>101</v>
      </c>
      <c r="P2185" s="2" t="str">
        <f>"2170607826                    "</f>
        <v xml:space="preserve">2170607826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6.43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45.93</v>
      </c>
      <c r="BM2185" s="2">
        <v>6.43</v>
      </c>
      <c r="BN2185" s="2">
        <v>52.36</v>
      </c>
      <c r="BO2185" s="2">
        <v>52.36</v>
      </c>
      <c r="BQ2185" s="2" t="s">
        <v>102</v>
      </c>
      <c r="BR2185" s="2" t="s">
        <v>103</v>
      </c>
      <c r="BS2185" s="3">
        <v>43084</v>
      </c>
      <c r="BT2185" s="4">
        <v>0.41666666666666669</v>
      </c>
      <c r="BU2185" s="2" t="s">
        <v>2461</v>
      </c>
      <c r="BV2185" s="2" t="s">
        <v>85</v>
      </c>
      <c r="BY2185" s="2">
        <v>1200</v>
      </c>
      <c r="CC2185" s="2" t="s">
        <v>126</v>
      </c>
      <c r="CD2185" s="2">
        <v>4001</v>
      </c>
      <c r="CE2185" s="2" t="s">
        <v>120</v>
      </c>
      <c r="CF2185" s="3">
        <v>43087</v>
      </c>
      <c r="CI2185" s="2">
        <v>1</v>
      </c>
      <c r="CJ2185" s="2">
        <v>1</v>
      </c>
      <c r="CK2185" s="2">
        <v>21</v>
      </c>
      <c r="CL2185" s="2" t="s">
        <v>89</v>
      </c>
    </row>
    <row r="2186" spans="1:90">
      <c r="A2186" s="2" t="s">
        <v>71</v>
      </c>
      <c r="B2186" s="2" t="s">
        <v>72</v>
      </c>
      <c r="C2186" s="2" t="s">
        <v>73</v>
      </c>
      <c r="E2186" s="2" t="str">
        <f>"FES1162596068"</f>
        <v>FES1162596068</v>
      </c>
      <c r="F2186" s="3">
        <v>43083</v>
      </c>
      <c r="G2186" s="2">
        <v>201806</v>
      </c>
      <c r="H2186" s="2" t="s">
        <v>74</v>
      </c>
      <c r="I2186" s="2" t="s">
        <v>75</v>
      </c>
      <c r="J2186" s="2" t="s">
        <v>97</v>
      </c>
      <c r="K2186" s="2" t="s">
        <v>77</v>
      </c>
      <c r="L2186" s="2" t="s">
        <v>98</v>
      </c>
      <c r="M2186" s="2" t="s">
        <v>99</v>
      </c>
      <c r="N2186" s="2" t="s">
        <v>607</v>
      </c>
      <c r="O2186" s="2" t="s">
        <v>101</v>
      </c>
      <c r="P2186" s="2" t="str">
        <f>"2170607811                    "</f>
        <v xml:space="preserve">2170607811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6.43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1</v>
      </c>
      <c r="BJ2186" s="2">
        <v>0.2</v>
      </c>
      <c r="BK2186" s="2">
        <v>1</v>
      </c>
      <c r="BL2186" s="2">
        <v>45.93</v>
      </c>
      <c r="BM2186" s="2">
        <v>6.43</v>
      </c>
      <c r="BN2186" s="2">
        <v>52.36</v>
      </c>
      <c r="BO2186" s="2">
        <v>52.36</v>
      </c>
      <c r="BQ2186" s="2" t="s">
        <v>102</v>
      </c>
      <c r="BR2186" s="2" t="s">
        <v>103</v>
      </c>
      <c r="BS2186" s="3">
        <v>43087</v>
      </c>
      <c r="BT2186" s="4">
        <v>0.40625</v>
      </c>
      <c r="BU2186" s="2" t="s">
        <v>2197</v>
      </c>
      <c r="BV2186" s="2" t="s">
        <v>89</v>
      </c>
      <c r="BW2186" s="2" t="s">
        <v>149</v>
      </c>
      <c r="BX2186" s="2" t="s">
        <v>1390</v>
      </c>
      <c r="BY2186" s="2">
        <v>1200</v>
      </c>
      <c r="CA2186" s="2" t="s">
        <v>497</v>
      </c>
      <c r="CC2186" s="2" t="s">
        <v>99</v>
      </c>
      <c r="CD2186" s="2">
        <v>3201</v>
      </c>
      <c r="CE2186" s="2" t="s">
        <v>120</v>
      </c>
      <c r="CF2186" s="3">
        <v>43089</v>
      </c>
      <c r="CI2186" s="2">
        <v>1</v>
      </c>
      <c r="CJ2186" s="2">
        <v>2</v>
      </c>
      <c r="CK2186" s="2">
        <v>21</v>
      </c>
      <c r="CL2186" s="2" t="s">
        <v>89</v>
      </c>
    </row>
    <row r="2187" spans="1:90">
      <c r="A2187" s="2" t="s">
        <v>71</v>
      </c>
      <c r="B2187" s="2" t="s">
        <v>72</v>
      </c>
      <c r="C2187" s="2" t="s">
        <v>73</v>
      </c>
      <c r="E2187" s="2" t="str">
        <f>"FES1162596155"</f>
        <v>FES1162596155</v>
      </c>
      <c r="F2187" s="3">
        <v>43083</v>
      </c>
      <c r="G2187" s="2">
        <v>201806</v>
      </c>
      <c r="H2187" s="2" t="s">
        <v>74</v>
      </c>
      <c r="I2187" s="2" t="s">
        <v>75</v>
      </c>
      <c r="J2187" s="2" t="s">
        <v>97</v>
      </c>
      <c r="K2187" s="2" t="s">
        <v>77</v>
      </c>
      <c r="L2187" s="2" t="s">
        <v>125</v>
      </c>
      <c r="M2187" s="2" t="s">
        <v>126</v>
      </c>
      <c r="N2187" s="2" t="s">
        <v>664</v>
      </c>
      <c r="O2187" s="2" t="s">
        <v>101</v>
      </c>
      <c r="P2187" s="2" t="str">
        <f>"2170607902                    "</f>
        <v xml:space="preserve">2170607902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6.43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45.93</v>
      </c>
      <c r="BM2187" s="2">
        <v>6.43</v>
      </c>
      <c r="BN2187" s="2">
        <v>52.36</v>
      </c>
      <c r="BO2187" s="2">
        <v>52.36</v>
      </c>
      <c r="BQ2187" s="2" t="s">
        <v>102</v>
      </c>
      <c r="BR2187" s="2" t="s">
        <v>103</v>
      </c>
      <c r="BS2187" s="3">
        <v>43084</v>
      </c>
      <c r="BT2187" s="4">
        <v>0.41666666666666669</v>
      </c>
      <c r="BU2187" s="2" t="s">
        <v>665</v>
      </c>
      <c r="BV2187" s="2" t="s">
        <v>85</v>
      </c>
      <c r="BY2187" s="2">
        <v>1200</v>
      </c>
      <c r="CA2187" s="2" t="s">
        <v>666</v>
      </c>
      <c r="CC2187" s="2" t="s">
        <v>126</v>
      </c>
      <c r="CD2187" s="2">
        <v>4001</v>
      </c>
      <c r="CE2187" s="2" t="s">
        <v>120</v>
      </c>
      <c r="CF2187" s="3">
        <v>43087</v>
      </c>
      <c r="CI2187" s="2">
        <v>1</v>
      </c>
      <c r="CJ2187" s="2">
        <v>1</v>
      </c>
      <c r="CK2187" s="2">
        <v>21</v>
      </c>
      <c r="CL2187" s="2" t="s">
        <v>89</v>
      </c>
    </row>
    <row r="2188" spans="1:90">
      <c r="A2188" s="2" t="s">
        <v>71</v>
      </c>
      <c r="B2188" s="2" t="s">
        <v>72</v>
      </c>
      <c r="C2188" s="2" t="s">
        <v>73</v>
      </c>
      <c r="E2188" s="2" t="str">
        <f>"FES1162596117"</f>
        <v>FES1162596117</v>
      </c>
      <c r="F2188" s="3">
        <v>43083</v>
      </c>
      <c r="G2188" s="2">
        <v>201806</v>
      </c>
      <c r="H2188" s="2" t="s">
        <v>74</v>
      </c>
      <c r="I2188" s="2" t="s">
        <v>75</v>
      </c>
      <c r="J2188" s="2" t="s">
        <v>97</v>
      </c>
      <c r="K2188" s="2" t="s">
        <v>77</v>
      </c>
      <c r="L2188" s="2" t="s">
        <v>440</v>
      </c>
      <c r="M2188" s="2" t="s">
        <v>441</v>
      </c>
      <c r="N2188" s="2" t="s">
        <v>442</v>
      </c>
      <c r="O2188" s="2" t="s">
        <v>101</v>
      </c>
      <c r="P2188" s="2" t="str">
        <f>"2170607859                    "</f>
        <v xml:space="preserve">2170607859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9.0500000000000007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1</v>
      </c>
      <c r="BJ2188" s="2">
        <v>0.2</v>
      </c>
      <c r="BK2188" s="2">
        <v>1</v>
      </c>
      <c r="BL2188" s="2">
        <v>64.599999999999994</v>
      </c>
      <c r="BM2188" s="2">
        <v>9.0399999999999991</v>
      </c>
      <c r="BN2188" s="2">
        <v>73.64</v>
      </c>
      <c r="BO2188" s="2">
        <v>73.64</v>
      </c>
      <c r="BQ2188" s="2" t="s">
        <v>102</v>
      </c>
      <c r="BR2188" s="2" t="s">
        <v>103</v>
      </c>
      <c r="BS2188" s="3">
        <v>43084</v>
      </c>
      <c r="BT2188" s="4">
        <v>0.43333333333333335</v>
      </c>
      <c r="BU2188" s="2" t="s">
        <v>1461</v>
      </c>
      <c r="BV2188" s="2" t="s">
        <v>85</v>
      </c>
      <c r="BY2188" s="2">
        <v>1200</v>
      </c>
      <c r="CC2188" s="2" t="s">
        <v>441</v>
      </c>
      <c r="CD2188" s="2">
        <v>1759</v>
      </c>
      <c r="CE2188" s="2" t="s">
        <v>120</v>
      </c>
      <c r="CF2188" s="3">
        <v>43088</v>
      </c>
      <c r="CI2188" s="2">
        <v>1</v>
      </c>
      <c r="CJ2188" s="2">
        <v>1</v>
      </c>
      <c r="CK2188" s="2">
        <v>24</v>
      </c>
      <c r="CL2188" s="2" t="s">
        <v>89</v>
      </c>
    </row>
    <row r="2189" spans="1:90">
      <c r="A2189" s="2" t="s">
        <v>71</v>
      </c>
      <c r="B2189" s="2" t="s">
        <v>72</v>
      </c>
      <c r="C2189" s="2" t="s">
        <v>73</v>
      </c>
      <c r="E2189" s="2" t="str">
        <f>"FES1162595992"</f>
        <v>FES1162595992</v>
      </c>
      <c r="F2189" s="3">
        <v>43083</v>
      </c>
      <c r="G2189" s="2">
        <v>201806</v>
      </c>
      <c r="H2189" s="2" t="s">
        <v>74</v>
      </c>
      <c r="I2189" s="2" t="s">
        <v>75</v>
      </c>
      <c r="J2189" s="2" t="s">
        <v>97</v>
      </c>
      <c r="K2189" s="2" t="s">
        <v>77</v>
      </c>
      <c r="L2189" s="2" t="s">
        <v>74</v>
      </c>
      <c r="M2189" s="2" t="s">
        <v>75</v>
      </c>
      <c r="N2189" s="2" t="s">
        <v>204</v>
      </c>
      <c r="O2189" s="2" t="s">
        <v>101</v>
      </c>
      <c r="P2189" s="2" t="str">
        <f>"2170604432                    "</f>
        <v xml:space="preserve">2170604432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5.03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35.89</v>
      </c>
      <c r="BM2189" s="2">
        <v>5.0199999999999996</v>
      </c>
      <c r="BN2189" s="2">
        <v>40.909999999999997</v>
      </c>
      <c r="BO2189" s="2">
        <v>40.909999999999997</v>
      </c>
      <c r="BQ2189" s="2" t="s">
        <v>102</v>
      </c>
      <c r="BR2189" s="2" t="s">
        <v>103</v>
      </c>
      <c r="BS2189" s="3">
        <v>43084</v>
      </c>
      <c r="BT2189" s="4">
        <v>0.3125</v>
      </c>
      <c r="BU2189" s="2" t="s">
        <v>205</v>
      </c>
      <c r="BV2189" s="2" t="s">
        <v>85</v>
      </c>
      <c r="BY2189" s="2">
        <v>1200</v>
      </c>
      <c r="CA2189" s="2" t="s">
        <v>206</v>
      </c>
      <c r="CC2189" s="2" t="s">
        <v>75</v>
      </c>
      <c r="CD2189" s="2">
        <v>1645</v>
      </c>
      <c r="CE2189" s="2" t="s">
        <v>120</v>
      </c>
      <c r="CF2189" s="3">
        <v>43088</v>
      </c>
      <c r="CI2189" s="2">
        <v>1</v>
      </c>
      <c r="CJ2189" s="2">
        <v>1</v>
      </c>
      <c r="CK2189" s="2">
        <v>22</v>
      </c>
      <c r="CL2189" s="2" t="s">
        <v>89</v>
      </c>
    </row>
    <row r="2190" spans="1:90">
      <c r="A2190" s="2" t="s">
        <v>71</v>
      </c>
      <c r="B2190" s="2" t="s">
        <v>72</v>
      </c>
      <c r="C2190" s="2" t="s">
        <v>73</v>
      </c>
      <c r="E2190" s="2" t="str">
        <f>"FES1162596116"</f>
        <v>FES1162596116</v>
      </c>
      <c r="F2190" s="3">
        <v>43083</v>
      </c>
      <c r="G2190" s="2">
        <v>201806</v>
      </c>
      <c r="H2190" s="2" t="s">
        <v>74</v>
      </c>
      <c r="I2190" s="2" t="s">
        <v>75</v>
      </c>
      <c r="J2190" s="2" t="s">
        <v>97</v>
      </c>
      <c r="K2190" s="2" t="s">
        <v>77</v>
      </c>
      <c r="L2190" s="2" t="s">
        <v>173</v>
      </c>
      <c r="M2190" s="2" t="s">
        <v>174</v>
      </c>
      <c r="N2190" s="2" t="s">
        <v>1259</v>
      </c>
      <c r="O2190" s="2" t="s">
        <v>101</v>
      </c>
      <c r="P2190" s="2" t="str">
        <f>"2170607855                    "</f>
        <v xml:space="preserve">2170607855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6.43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</v>
      </c>
      <c r="BJ2190" s="2">
        <v>0.2</v>
      </c>
      <c r="BK2190" s="2">
        <v>1</v>
      </c>
      <c r="BL2190" s="2">
        <v>45.93</v>
      </c>
      <c r="BM2190" s="2">
        <v>6.43</v>
      </c>
      <c r="BN2190" s="2">
        <v>52.36</v>
      </c>
      <c r="BO2190" s="2">
        <v>52.36</v>
      </c>
      <c r="BQ2190" s="2" t="s">
        <v>82</v>
      </c>
      <c r="BR2190" s="2" t="s">
        <v>103</v>
      </c>
      <c r="BS2190" s="3">
        <v>43084</v>
      </c>
      <c r="BT2190" s="4">
        <v>0.51250000000000007</v>
      </c>
      <c r="BU2190" s="2" t="s">
        <v>586</v>
      </c>
      <c r="BV2190" s="2" t="s">
        <v>89</v>
      </c>
      <c r="BW2190" s="2" t="s">
        <v>149</v>
      </c>
      <c r="BX2190" s="2" t="s">
        <v>368</v>
      </c>
      <c r="BY2190" s="2">
        <v>1200</v>
      </c>
      <c r="CA2190" s="2" t="s">
        <v>1261</v>
      </c>
      <c r="CC2190" s="2" t="s">
        <v>174</v>
      </c>
      <c r="CD2190" s="2">
        <v>7800</v>
      </c>
      <c r="CE2190" s="2" t="s">
        <v>120</v>
      </c>
      <c r="CF2190" s="3">
        <v>43087</v>
      </c>
      <c r="CI2190" s="2">
        <v>1</v>
      </c>
      <c r="CJ2190" s="2">
        <v>1</v>
      </c>
      <c r="CK2190" s="2">
        <v>21</v>
      </c>
      <c r="CL2190" s="2" t="s">
        <v>89</v>
      </c>
    </row>
    <row r="2191" spans="1:90">
      <c r="A2191" s="2" t="s">
        <v>71</v>
      </c>
      <c r="B2191" s="2" t="s">
        <v>72</v>
      </c>
      <c r="C2191" s="2" t="s">
        <v>73</v>
      </c>
      <c r="E2191" s="2" t="str">
        <f>"FES1162596216"</f>
        <v>FES1162596216</v>
      </c>
      <c r="F2191" s="3">
        <v>43083</v>
      </c>
      <c r="G2191" s="2">
        <v>201806</v>
      </c>
      <c r="H2191" s="2" t="s">
        <v>74</v>
      </c>
      <c r="I2191" s="2" t="s">
        <v>75</v>
      </c>
      <c r="J2191" s="2" t="s">
        <v>97</v>
      </c>
      <c r="K2191" s="2" t="s">
        <v>77</v>
      </c>
      <c r="L2191" s="2" t="s">
        <v>125</v>
      </c>
      <c r="M2191" s="2" t="s">
        <v>126</v>
      </c>
      <c r="N2191" s="2" t="s">
        <v>2178</v>
      </c>
      <c r="O2191" s="2" t="s">
        <v>101</v>
      </c>
      <c r="P2191" s="2" t="str">
        <f>"2170607969                    "</f>
        <v xml:space="preserve">2170607969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6.43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1</v>
      </c>
      <c r="BJ2191" s="2">
        <v>0.2</v>
      </c>
      <c r="BK2191" s="2">
        <v>1</v>
      </c>
      <c r="BL2191" s="2">
        <v>45.93</v>
      </c>
      <c r="BM2191" s="2">
        <v>6.43</v>
      </c>
      <c r="BN2191" s="2">
        <v>52.36</v>
      </c>
      <c r="BO2191" s="2">
        <v>52.36</v>
      </c>
      <c r="BQ2191" s="2" t="s">
        <v>82</v>
      </c>
      <c r="BR2191" s="2" t="s">
        <v>103</v>
      </c>
      <c r="BS2191" s="3">
        <v>43090</v>
      </c>
      <c r="BT2191" s="4">
        <v>0.48749999999999999</v>
      </c>
      <c r="BU2191" s="2" t="s">
        <v>2361</v>
      </c>
      <c r="BV2191" s="2" t="s">
        <v>89</v>
      </c>
      <c r="BW2191" s="2" t="s">
        <v>471</v>
      </c>
      <c r="BX2191" s="2" t="s">
        <v>1390</v>
      </c>
      <c r="BY2191" s="2">
        <v>1200</v>
      </c>
      <c r="CC2191" s="2" t="s">
        <v>126</v>
      </c>
      <c r="CD2191" s="2">
        <v>4052</v>
      </c>
      <c r="CE2191" s="2" t="s">
        <v>120</v>
      </c>
      <c r="CF2191" s="3">
        <v>43091</v>
      </c>
      <c r="CI2191" s="2">
        <v>1</v>
      </c>
      <c r="CJ2191" s="2">
        <v>5</v>
      </c>
      <c r="CK2191" s="2">
        <v>21</v>
      </c>
      <c r="CL2191" s="2" t="s">
        <v>89</v>
      </c>
    </row>
    <row r="2192" spans="1:90">
      <c r="A2192" s="2" t="s">
        <v>71</v>
      </c>
      <c r="B2192" s="2" t="s">
        <v>72</v>
      </c>
      <c r="C2192" s="2" t="s">
        <v>73</v>
      </c>
      <c r="E2192" s="2" t="str">
        <f>"FES1162596221"</f>
        <v>FES1162596221</v>
      </c>
      <c r="F2192" s="3">
        <v>43083</v>
      </c>
      <c r="G2192" s="2">
        <v>201806</v>
      </c>
      <c r="H2192" s="2" t="s">
        <v>74</v>
      </c>
      <c r="I2192" s="2" t="s">
        <v>75</v>
      </c>
      <c r="J2192" s="2" t="s">
        <v>97</v>
      </c>
      <c r="K2192" s="2" t="s">
        <v>77</v>
      </c>
      <c r="L2192" s="2" t="s">
        <v>111</v>
      </c>
      <c r="M2192" s="2" t="s">
        <v>112</v>
      </c>
      <c r="N2192" s="2" t="s">
        <v>113</v>
      </c>
      <c r="O2192" s="2" t="s">
        <v>101</v>
      </c>
      <c r="P2192" s="2" t="str">
        <f>"2170607239                    "</f>
        <v xml:space="preserve">2170607239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6.43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1</v>
      </c>
      <c r="BJ2192" s="2">
        <v>0.2</v>
      </c>
      <c r="BK2192" s="2">
        <v>1</v>
      </c>
      <c r="BL2192" s="2">
        <v>45.93</v>
      </c>
      <c r="BM2192" s="2">
        <v>6.43</v>
      </c>
      <c r="BN2192" s="2">
        <v>52.36</v>
      </c>
      <c r="BO2192" s="2">
        <v>52.36</v>
      </c>
      <c r="BQ2192" s="2" t="s">
        <v>82</v>
      </c>
      <c r="BR2192" s="2" t="s">
        <v>103</v>
      </c>
      <c r="BS2192" s="3">
        <v>43084</v>
      </c>
      <c r="BT2192" s="4">
        <v>0.43055555555555558</v>
      </c>
      <c r="BU2192" s="2" t="s">
        <v>114</v>
      </c>
      <c r="BV2192" s="2" t="s">
        <v>85</v>
      </c>
      <c r="BY2192" s="2">
        <v>1200</v>
      </c>
      <c r="CA2192" s="2" t="s">
        <v>2354</v>
      </c>
      <c r="CC2192" s="2" t="s">
        <v>112</v>
      </c>
      <c r="CD2192" s="2">
        <v>6220</v>
      </c>
      <c r="CE2192" s="2" t="s">
        <v>120</v>
      </c>
      <c r="CF2192" s="3">
        <v>43088</v>
      </c>
      <c r="CI2192" s="2">
        <v>1</v>
      </c>
      <c r="CJ2192" s="2">
        <v>1</v>
      </c>
      <c r="CK2192" s="2">
        <v>21</v>
      </c>
      <c r="CL2192" s="2" t="s">
        <v>89</v>
      </c>
    </row>
    <row r="2193" spans="1:90">
      <c r="A2193" s="2" t="s">
        <v>71</v>
      </c>
      <c r="B2193" s="2" t="s">
        <v>72</v>
      </c>
      <c r="C2193" s="2" t="s">
        <v>73</v>
      </c>
      <c r="E2193" s="2" t="str">
        <f>"FES1162596157"</f>
        <v>FES1162596157</v>
      </c>
      <c r="F2193" s="3">
        <v>43083</v>
      </c>
      <c r="G2193" s="2">
        <v>201806</v>
      </c>
      <c r="H2193" s="2" t="s">
        <v>74</v>
      </c>
      <c r="I2193" s="2" t="s">
        <v>75</v>
      </c>
      <c r="J2193" s="2" t="s">
        <v>97</v>
      </c>
      <c r="K2193" s="2" t="s">
        <v>77</v>
      </c>
      <c r="L2193" s="2" t="s">
        <v>125</v>
      </c>
      <c r="M2193" s="2" t="s">
        <v>126</v>
      </c>
      <c r="N2193" s="2" t="s">
        <v>664</v>
      </c>
      <c r="O2193" s="2" t="s">
        <v>101</v>
      </c>
      <c r="P2193" s="2" t="str">
        <f>"2170607904                    "</f>
        <v xml:space="preserve">2170607904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6.43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1</v>
      </c>
      <c r="BJ2193" s="2">
        <v>0.2</v>
      </c>
      <c r="BK2193" s="2">
        <v>1</v>
      </c>
      <c r="BL2193" s="2">
        <v>45.93</v>
      </c>
      <c r="BM2193" s="2">
        <v>6.43</v>
      </c>
      <c r="BN2193" s="2">
        <v>52.36</v>
      </c>
      <c r="BO2193" s="2">
        <v>52.36</v>
      </c>
      <c r="BQ2193" s="2" t="s">
        <v>102</v>
      </c>
      <c r="BR2193" s="2" t="s">
        <v>103</v>
      </c>
      <c r="BS2193" s="3">
        <v>43084</v>
      </c>
      <c r="BT2193" s="4">
        <v>0.41666666666666669</v>
      </c>
      <c r="BU2193" s="2" t="s">
        <v>665</v>
      </c>
      <c r="BV2193" s="2" t="s">
        <v>85</v>
      </c>
      <c r="BY2193" s="2">
        <v>1200</v>
      </c>
      <c r="CA2193" s="2" t="s">
        <v>666</v>
      </c>
      <c r="CC2193" s="2" t="s">
        <v>126</v>
      </c>
      <c r="CD2193" s="2">
        <v>4001</v>
      </c>
      <c r="CE2193" s="2" t="s">
        <v>120</v>
      </c>
      <c r="CF2193" s="3">
        <v>43087</v>
      </c>
      <c r="CI2193" s="2">
        <v>1</v>
      </c>
      <c r="CJ2193" s="2">
        <v>1</v>
      </c>
      <c r="CK2193" s="2">
        <v>21</v>
      </c>
      <c r="CL2193" s="2" t="s">
        <v>89</v>
      </c>
    </row>
    <row r="2194" spans="1:90">
      <c r="A2194" s="2" t="s">
        <v>71</v>
      </c>
      <c r="B2194" s="2" t="s">
        <v>72</v>
      </c>
      <c r="C2194" s="2" t="s">
        <v>73</v>
      </c>
      <c r="E2194" s="2" t="str">
        <f>"FES1162596088"</f>
        <v>FES1162596088</v>
      </c>
      <c r="F2194" s="3">
        <v>43083</v>
      </c>
      <c r="G2194" s="2">
        <v>201806</v>
      </c>
      <c r="H2194" s="2" t="s">
        <v>74</v>
      </c>
      <c r="I2194" s="2" t="s">
        <v>75</v>
      </c>
      <c r="J2194" s="2" t="s">
        <v>97</v>
      </c>
      <c r="K2194" s="2" t="s">
        <v>77</v>
      </c>
      <c r="L2194" s="2" t="s">
        <v>131</v>
      </c>
      <c r="M2194" s="2" t="s">
        <v>132</v>
      </c>
      <c r="N2194" s="2" t="s">
        <v>228</v>
      </c>
      <c r="O2194" s="2" t="s">
        <v>101</v>
      </c>
      <c r="P2194" s="2" t="str">
        <f>"2170592453                    "</f>
        <v xml:space="preserve">2170592453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6.43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1.1000000000000001</v>
      </c>
      <c r="BJ2194" s="2">
        <v>1.9</v>
      </c>
      <c r="BK2194" s="2">
        <v>2</v>
      </c>
      <c r="BL2194" s="2">
        <v>45.93</v>
      </c>
      <c r="BM2194" s="2">
        <v>6.43</v>
      </c>
      <c r="BN2194" s="2">
        <v>52.36</v>
      </c>
      <c r="BO2194" s="2">
        <v>52.36</v>
      </c>
      <c r="BQ2194" s="2" t="s">
        <v>229</v>
      </c>
      <c r="BR2194" s="2" t="s">
        <v>103</v>
      </c>
      <c r="BS2194" s="3">
        <v>43084</v>
      </c>
      <c r="BT2194" s="4">
        <v>0.3923611111111111</v>
      </c>
      <c r="BU2194" s="2" t="s">
        <v>230</v>
      </c>
      <c r="BV2194" s="2" t="s">
        <v>85</v>
      </c>
      <c r="BY2194" s="2">
        <v>9565.17</v>
      </c>
      <c r="CA2194" s="2" t="s">
        <v>231</v>
      </c>
      <c r="CC2194" s="2" t="s">
        <v>132</v>
      </c>
      <c r="CD2194" s="2">
        <v>4300</v>
      </c>
      <c r="CE2194" s="2" t="s">
        <v>95</v>
      </c>
      <c r="CF2194" s="3">
        <v>43087</v>
      </c>
      <c r="CI2194" s="2">
        <v>1</v>
      </c>
      <c r="CJ2194" s="2">
        <v>1</v>
      </c>
      <c r="CK2194" s="2">
        <v>21</v>
      </c>
      <c r="CL2194" s="2" t="s">
        <v>89</v>
      </c>
    </row>
    <row r="2195" spans="1:90">
      <c r="A2195" s="2" t="s">
        <v>71</v>
      </c>
      <c r="B2195" s="2" t="s">
        <v>72</v>
      </c>
      <c r="C2195" s="2" t="s">
        <v>73</v>
      </c>
      <c r="E2195" s="2" t="str">
        <f>"FES1162596094"</f>
        <v>FES1162596094</v>
      </c>
      <c r="F2195" s="3">
        <v>43083</v>
      </c>
      <c r="G2195" s="2">
        <v>201806</v>
      </c>
      <c r="H2195" s="2" t="s">
        <v>74</v>
      </c>
      <c r="I2195" s="2" t="s">
        <v>75</v>
      </c>
      <c r="J2195" s="2" t="s">
        <v>97</v>
      </c>
      <c r="K2195" s="2" t="s">
        <v>77</v>
      </c>
      <c r="L2195" s="2" t="s">
        <v>98</v>
      </c>
      <c r="M2195" s="2" t="s">
        <v>99</v>
      </c>
      <c r="N2195" s="2" t="s">
        <v>1032</v>
      </c>
      <c r="O2195" s="2" t="s">
        <v>101</v>
      </c>
      <c r="P2195" s="2" t="str">
        <f>"2170603039                    "</f>
        <v xml:space="preserve">2170603039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9.65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2</v>
      </c>
      <c r="BJ2195" s="2">
        <v>2.8</v>
      </c>
      <c r="BK2195" s="2">
        <v>3</v>
      </c>
      <c r="BL2195" s="2">
        <v>68.89</v>
      </c>
      <c r="BM2195" s="2">
        <v>9.64</v>
      </c>
      <c r="BN2195" s="2">
        <v>78.53</v>
      </c>
      <c r="BO2195" s="2">
        <v>78.53</v>
      </c>
      <c r="BQ2195" s="2" t="s">
        <v>102</v>
      </c>
      <c r="BR2195" s="2" t="s">
        <v>103</v>
      </c>
      <c r="BS2195" s="3">
        <v>43087</v>
      </c>
      <c r="BT2195" s="4">
        <v>0.3888888888888889</v>
      </c>
      <c r="BU2195" s="2" t="s">
        <v>2462</v>
      </c>
      <c r="BV2195" s="2" t="s">
        <v>89</v>
      </c>
      <c r="BW2195" s="2" t="s">
        <v>149</v>
      </c>
      <c r="BX2195" s="2" t="s">
        <v>1390</v>
      </c>
      <c r="BY2195" s="2">
        <v>14242.91</v>
      </c>
      <c r="CA2195" s="2" t="s">
        <v>497</v>
      </c>
      <c r="CC2195" s="2" t="s">
        <v>99</v>
      </c>
      <c r="CD2195" s="2">
        <v>3201</v>
      </c>
      <c r="CE2195" s="2" t="s">
        <v>95</v>
      </c>
      <c r="CF2195" s="3">
        <v>43089</v>
      </c>
      <c r="CI2195" s="2">
        <v>1</v>
      </c>
      <c r="CJ2195" s="2">
        <v>2</v>
      </c>
      <c r="CK2195" s="2">
        <v>21</v>
      </c>
      <c r="CL2195" s="2" t="s">
        <v>89</v>
      </c>
    </row>
    <row r="2196" spans="1:90">
      <c r="A2196" s="2" t="s">
        <v>71</v>
      </c>
      <c r="B2196" s="2" t="s">
        <v>72</v>
      </c>
      <c r="C2196" s="2" t="s">
        <v>73</v>
      </c>
      <c r="E2196" s="2" t="str">
        <f>"FES1162596195"</f>
        <v>FES1162596195</v>
      </c>
      <c r="F2196" s="3">
        <v>43083</v>
      </c>
      <c r="G2196" s="2">
        <v>201806</v>
      </c>
      <c r="H2196" s="2" t="s">
        <v>74</v>
      </c>
      <c r="I2196" s="2" t="s">
        <v>75</v>
      </c>
      <c r="J2196" s="2" t="s">
        <v>97</v>
      </c>
      <c r="K2196" s="2" t="s">
        <v>77</v>
      </c>
      <c r="L2196" s="2" t="s">
        <v>131</v>
      </c>
      <c r="M2196" s="2" t="s">
        <v>132</v>
      </c>
      <c r="N2196" s="2" t="s">
        <v>228</v>
      </c>
      <c r="O2196" s="2" t="s">
        <v>101</v>
      </c>
      <c r="P2196" s="2" t="str">
        <f>"2170607957                    "</f>
        <v xml:space="preserve">2170607957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6.43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0.9</v>
      </c>
      <c r="BJ2196" s="2">
        <v>1.5</v>
      </c>
      <c r="BK2196" s="2">
        <v>1.5</v>
      </c>
      <c r="BL2196" s="2">
        <v>45.93</v>
      </c>
      <c r="BM2196" s="2">
        <v>6.43</v>
      </c>
      <c r="BN2196" s="2">
        <v>52.36</v>
      </c>
      <c r="BO2196" s="2">
        <v>52.36</v>
      </c>
      <c r="BQ2196" s="2" t="s">
        <v>229</v>
      </c>
      <c r="BR2196" s="2" t="s">
        <v>103</v>
      </c>
      <c r="BS2196" s="3">
        <v>43084</v>
      </c>
      <c r="BT2196" s="4">
        <v>0.3923611111111111</v>
      </c>
      <c r="BU2196" s="2" t="s">
        <v>230</v>
      </c>
      <c r="BV2196" s="2" t="s">
        <v>85</v>
      </c>
      <c r="BY2196" s="2">
        <v>7267.5</v>
      </c>
      <c r="CA2196" s="2" t="s">
        <v>231</v>
      </c>
      <c r="CC2196" s="2" t="s">
        <v>132</v>
      </c>
      <c r="CD2196" s="2">
        <v>4300</v>
      </c>
      <c r="CE2196" s="2" t="s">
        <v>95</v>
      </c>
      <c r="CF2196" s="3">
        <v>43087</v>
      </c>
      <c r="CI2196" s="2">
        <v>1</v>
      </c>
      <c r="CJ2196" s="2">
        <v>1</v>
      </c>
      <c r="CK2196" s="2">
        <v>21</v>
      </c>
      <c r="CL2196" s="2" t="s">
        <v>89</v>
      </c>
    </row>
    <row r="2197" spans="1:90">
      <c r="A2197" s="2" t="s">
        <v>71</v>
      </c>
      <c r="B2197" s="2" t="s">
        <v>72</v>
      </c>
      <c r="C2197" s="2" t="s">
        <v>73</v>
      </c>
      <c r="E2197" s="2" t="str">
        <f>"FES1162596076"</f>
        <v>FES1162596076</v>
      </c>
      <c r="F2197" s="3">
        <v>43083</v>
      </c>
      <c r="G2197" s="2">
        <v>201806</v>
      </c>
      <c r="H2197" s="2" t="s">
        <v>74</v>
      </c>
      <c r="I2197" s="2" t="s">
        <v>75</v>
      </c>
      <c r="J2197" s="2" t="s">
        <v>97</v>
      </c>
      <c r="K2197" s="2" t="s">
        <v>77</v>
      </c>
      <c r="L2197" s="2" t="s">
        <v>98</v>
      </c>
      <c r="M2197" s="2" t="s">
        <v>99</v>
      </c>
      <c r="N2197" s="2" t="s">
        <v>100</v>
      </c>
      <c r="O2197" s="2" t="s">
        <v>101</v>
      </c>
      <c r="P2197" s="2" t="str">
        <f>"2170607831                    "</f>
        <v xml:space="preserve">2170607831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6.43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1.6</v>
      </c>
      <c r="BJ2197" s="2">
        <v>1.4</v>
      </c>
      <c r="BK2197" s="2">
        <v>2</v>
      </c>
      <c r="BL2197" s="2">
        <v>45.93</v>
      </c>
      <c r="BM2197" s="2">
        <v>6.43</v>
      </c>
      <c r="BN2197" s="2">
        <v>52.36</v>
      </c>
      <c r="BO2197" s="2">
        <v>52.36</v>
      </c>
      <c r="BQ2197" s="2" t="s">
        <v>102</v>
      </c>
      <c r="BR2197" s="2" t="s">
        <v>103</v>
      </c>
      <c r="BS2197" s="3">
        <v>43087</v>
      </c>
      <c r="BT2197" s="4">
        <v>0.4375</v>
      </c>
      <c r="BU2197" s="2" t="s">
        <v>2463</v>
      </c>
      <c r="BV2197" s="2" t="s">
        <v>89</v>
      </c>
      <c r="BW2197" s="2" t="s">
        <v>149</v>
      </c>
      <c r="BX2197" s="2" t="s">
        <v>1390</v>
      </c>
      <c r="BY2197" s="2">
        <v>7003.93</v>
      </c>
      <c r="CA2197" s="2" t="s">
        <v>105</v>
      </c>
      <c r="CC2197" s="2" t="s">
        <v>99</v>
      </c>
      <c r="CD2197" s="2">
        <v>3201</v>
      </c>
      <c r="CE2197" s="2" t="s">
        <v>120</v>
      </c>
      <c r="CF2197" s="3">
        <v>43088</v>
      </c>
      <c r="CI2197" s="2">
        <v>1</v>
      </c>
      <c r="CJ2197" s="2">
        <v>2</v>
      </c>
      <c r="CK2197" s="2">
        <v>21</v>
      </c>
      <c r="CL2197" s="2" t="s">
        <v>89</v>
      </c>
    </row>
    <row r="2198" spans="1:90">
      <c r="A2198" s="2" t="s">
        <v>71</v>
      </c>
      <c r="B2198" s="2" t="s">
        <v>72</v>
      </c>
      <c r="C2198" s="2" t="s">
        <v>73</v>
      </c>
      <c r="E2198" s="2" t="str">
        <f>"FES1162596059"</f>
        <v>FES1162596059</v>
      </c>
      <c r="F2198" s="3">
        <v>43083</v>
      </c>
      <c r="G2198" s="2">
        <v>201806</v>
      </c>
      <c r="H2198" s="2" t="s">
        <v>74</v>
      </c>
      <c r="I2198" s="2" t="s">
        <v>75</v>
      </c>
      <c r="J2198" s="2" t="s">
        <v>97</v>
      </c>
      <c r="K2198" s="2" t="s">
        <v>77</v>
      </c>
      <c r="L2198" s="2" t="s">
        <v>173</v>
      </c>
      <c r="M2198" s="2" t="s">
        <v>174</v>
      </c>
      <c r="N2198" s="2" t="s">
        <v>802</v>
      </c>
      <c r="O2198" s="2" t="s">
        <v>101</v>
      </c>
      <c r="P2198" s="2" t="str">
        <f>"2170607799                    "</f>
        <v xml:space="preserve">2170607799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6.43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</v>
      </c>
      <c r="BJ2198" s="2">
        <v>0.2</v>
      </c>
      <c r="BK2198" s="2">
        <v>1</v>
      </c>
      <c r="BL2198" s="2">
        <v>45.93</v>
      </c>
      <c r="BM2198" s="2">
        <v>6.43</v>
      </c>
      <c r="BN2198" s="2">
        <v>52.36</v>
      </c>
      <c r="BO2198" s="2">
        <v>52.36</v>
      </c>
      <c r="BQ2198" s="2" t="s">
        <v>102</v>
      </c>
      <c r="BR2198" s="2" t="s">
        <v>103</v>
      </c>
      <c r="BS2198" s="3">
        <v>43084</v>
      </c>
      <c r="BT2198" s="4">
        <v>0.46319444444444446</v>
      </c>
      <c r="BU2198" s="2" t="s">
        <v>1933</v>
      </c>
      <c r="BV2198" s="2" t="s">
        <v>89</v>
      </c>
      <c r="BW2198" s="2" t="s">
        <v>149</v>
      </c>
      <c r="BX2198" s="2" t="s">
        <v>368</v>
      </c>
      <c r="BY2198" s="2">
        <v>1200</v>
      </c>
      <c r="CA2198" s="2" t="s">
        <v>395</v>
      </c>
      <c r="CC2198" s="2" t="s">
        <v>174</v>
      </c>
      <c r="CD2198" s="2">
        <v>7441</v>
      </c>
      <c r="CE2198" s="2" t="s">
        <v>120</v>
      </c>
      <c r="CF2198" s="3">
        <v>43087</v>
      </c>
      <c r="CI2198" s="2">
        <v>1</v>
      </c>
      <c r="CJ2198" s="2">
        <v>1</v>
      </c>
      <c r="CK2198" s="2">
        <v>21</v>
      </c>
      <c r="CL2198" s="2" t="s">
        <v>89</v>
      </c>
    </row>
    <row r="2199" spans="1:90">
      <c r="A2199" s="2" t="s">
        <v>71</v>
      </c>
      <c r="B2199" s="2" t="s">
        <v>72</v>
      </c>
      <c r="C2199" s="2" t="s">
        <v>73</v>
      </c>
      <c r="E2199" s="2" t="str">
        <f>"FES1162596008"</f>
        <v>FES1162596008</v>
      </c>
      <c r="F2199" s="3">
        <v>43083</v>
      </c>
      <c r="G2199" s="2">
        <v>201806</v>
      </c>
      <c r="H2199" s="2" t="s">
        <v>74</v>
      </c>
      <c r="I2199" s="2" t="s">
        <v>75</v>
      </c>
      <c r="J2199" s="2" t="s">
        <v>97</v>
      </c>
      <c r="K2199" s="2" t="s">
        <v>77</v>
      </c>
      <c r="L2199" s="2" t="s">
        <v>152</v>
      </c>
      <c r="M2199" s="2" t="s">
        <v>153</v>
      </c>
      <c r="N2199" s="2" t="s">
        <v>596</v>
      </c>
      <c r="O2199" s="2" t="s">
        <v>101</v>
      </c>
      <c r="P2199" s="2" t="str">
        <f>"2170604881                    "</f>
        <v xml:space="preserve">2170604881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5.03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3</v>
      </c>
      <c r="BJ2199" s="2">
        <v>0.2</v>
      </c>
      <c r="BK2199" s="2">
        <v>3</v>
      </c>
      <c r="BL2199" s="2">
        <v>35.89</v>
      </c>
      <c r="BM2199" s="2">
        <v>5.0199999999999996</v>
      </c>
      <c r="BN2199" s="2">
        <v>40.909999999999997</v>
      </c>
      <c r="BO2199" s="2">
        <v>40.909999999999997</v>
      </c>
      <c r="BQ2199" s="2" t="s">
        <v>102</v>
      </c>
      <c r="BR2199" s="2" t="s">
        <v>103</v>
      </c>
      <c r="BS2199" s="3">
        <v>43084</v>
      </c>
      <c r="BT2199" s="4">
        <v>0.36805555555555558</v>
      </c>
      <c r="BU2199" s="2" t="s">
        <v>1693</v>
      </c>
      <c r="BV2199" s="2" t="s">
        <v>85</v>
      </c>
      <c r="BY2199" s="2">
        <v>1200</v>
      </c>
      <c r="CA2199" s="2" t="s">
        <v>439</v>
      </c>
      <c r="CC2199" s="2" t="s">
        <v>153</v>
      </c>
      <c r="CD2199" s="2">
        <v>1422</v>
      </c>
      <c r="CE2199" s="2" t="s">
        <v>120</v>
      </c>
      <c r="CF2199" s="3">
        <v>43087</v>
      </c>
      <c r="CI2199" s="2">
        <v>1</v>
      </c>
      <c r="CJ2199" s="2">
        <v>1</v>
      </c>
      <c r="CK2199" s="2">
        <v>22</v>
      </c>
      <c r="CL2199" s="2" t="s">
        <v>89</v>
      </c>
    </row>
    <row r="2200" spans="1:90">
      <c r="A2200" s="2" t="s">
        <v>71</v>
      </c>
      <c r="B2200" s="2" t="s">
        <v>72</v>
      </c>
      <c r="C2200" s="2" t="s">
        <v>73</v>
      </c>
      <c r="E2200" s="2" t="str">
        <f>"FES1162595883"</f>
        <v>FES1162595883</v>
      </c>
      <c r="F2200" s="3">
        <v>43083</v>
      </c>
      <c r="G2200" s="2">
        <v>201806</v>
      </c>
      <c r="H2200" s="2" t="s">
        <v>74</v>
      </c>
      <c r="I2200" s="2" t="s">
        <v>75</v>
      </c>
      <c r="J2200" s="2" t="s">
        <v>97</v>
      </c>
      <c r="K2200" s="2" t="s">
        <v>77</v>
      </c>
      <c r="L2200" s="2" t="s">
        <v>152</v>
      </c>
      <c r="M2200" s="2" t="s">
        <v>153</v>
      </c>
      <c r="N2200" s="2" t="s">
        <v>2464</v>
      </c>
      <c r="O2200" s="2" t="s">
        <v>101</v>
      </c>
      <c r="P2200" s="2" t="str">
        <f>"2170606591                    "</f>
        <v xml:space="preserve">2170606591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5.03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5</v>
      </c>
      <c r="BJ2200" s="2">
        <v>0.9</v>
      </c>
      <c r="BK2200" s="2">
        <v>5</v>
      </c>
      <c r="BL2200" s="2">
        <v>35.89</v>
      </c>
      <c r="BM2200" s="2">
        <v>5.0199999999999996</v>
      </c>
      <c r="BN2200" s="2">
        <v>40.909999999999997</v>
      </c>
      <c r="BO2200" s="2">
        <v>40.909999999999997</v>
      </c>
      <c r="BQ2200" s="2" t="s">
        <v>102</v>
      </c>
      <c r="BR2200" s="2" t="s">
        <v>103</v>
      </c>
      <c r="BS2200" s="3">
        <v>43084</v>
      </c>
      <c r="BT2200" s="4">
        <v>0.4375</v>
      </c>
      <c r="BU2200" s="2" t="s">
        <v>2210</v>
      </c>
      <c r="BV2200" s="2" t="s">
        <v>85</v>
      </c>
      <c r="BY2200" s="2">
        <v>4704</v>
      </c>
      <c r="CA2200" s="2" t="s">
        <v>337</v>
      </c>
      <c r="CC2200" s="2" t="s">
        <v>153</v>
      </c>
      <c r="CD2200" s="2">
        <v>1401</v>
      </c>
      <c r="CE2200" s="2" t="s">
        <v>87</v>
      </c>
      <c r="CF2200" s="3">
        <v>43087</v>
      </c>
      <c r="CI2200" s="2">
        <v>1</v>
      </c>
      <c r="CJ2200" s="2">
        <v>1</v>
      </c>
      <c r="CK2200" s="2">
        <v>22</v>
      </c>
      <c r="CL2200" s="2" t="s">
        <v>89</v>
      </c>
    </row>
    <row r="2201" spans="1:90">
      <c r="A2201" s="2" t="s">
        <v>71</v>
      </c>
      <c r="B2201" s="2" t="s">
        <v>72</v>
      </c>
      <c r="C2201" s="2" t="s">
        <v>73</v>
      </c>
      <c r="E2201" s="2" t="str">
        <f>"FES1162595542"</f>
        <v>FES1162595542</v>
      </c>
      <c r="F2201" s="3">
        <v>43083</v>
      </c>
      <c r="G2201" s="2">
        <v>201806</v>
      </c>
      <c r="H2201" s="2" t="s">
        <v>74</v>
      </c>
      <c r="I2201" s="2" t="s">
        <v>75</v>
      </c>
      <c r="J2201" s="2" t="s">
        <v>97</v>
      </c>
      <c r="K2201" s="2" t="s">
        <v>77</v>
      </c>
      <c r="L2201" s="2" t="s">
        <v>277</v>
      </c>
      <c r="M2201" s="2" t="s">
        <v>278</v>
      </c>
      <c r="N2201" s="2" t="s">
        <v>2465</v>
      </c>
      <c r="O2201" s="2" t="s">
        <v>101</v>
      </c>
      <c r="P2201" s="2" t="str">
        <f>"2170599246                    "</f>
        <v xml:space="preserve">2170599246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5.03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4</v>
      </c>
      <c r="BJ2201" s="2">
        <v>0.8</v>
      </c>
      <c r="BK2201" s="2">
        <v>4</v>
      </c>
      <c r="BL2201" s="2">
        <v>35.89</v>
      </c>
      <c r="BM2201" s="2">
        <v>5.0199999999999996</v>
      </c>
      <c r="BN2201" s="2">
        <v>40.909999999999997</v>
      </c>
      <c r="BO2201" s="2">
        <v>40.909999999999997</v>
      </c>
      <c r="BQ2201" s="2" t="s">
        <v>102</v>
      </c>
      <c r="BR2201" s="2" t="s">
        <v>103</v>
      </c>
      <c r="BS2201" s="2" t="s">
        <v>185</v>
      </c>
      <c r="BY2201" s="2">
        <v>4213.4399999999996</v>
      </c>
      <c r="CC2201" s="2" t="s">
        <v>278</v>
      </c>
      <c r="CD2201" s="2">
        <v>2170</v>
      </c>
      <c r="CE2201" s="2" t="s">
        <v>356</v>
      </c>
      <c r="CI2201" s="2">
        <v>1</v>
      </c>
      <c r="CJ2201" s="2" t="s">
        <v>185</v>
      </c>
      <c r="CK2201" s="2">
        <v>22</v>
      </c>
      <c r="CL2201" s="2" t="s">
        <v>89</v>
      </c>
    </row>
    <row r="2202" spans="1:90">
      <c r="A2202" s="2" t="s">
        <v>71</v>
      </c>
      <c r="B2202" s="2" t="s">
        <v>72</v>
      </c>
      <c r="C2202" s="2" t="s">
        <v>73</v>
      </c>
      <c r="E2202" s="2" t="str">
        <f>"FES1162596067"</f>
        <v>FES1162596067</v>
      </c>
      <c r="F2202" s="3">
        <v>43083</v>
      </c>
      <c r="G2202" s="2">
        <v>201806</v>
      </c>
      <c r="H2202" s="2" t="s">
        <v>74</v>
      </c>
      <c r="I2202" s="2" t="s">
        <v>75</v>
      </c>
      <c r="J2202" s="2" t="s">
        <v>97</v>
      </c>
      <c r="K2202" s="2" t="s">
        <v>77</v>
      </c>
      <c r="L2202" s="2" t="s">
        <v>115</v>
      </c>
      <c r="M2202" s="2" t="s">
        <v>116</v>
      </c>
      <c r="N2202" s="2" t="s">
        <v>2091</v>
      </c>
      <c r="O2202" s="2" t="s">
        <v>101</v>
      </c>
      <c r="P2202" s="2" t="str">
        <f>"2170607808                    "</f>
        <v xml:space="preserve">2170607808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5.03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</v>
      </c>
      <c r="BJ2202" s="2">
        <v>0.2</v>
      </c>
      <c r="BK2202" s="2">
        <v>1</v>
      </c>
      <c r="BL2202" s="2">
        <v>35.89</v>
      </c>
      <c r="BM2202" s="2">
        <v>5.0199999999999996</v>
      </c>
      <c r="BN2202" s="2">
        <v>40.909999999999997</v>
      </c>
      <c r="BO2202" s="2">
        <v>40.909999999999997</v>
      </c>
      <c r="BQ2202" s="2" t="s">
        <v>102</v>
      </c>
      <c r="BR2202" s="2" t="s">
        <v>103</v>
      </c>
      <c r="BS2202" s="3">
        <v>43084</v>
      </c>
      <c r="BT2202" s="4">
        <v>0.33819444444444446</v>
      </c>
      <c r="BU2202" s="2" t="s">
        <v>2466</v>
      </c>
      <c r="BV2202" s="2" t="s">
        <v>85</v>
      </c>
      <c r="BY2202" s="2">
        <v>1200</v>
      </c>
      <c r="CA2202" s="2" t="s">
        <v>119</v>
      </c>
      <c r="CC2202" s="2" t="s">
        <v>116</v>
      </c>
      <c r="CD2202" s="2">
        <v>1459</v>
      </c>
      <c r="CE2202" s="2" t="s">
        <v>120</v>
      </c>
      <c r="CF2202" s="3">
        <v>43087</v>
      </c>
      <c r="CI2202" s="2">
        <v>1</v>
      </c>
      <c r="CJ2202" s="2">
        <v>1</v>
      </c>
      <c r="CK2202" s="2">
        <v>22</v>
      </c>
      <c r="CL2202" s="2" t="s">
        <v>89</v>
      </c>
    </row>
    <row r="2203" spans="1:90">
      <c r="A2203" s="2" t="s">
        <v>71</v>
      </c>
      <c r="B2203" s="2" t="s">
        <v>72</v>
      </c>
      <c r="C2203" s="2" t="s">
        <v>73</v>
      </c>
      <c r="E2203" s="2" t="str">
        <f>"FES1162596147"</f>
        <v>FES1162596147</v>
      </c>
      <c r="F2203" s="3">
        <v>43083</v>
      </c>
      <c r="G2203" s="2">
        <v>201806</v>
      </c>
      <c r="H2203" s="2" t="s">
        <v>74</v>
      </c>
      <c r="I2203" s="2" t="s">
        <v>75</v>
      </c>
      <c r="J2203" s="2" t="s">
        <v>97</v>
      </c>
      <c r="K2203" s="2" t="s">
        <v>77</v>
      </c>
      <c r="L2203" s="2" t="s">
        <v>173</v>
      </c>
      <c r="M2203" s="2" t="s">
        <v>174</v>
      </c>
      <c r="N2203" s="2" t="s">
        <v>175</v>
      </c>
      <c r="O2203" s="2" t="s">
        <v>101</v>
      </c>
      <c r="P2203" s="2" t="str">
        <f>"2170607898                    "</f>
        <v xml:space="preserve">2170607898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6.43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2</v>
      </c>
      <c r="BJ2203" s="2">
        <v>0.7</v>
      </c>
      <c r="BK2203" s="2">
        <v>2</v>
      </c>
      <c r="BL2203" s="2">
        <v>45.93</v>
      </c>
      <c r="BM2203" s="2">
        <v>6.43</v>
      </c>
      <c r="BN2203" s="2">
        <v>52.36</v>
      </c>
      <c r="BO2203" s="2">
        <v>52.36</v>
      </c>
      <c r="BQ2203" s="2" t="s">
        <v>102</v>
      </c>
      <c r="BR2203" s="2" t="s">
        <v>103</v>
      </c>
      <c r="BS2203" s="3">
        <v>43084</v>
      </c>
      <c r="BT2203" s="4">
        <v>0.49513888888888885</v>
      </c>
      <c r="BU2203" s="2" t="s">
        <v>2374</v>
      </c>
      <c r="BV2203" s="2" t="s">
        <v>89</v>
      </c>
      <c r="BW2203" s="2" t="s">
        <v>149</v>
      </c>
      <c r="BX2203" s="2" t="s">
        <v>246</v>
      </c>
      <c r="BY2203" s="2">
        <v>3570</v>
      </c>
      <c r="CA2203" s="2" t="s">
        <v>1221</v>
      </c>
      <c r="CC2203" s="2" t="s">
        <v>174</v>
      </c>
      <c r="CD2203" s="2">
        <v>7405</v>
      </c>
      <c r="CE2203" s="2" t="s">
        <v>87</v>
      </c>
      <c r="CF2203" s="3">
        <v>43087</v>
      </c>
      <c r="CI2203" s="2">
        <v>1</v>
      </c>
      <c r="CJ2203" s="2">
        <v>1</v>
      </c>
      <c r="CK2203" s="2">
        <v>21</v>
      </c>
      <c r="CL2203" s="2" t="s">
        <v>89</v>
      </c>
    </row>
    <row r="2204" spans="1:90">
      <c r="A2204" s="2" t="s">
        <v>71</v>
      </c>
      <c r="B2204" s="2" t="s">
        <v>72</v>
      </c>
      <c r="C2204" s="2" t="s">
        <v>73</v>
      </c>
      <c r="E2204" s="2" t="str">
        <f>"FES1162596000"</f>
        <v>FES1162596000</v>
      </c>
      <c r="F2204" s="3">
        <v>43083</v>
      </c>
      <c r="G2204" s="2">
        <v>201806</v>
      </c>
      <c r="H2204" s="2" t="s">
        <v>74</v>
      </c>
      <c r="I2204" s="2" t="s">
        <v>75</v>
      </c>
      <c r="J2204" s="2" t="s">
        <v>97</v>
      </c>
      <c r="K2204" s="2" t="s">
        <v>77</v>
      </c>
      <c r="L2204" s="2" t="s">
        <v>325</v>
      </c>
      <c r="M2204" s="2" t="s">
        <v>326</v>
      </c>
      <c r="N2204" s="2" t="s">
        <v>2467</v>
      </c>
      <c r="O2204" s="2" t="s">
        <v>101</v>
      </c>
      <c r="P2204" s="2" t="str">
        <f>"21706064648                   "</f>
        <v xml:space="preserve">21706064648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6.43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1</v>
      </c>
      <c r="BJ2204" s="2">
        <v>0.2</v>
      </c>
      <c r="BK2204" s="2">
        <v>1</v>
      </c>
      <c r="BL2204" s="2">
        <v>45.93</v>
      </c>
      <c r="BM2204" s="2">
        <v>6.43</v>
      </c>
      <c r="BN2204" s="2">
        <v>52.36</v>
      </c>
      <c r="BO2204" s="2">
        <v>52.36</v>
      </c>
      <c r="BQ2204" s="2" t="s">
        <v>142</v>
      </c>
      <c r="BR2204" s="2" t="s">
        <v>103</v>
      </c>
      <c r="BS2204" s="3">
        <v>43087</v>
      </c>
      <c r="BT2204" s="4">
        <v>0.4236111111111111</v>
      </c>
      <c r="BU2204" s="2" t="s">
        <v>640</v>
      </c>
      <c r="BV2204" s="2" t="s">
        <v>89</v>
      </c>
      <c r="BY2204" s="2">
        <v>1200</v>
      </c>
      <c r="CC2204" s="2" t="s">
        <v>326</v>
      </c>
      <c r="CD2204" s="2">
        <v>1939</v>
      </c>
      <c r="CE2204" s="2" t="s">
        <v>120</v>
      </c>
      <c r="CF2204" s="3">
        <v>43089</v>
      </c>
      <c r="CI2204" s="2">
        <v>1</v>
      </c>
      <c r="CJ2204" s="2">
        <v>2</v>
      </c>
      <c r="CK2204" s="2">
        <v>21</v>
      </c>
      <c r="CL2204" s="2" t="s">
        <v>89</v>
      </c>
    </row>
    <row r="2205" spans="1:90">
      <c r="A2205" s="2" t="s">
        <v>71</v>
      </c>
      <c r="B2205" s="2" t="s">
        <v>72</v>
      </c>
      <c r="C2205" s="2" t="s">
        <v>73</v>
      </c>
      <c r="E2205" s="2" t="str">
        <f>"FES1162596173"</f>
        <v>FES1162596173</v>
      </c>
      <c r="F2205" s="3">
        <v>43083</v>
      </c>
      <c r="G2205" s="2">
        <v>201806</v>
      </c>
      <c r="H2205" s="2" t="s">
        <v>74</v>
      </c>
      <c r="I2205" s="2" t="s">
        <v>75</v>
      </c>
      <c r="J2205" s="2" t="s">
        <v>97</v>
      </c>
      <c r="K2205" s="2" t="s">
        <v>77</v>
      </c>
      <c r="L2205" s="2" t="s">
        <v>74</v>
      </c>
      <c r="M2205" s="2" t="s">
        <v>75</v>
      </c>
      <c r="N2205" s="2" t="s">
        <v>204</v>
      </c>
      <c r="O2205" s="2" t="s">
        <v>101</v>
      </c>
      <c r="P2205" s="2" t="str">
        <f>"2170607917                    "</f>
        <v xml:space="preserve">2170607917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5.03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</v>
      </c>
      <c r="BJ2205" s="2">
        <v>0.2</v>
      </c>
      <c r="BK2205" s="2">
        <v>1</v>
      </c>
      <c r="BL2205" s="2">
        <v>35.89</v>
      </c>
      <c r="BM2205" s="2">
        <v>5.0199999999999996</v>
      </c>
      <c r="BN2205" s="2">
        <v>40.909999999999997</v>
      </c>
      <c r="BO2205" s="2">
        <v>40.909999999999997</v>
      </c>
      <c r="BQ2205" s="2" t="s">
        <v>102</v>
      </c>
      <c r="BR2205" s="2" t="s">
        <v>103</v>
      </c>
      <c r="BS2205" s="3">
        <v>43084</v>
      </c>
      <c r="BT2205" s="4">
        <v>0.31319444444444444</v>
      </c>
      <c r="BU2205" s="2" t="s">
        <v>205</v>
      </c>
      <c r="BV2205" s="2" t="s">
        <v>85</v>
      </c>
      <c r="BY2205" s="2">
        <v>1200</v>
      </c>
      <c r="CA2205" s="2" t="s">
        <v>206</v>
      </c>
      <c r="CC2205" s="2" t="s">
        <v>75</v>
      </c>
      <c r="CD2205" s="2">
        <v>1645</v>
      </c>
      <c r="CE2205" s="2" t="s">
        <v>120</v>
      </c>
      <c r="CF2205" s="3">
        <v>43088</v>
      </c>
      <c r="CI2205" s="2">
        <v>1</v>
      </c>
      <c r="CJ2205" s="2">
        <v>1</v>
      </c>
      <c r="CK2205" s="2">
        <v>22</v>
      </c>
      <c r="CL2205" s="2" t="s">
        <v>89</v>
      </c>
    </row>
    <row r="2206" spans="1:90">
      <c r="A2206" s="2" t="s">
        <v>71</v>
      </c>
      <c r="B2206" s="2" t="s">
        <v>72</v>
      </c>
      <c r="C2206" s="2" t="s">
        <v>73</v>
      </c>
      <c r="E2206" s="2" t="str">
        <f>"FES1162596118"</f>
        <v>FES1162596118</v>
      </c>
      <c r="F2206" s="3">
        <v>43083</v>
      </c>
      <c r="G2206" s="2">
        <v>201806</v>
      </c>
      <c r="H2206" s="2" t="s">
        <v>74</v>
      </c>
      <c r="I2206" s="2" t="s">
        <v>75</v>
      </c>
      <c r="J2206" s="2" t="s">
        <v>97</v>
      </c>
      <c r="K2206" s="2" t="s">
        <v>77</v>
      </c>
      <c r="L2206" s="2" t="s">
        <v>173</v>
      </c>
      <c r="M2206" s="2" t="s">
        <v>174</v>
      </c>
      <c r="N2206" s="2" t="s">
        <v>1931</v>
      </c>
      <c r="O2206" s="2" t="s">
        <v>101</v>
      </c>
      <c r="P2206" s="2" t="str">
        <f>"2170607862                    "</f>
        <v xml:space="preserve">2170607862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6.43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0.4</v>
      </c>
      <c r="BJ2206" s="2">
        <v>1.3</v>
      </c>
      <c r="BK2206" s="2">
        <v>1.5</v>
      </c>
      <c r="BL2206" s="2">
        <v>45.93</v>
      </c>
      <c r="BM2206" s="2">
        <v>6.43</v>
      </c>
      <c r="BN2206" s="2">
        <v>52.36</v>
      </c>
      <c r="BO2206" s="2">
        <v>52.36</v>
      </c>
      <c r="BQ2206" s="2" t="s">
        <v>102</v>
      </c>
      <c r="BR2206" s="2" t="s">
        <v>103</v>
      </c>
      <c r="BS2206" s="3">
        <v>43084</v>
      </c>
      <c r="BT2206" s="4">
        <v>0.62430555555555556</v>
      </c>
      <c r="BU2206" s="2" t="s">
        <v>2468</v>
      </c>
      <c r="BV2206" s="2" t="s">
        <v>89</v>
      </c>
      <c r="BW2206" s="2" t="s">
        <v>471</v>
      </c>
      <c r="BX2206" s="2" t="s">
        <v>246</v>
      </c>
      <c r="BY2206" s="2">
        <v>6524.55</v>
      </c>
      <c r="CA2206" s="2" t="s">
        <v>216</v>
      </c>
      <c r="CC2206" s="2" t="s">
        <v>174</v>
      </c>
      <c r="CD2206" s="2">
        <v>7945</v>
      </c>
      <c r="CE2206" s="2" t="s">
        <v>120</v>
      </c>
      <c r="CF2206" s="3">
        <v>43084</v>
      </c>
      <c r="CI2206" s="2">
        <v>1</v>
      </c>
      <c r="CJ2206" s="2">
        <v>1</v>
      </c>
      <c r="CK2206" s="2">
        <v>21</v>
      </c>
      <c r="CL2206" s="2" t="s">
        <v>89</v>
      </c>
    </row>
    <row r="2207" spans="1:90">
      <c r="A2207" s="2" t="s">
        <v>71</v>
      </c>
      <c r="B2207" s="2" t="s">
        <v>72</v>
      </c>
      <c r="C2207" s="2" t="s">
        <v>73</v>
      </c>
      <c r="E2207" s="2" t="str">
        <f>"FES1162595910"</f>
        <v>FES1162595910</v>
      </c>
      <c r="F2207" s="3">
        <v>43083</v>
      </c>
      <c r="G2207" s="2">
        <v>201806</v>
      </c>
      <c r="H2207" s="2" t="s">
        <v>74</v>
      </c>
      <c r="I2207" s="2" t="s">
        <v>75</v>
      </c>
      <c r="J2207" s="2" t="s">
        <v>97</v>
      </c>
      <c r="K2207" s="2" t="s">
        <v>77</v>
      </c>
      <c r="L2207" s="2" t="s">
        <v>173</v>
      </c>
      <c r="M2207" s="2" t="s">
        <v>174</v>
      </c>
      <c r="N2207" s="2" t="s">
        <v>175</v>
      </c>
      <c r="O2207" s="2" t="s">
        <v>101</v>
      </c>
      <c r="P2207" s="2" t="str">
        <f>"2170607744                    "</f>
        <v xml:space="preserve">2170607744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9.65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2.8</v>
      </c>
      <c r="BJ2207" s="2">
        <v>1</v>
      </c>
      <c r="BK2207" s="2">
        <v>3</v>
      </c>
      <c r="BL2207" s="2">
        <v>68.89</v>
      </c>
      <c r="BM2207" s="2">
        <v>9.64</v>
      </c>
      <c r="BN2207" s="2">
        <v>78.53</v>
      </c>
      <c r="BO2207" s="2">
        <v>78.53</v>
      </c>
      <c r="BQ2207" s="2" t="s">
        <v>102</v>
      </c>
      <c r="BR2207" s="2" t="s">
        <v>103</v>
      </c>
      <c r="BS2207" s="3">
        <v>43084</v>
      </c>
      <c r="BT2207" s="4">
        <v>0.49444444444444446</v>
      </c>
      <c r="BU2207" s="2" t="s">
        <v>2374</v>
      </c>
      <c r="BV2207" s="2" t="s">
        <v>89</v>
      </c>
      <c r="BW2207" s="2" t="s">
        <v>149</v>
      </c>
      <c r="BX2207" s="2" t="s">
        <v>246</v>
      </c>
      <c r="BY2207" s="2">
        <v>4845</v>
      </c>
      <c r="CA2207" s="2" t="s">
        <v>1221</v>
      </c>
      <c r="CC2207" s="2" t="s">
        <v>174</v>
      </c>
      <c r="CD2207" s="2">
        <v>7405</v>
      </c>
      <c r="CE2207" s="2" t="s">
        <v>87</v>
      </c>
      <c r="CF2207" s="3">
        <v>43087</v>
      </c>
      <c r="CI2207" s="2">
        <v>1</v>
      </c>
      <c r="CJ2207" s="2">
        <v>1</v>
      </c>
      <c r="CK2207" s="2">
        <v>21</v>
      </c>
      <c r="CL2207" s="2" t="s">
        <v>89</v>
      </c>
    </row>
    <row r="2208" spans="1:90">
      <c r="A2208" s="2" t="s">
        <v>71</v>
      </c>
      <c r="B2208" s="2" t="s">
        <v>72</v>
      </c>
      <c r="C2208" s="2" t="s">
        <v>73</v>
      </c>
      <c r="E2208" s="2" t="str">
        <f>"FES1162596132"</f>
        <v>FES1162596132</v>
      </c>
      <c r="F2208" s="3">
        <v>43083</v>
      </c>
      <c r="G2208" s="2">
        <v>201806</v>
      </c>
      <c r="H2208" s="2" t="s">
        <v>74</v>
      </c>
      <c r="I2208" s="2" t="s">
        <v>75</v>
      </c>
      <c r="J2208" s="2" t="s">
        <v>97</v>
      </c>
      <c r="K2208" s="2" t="s">
        <v>77</v>
      </c>
      <c r="L2208" s="2" t="s">
        <v>173</v>
      </c>
      <c r="M2208" s="2" t="s">
        <v>174</v>
      </c>
      <c r="N2208" s="2" t="s">
        <v>2469</v>
      </c>
      <c r="O2208" s="2" t="s">
        <v>101</v>
      </c>
      <c r="P2208" s="2" t="str">
        <f>"2170606573                    "</f>
        <v xml:space="preserve">2170606573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6.43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1</v>
      </c>
      <c r="BJ2208" s="2">
        <v>0.2</v>
      </c>
      <c r="BK2208" s="2">
        <v>1</v>
      </c>
      <c r="BL2208" s="2">
        <v>45.93</v>
      </c>
      <c r="BM2208" s="2">
        <v>6.43</v>
      </c>
      <c r="BN2208" s="2">
        <v>52.36</v>
      </c>
      <c r="BO2208" s="2">
        <v>52.36</v>
      </c>
      <c r="BQ2208" s="2" t="s">
        <v>102</v>
      </c>
      <c r="BR2208" s="2" t="s">
        <v>103</v>
      </c>
      <c r="BS2208" s="3">
        <v>43084</v>
      </c>
      <c r="BT2208" s="4">
        <v>0.45833333333333331</v>
      </c>
      <c r="BU2208" s="2" t="s">
        <v>200</v>
      </c>
      <c r="BV2208" s="2" t="s">
        <v>89</v>
      </c>
      <c r="BW2208" s="2" t="s">
        <v>313</v>
      </c>
      <c r="BX2208" s="2" t="s">
        <v>368</v>
      </c>
      <c r="BY2208" s="2">
        <v>1200</v>
      </c>
      <c r="CA2208" s="2" t="s">
        <v>247</v>
      </c>
      <c r="CC2208" s="2" t="s">
        <v>174</v>
      </c>
      <c r="CD2208" s="2">
        <v>7530</v>
      </c>
      <c r="CE2208" s="2" t="s">
        <v>120</v>
      </c>
      <c r="CF2208" s="3">
        <v>43084</v>
      </c>
      <c r="CI2208" s="2">
        <v>1</v>
      </c>
      <c r="CJ2208" s="2">
        <v>1</v>
      </c>
      <c r="CK2208" s="2">
        <v>21</v>
      </c>
      <c r="CL2208" s="2" t="s">
        <v>89</v>
      </c>
    </row>
    <row r="2209" spans="1:90">
      <c r="A2209" s="2" t="s">
        <v>71</v>
      </c>
      <c r="B2209" s="2" t="s">
        <v>72</v>
      </c>
      <c r="C2209" s="2" t="s">
        <v>73</v>
      </c>
      <c r="E2209" s="2" t="str">
        <f>"FES1162596165"</f>
        <v>FES1162596165</v>
      </c>
      <c r="F2209" s="3">
        <v>43083</v>
      </c>
      <c r="G2209" s="2">
        <v>201806</v>
      </c>
      <c r="H2209" s="2" t="s">
        <v>74</v>
      </c>
      <c r="I2209" s="2" t="s">
        <v>75</v>
      </c>
      <c r="J2209" s="2" t="s">
        <v>97</v>
      </c>
      <c r="K2209" s="2" t="s">
        <v>77</v>
      </c>
      <c r="L2209" s="2" t="s">
        <v>462</v>
      </c>
      <c r="M2209" s="2" t="s">
        <v>463</v>
      </c>
      <c r="N2209" s="2" t="s">
        <v>2470</v>
      </c>
      <c r="O2209" s="2" t="s">
        <v>101</v>
      </c>
      <c r="P2209" s="2" t="str">
        <f>"2170605152                    "</f>
        <v xml:space="preserve">2170605152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30.55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9.4</v>
      </c>
      <c r="BJ2209" s="2">
        <v>4.5999999999999996</v>
      </c>
      <c r="BK2209" s="2">
        <v>9.5</v>
      </c>
      <c r="BL2209" s="2">
        <v>218.1</v>
      </c>
      <c r="BM2209" s="2">
        <v>30.53</v>
      </c>
      <c r="BN2209" s="2">
        <v>248.63</v>
      </c>
      <c r="BO2209" s="2">
        <v>248.63</v>
      </c>
      <c r="BQ2209" s="2" t="s">
        <v>82</v>
      </c>
      <c r="BR2209" s="2" t="s">
        <v>103</v>
      </c>
      <c r="BS2209" s="3">
        <v>43084</v>
      </c>
      <c r="BT2209" s="4">
        <v>0.57222222222222219</v>
      </c>
      <c r="BU2209" s="2" t="s">
        <v>2471</v>
      </c>
      <c r="BV2209" s="2" t="s">
        <v>85</v>
      </c>
      <c r="BY2209" s="2">
        <v>23077.63</v>
      </c>
      <c r="CA2209" s="2" t="s">
        <v>542</v>
      </c>
      <c r="CC2209" s="2" t="s">
        <v>463</v>
      </c>
      <c r="CD2209" s="2">
        <v>7130</v>
      </c>
      <c r="CE2209" s="2" t="s">
        <v>95</v>
      </c>
      <c r="CF2209" s="3">
        <v>43087</v>
      </c>
      <c r="CI2209" s="2">
        <v>1</v>
      </c>
      <c r="CJ2209" s="2">
        <v>1</v>
      </c>
      <c r="CK2209" s="2">
        <v>21</v>
      </c>
      <c r="CL2209" s="2" t="s">
        <v>89</v>
      </c>
    </row>
    <row r="2210" spans="1:90">
      <c r="A2210" s="2" t="s">
        <v>71</v>
      </c>
      <c r="B2210" s="2" t="s">
        <v>72</v>
      </c>
      <c r="C2210" s="2" t="s">
        <v>73</v>
      </c>
      <c r="E2210" s="2" t="str">
        <f>"FES1162596019"</f>
        <v>FES1162596019</v>
      </c>
      <c r="F2210" s="3">
        <v>43083</v>
      </c>
      <c r="G2210" s="2">
        <v>201806</v>
      </c>
      <c r="H2210" s="2" t="s">
        <v>74</v>
      </c>
      <c r="I2210" s="2" t="s">
        <v>75</v>
      </c>
      <c r="J2210" s="2" t="s">
        <v>97</v>
      </c>
      <c r="K2210" s="2" t="s">
        <v>77</v>
      </c>
      <c r="L2210" s="2" t="s">
        <v>136</v>
      </c>
      <c r="M2210" s="2" t="s">
        <v>137</v>
      </c>
      <c r="N2210" s="2" t="s">
        <v>540</v>
      </c>
      <c r="O2210" s="2" t="s">
        <v>101</v>
      </c>
      <c r="P2210" s="2" t="str">
        <f>"2170605674                    "</f>
        <v xml:space="preserve">2170605674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6.43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</v>
      </c>
      <c r="BJ2210" s="2">
        <v>0.2</v>
      </c>
      <c r="BK2210" s="2">
        <v>1</v>
      </c>
      <c r="BL2210" s="2">
        <v>45.93</v>
      </c>
      <c r="BM2210" s="2">
        <v>6.43</v>
      </c>
      <c r="BN2210" s="2">
        <v>52.36</v>
      </c>
      <c r="BO2210" s="2">
        <v>52.36</v>
      </c>
      <c r="BQ2210" s="2" t="s">
        <v>541</v>
      </c>
      <c r="BR2210" s="2" t="s">
        <v>103</v>
      </c>
      <c r="BS2210" s="3">
        <v>43084</v>
      </c>
      <c r="BT2210" s="4">
        <v>0.41388888888888892</v>
      </c>
      <c r="BU2210" s="2" t="s">
        <v>2472</v>
      </c>
      <c r="BV2210" s="2" t="s">
        <v>85</v>
      </c>
      <c r="BY2210" s="2">
        <v>1200</v>
      </c>
      <c r="CA2210" s="2" t="s">
        <v>767</v>
      </c>
      <c r="CC2210" s="2" t="s">
        <v>137</v>
      </c>
      <c r="CD2210" s="2">
        <v>6045</v>
      </c>
      <c r="CE2210" s="2" t="s">
        <v>120</v>
      </c>
      <c r="CF2210" s="3">
        <v>43088</v>
      </c>
      <c r="CI2210" s="2">
        <v>1</v>
      </c>
      <c r="CJ2210" s="2">
        <v>1</v>
      </c>
      <c r="CK2210" s="2">
        <v>21</v>
      </c>
      <c r="CL2210" s="2" t="s">
        <v>89</v>
      </c>
    </row>
    <row r="2211" spans="1:90">
      <c r="A2211" s="2" t="s">
        <v>71</v>
      </c>
      <c r="B2211" s="2" t="s">
        <v>72</v>
      </c>
      <c r="C2211" s="2" t="s">
        <v>73</v>
      </c>
      <c r="E2211" s="2" t="str">
        <f>"FES1162596098"</f>
        <v>FES1162596098</v>
      </c>
      <c r="F2211" s="3">
        <v>43083</v>
      </c>
      <c r="G2211" s="2">
        <v>201806</v>
      </c>
      <c r="H2211" s="2" t="s">
        <v>74</v>
      </c>
      <c r="I2211" s="2" t="s">
        <v>75</v>
      </c>
      <c r="J2211" s="2" t="s">
        <v>97</v>
      </c>
      <c r="K2211" s="2" t="s">
        <v>77</v>
      </c>
      <c r="L2211" s="2" t="s">
        <v>212</v>
      </c>
      <c r="M2211" s="2" t="s">
        <v>212</v>
      </c>
      <c r="N2211" s="2" t="s">
        <v>370</v>
      </c>
      <c r="O2211" s="2" t="s">
        <v>101</v>
      </c>
      <c r="P2211" s="2" t="str">
        <f>"2170603992                    "</f>
        <v xml:space="preserve">2170603992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16.079999999999998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4.7</v>
      </c>
      <c r="BJ2211" s="2">
        <v>1.2</v>
      </c>
      <c r="BK2211" s="2">
        <v>5</v>
      </c>
      <c r="BL2211" s="2">
        <v>114.8</v>
      </c>
      <c r="BM2211" s="2">
        <v>16.07</v>
      </c>
      <c r="BN2211" s="2">
        <v>130.87</v>
      </c>
      <c r="BO2211" s="2">
        <v>130.87</v>
      </c>
      <c r="BQ2211" s="2" t="s">
        <v>102</v>
      </c>
      <c r="BR2211" s="2" t="s">
        <v>103</v>
      </c>
      <c r="BS2211" s="3">
        <v>43084</v>
      </c>
      <c r="BT2211" s="4">
        <v>0.61458333333333337</v>
      </c>
      <c r="BU2211" s="2" t="s">
        <v>2254</v>
      </c>
      <c r="BV2211" s="2" t="s">
        <v>89</v>
      </c>
      <c r="BW2211" s="2" t="s">
        <v>149</v>
      </c>
      <c r="BX2211" s="2" t="s">
        <v>2377</v>
      </c>
      <c r="BY2211" s="2">
        <v>5896.82</v>
      </c>
      <c r="CC2211" s="2" t="s">
        <v>212</v>
      </c>
      <c r="CD2211" s="2">
        <v>7646</v>
      </c>
      <c r="CE2211" s="2" t="s">
        <v>95</v>
      </c>
      <c r="CF2211" s="3">
        <v>43087</v>
      </c>
      <c r="CI2211" s="2">
        <v>1</v>
      </c>
      <c r="CJ2211" s="2">
        <v>1</v>
      </c>
      <c r="CK2211" s="2">
        <v>21</v>
      </c>
      <c r="CL2211" s="2" t="s">
        <v>89</v>
      </c>
    </row>
    <row r="2212" spans="1:90">
      <c r="A2212" s="2" t="s">
        <v>71</v>
      </c>
      <c r="B2212" s="2" t="s">
        <v>72</v>
      </c>
      <c r="C2212" s="2" t="s">
        <v>73</v>
      </c>
      <c r="E2212" s="2" t="str">
        <f>"FES1162595956"</f>
        <v>FES1162595956</v>
      </c>
      <c r="F2212" s="3">
        <v>43083</v>
      </c>
      <c r="G2212" s="2">
        <v>201806</v>
      </c>
      <c r="H2212" s="2" t="s">
        <v>74</v>
      </c>
      <c r="I2212" s="2" t="s">
        <v>75</v>
      </c>
      <c r="J2212" s="2" t="s">
        <v>97</v>
      </c>
      <c r="K2212" s="2" t="s">
        <v>77</v>
      </c>
      <c r="L2212" s="2" t="s">
        <v>115</v>
      </c>
      <c r="M2212" s="2" t="s">
        <v>116</v>
      </c>
      <c r="N2212" s="2" t="s">
        <v>1152</v>
      </c>
      <c r="O2212" s="2" t="s">
        <v>101</v>
      </c>
      <c r="P2212" s="2" t="str">
        <f>"2170607767                    "</f>
        <v xml:space="preserve">2170607767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5.03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35.89</v>
      </c>
      <c r="BM2212" s="2">
        <v>5.0199999999999996</v>
      </c>
      <c r="BN2212" s="2">
        <v>40.909999999999997</v>
      </c>
      <c r="BO2212" s="2">
        <v>40.909999999999997</v>
      </c>
      <c r="BQ2212" s="2" t="s">
        <v>102</v>
      </c>
      <c r="BR2212" s="2" t="s">
        <v>103</v>
      </c>
      <c r="BS2212" s="3">
        <v>43084</v>
      </c>
      <c r="BT2212" s="4">
        <v>0.46180555555555558</v>
      </c>
      <c r="BU2212" s="2" t="s">
        <v>2473</v>
      </c>
      <c r="BV2212" s="2" t="s">
        <v>89</v>
      </c>
      <c r="BW2212" s="2" t="s">
        <v>156</v>
      </c>
      <c r="BX2212" s="2" t="s">
        <v>456</v>
      </c>
      <c r="BY2212" s="2">
        <v>1200</v>
      </c>
      <c r="CA2212" s="2" t="s">
        <v>119</v>
      </c>
      <c r="CC2212" s="2" t="s">
        <v>116</v>
      </c>
      <c r="CD2212" s="2">
        <v>1459</v>
      </c>
      <c r="CE2212" s="2" t="s">
        <v>120</v>
      </c>
      <c r="CF2212" s="3">
        <v>43087</v>
      </c>
      <c r="CI2212" s="2">
        <v>1</v>
      </c>
      <c r="CJ2212" s="2">
        <v>1</v>
      </c>
      <c r="CK2212" s="2">
        <v>22</v>
      </c>
      <c r="CL2212" s="2" t="s">
        <v>89</v>
      </c>
    </row>
    <row r="2213" spans="1:90">
      <c r="A2213" s="2" t="s">
        <v>71</v>
      </c>
      <c r="B2213" s="2" t="s">
        <v>72</v>
      </c>
      <c r="C2213" s="2" t="s">
        <v>73</v>
      </c>
      <c r="E2213" s="2" t="str">
        <f>"FES1162596234"</f>
        <v>FES1162596234</v>
      </c>
      <c r="F2213" s="3">
        <v>43083</v>
      </c>
      <c r="G2213" s="2">
        <v>201806</v>
      </c>
      <c r="H2213" s="2" t="s">
        <v>74</v>
      </c>
      <c r="I2213" s="2" t="s">
        <v>75</v>
      </c>
      <c r="J2213" s="2" t="s">
        <v>97</v>
      </c>
      <c r="K2213" s="2" t="s">
        <v>77</v>
      </c>
      <c r="L2213" s="2" t="s">
        <v>136</v>
      </c>
      <c r="M2213" s="2" t="s">
        <v>137</v>
      </c>
      <c r="N2213" s="2" t="s">
        <v>1385</v>
      </c>
      <c r="O2213" s="2" t="s">
        <v>101</v>
      </c>
      <c r="P2213" s="2" t="str">
        <f>"2170606859                    "</f>
        <v xml:space="preserve">2170606859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6.43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1</v>
      </c>
      <c r="BJ2213" s="2">
        <v>0.2</v>
      </c>
      <c r="BK2213" s="2">
        <v>1</v>
      </c>
      <c r="BL2213" s="2">
        <v>45.93</v>
      </c>
      <c r="BM2213" s="2">
        <v>6.43</v>
      </c>
      <c r="BN2213" s="2">
        <v>52.36</v>
      </c>
      <c r="BO2213" s="2">
        <v>52.36</v>
      </c>
      <c r="BQ2213" s="2" t="s">
        <v>1386</v>
      </c>
      <c r="BR2213" s="2" t="s">
        <v>103</v>
      </c>
      <c r="BS2213" s="3">
        <v>43084</v>
      </c>
      <c r="BT2213" s="4">
        <v>0.3611111111111111</v>
      </c>
      <c r="BU2213" s="2" t="s">
        <v>2474</v>
      </c>
      <c r="BV2213" s="2" t="s">
        <v>85</v>
      </c>
      <c r="BY2213" s="2">
        <v>1200</v>
      </c>
      <c r="CA2213" s="2" t="s">
        <v>2354</v>
      </c>
      <c r="CC2213" s="2" t="s">
        <v>137</v>
      </c>
      <c r="CD2213" s="2">
        <v>6001</v>
      </c>
      <c r="CE2213" s="2" t="s">
        <v>120</v>
      </c>
      <c r="CF2213" s="3">
        <v>43088</v>
      </c>
      <c r="CI2213" s="2">
        <v>1</v>
      </c>
      <c r="CJ2213" s="2">
        <v>1</v>
      </c>
      <c r="CK2213" s="2">
        <v>21</v>
      </c>
      <c r="CL2213" s="2" t="s">
        <v>89</v>
      </c>
    </row>
    <row r="2214" spans="1:90">
      <c r="A2214" s="2" t="s">
        <v>71</v>
      </c>
      <c r="B2214" s="2" t="s">
        <v>72</v>
      </c>
      <c r="C2214" s="2" t="s">
        <v>73</v>
      </c>
      <c r="E2214" s="2" t="str">
        <f>"FES1162596048"</f>
        <v>FES1162596048</v>
      </c>
      <c r="F2214" s="3">
        <v>43083</v>
      </c>
      <c r="G2214" s="2">
        <v>201806</v>
      </c>
      <c r="H2214" s="2" t="s">
        <v>74</v>
      </c>
      <c r="I2214" s="2" t="s">
        <v>75</v>
      </c>
      <c r="J2214" s="2" t="s">
        <v>97</v>
      </c>
      <c r="K2214" s="2" t="s">
        <v>77</v>
      </c>
      <c r="L2214" s="2" t="s">
        <v>1855</v>
      </c>
      <c r="M2214" s="2" t="s">
        <v>1856</v>
      </c>
      <c r="N2214" s="2" t="s">
        <v>1857</v>
      </c>
      <c r="O2214" s="2" t="s">
        <v>101</v>
      </c>
      <c r="P2214" s="2" t="str">
        <f>"2170607791                    "</f>
        <v xml:space="preserve">2170607791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9.0500000000000007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64.599999999999994</v>
      </c>
      <c r="BM2214" s="2">
        <v>9.0399999999999991</v>
      </c>
      <c r="BN2214" s="2">
        <v>73.64</v>
      </c>
      <c r="BO2214" s="2">
        <v>73.64</v>
      </c>
      <c r="BQ2214" s="2" t="s">
        <v>82</v>
      </c>
      <c r="BR2214" s="2" t="s">
        <v>103</v>
      </c>
      <c r="BS2214" s="3">
        <v>43084</v>
      </c>
      <c r="BT2214" s="4">
        <v>0.41666666666666669</v>
      </c>
      <c r="BU2214" s="2" t="s">
        <v>2475</v>
      </c>
      <c r="BV2214" s="2" t="s">
        <v>85</v>
      </c>
      <c r="BY2214" s="2">
        <v>1200</v>
      </c>
      <c r="CA2214" s="2" t="s">
        <v>389</v>
      </c>
      <c r="CC2214" s="2" t="s">
        <v>1856</v>
      </c>
      <c r="CD2214" s="2">
        <v>1441</v>
      </c>
      <c r="CE2214" s="2" t="s">
        <v>120</v>
      </c>
      <c r="CF2214" s="3">
        <v>43088</v>
      </c>
      <c r="CI2214" s="2">
        <v>1</v>
      </c>
      <c r="CJ2214" s="2">
        <v>1</v>
      </c>
      <c r="CK2214" s="2">
        <v>24</v>
      </c>
      <c r="CL2214" s="2" t="s">
        <v>89</v>
      </c>
    </row>
    <row r="2215" spans="1:90">
      <c r="A2215" s="2" t="s">
        <v>71</v>
      </c>
      <c r="B2215" s="2" t="s">
        <v>72</v>
      </c>
      <c r="C2215" s="2" t="s">
        <v>73</v>
      </c>
      <c r="E2215" s="2" t="str">
        <f>"FES1162596095"</f>
        <v>FES1162596095</v>
      </c>
      <c r="F2215" s="3">
        <v>43083</v>
      </c>
      <c r="G2215" s="2">
        <v>201806</v>
      </c>
      <c r="H2215" s="2" t="s">
        <v>74</v>
      </c>
      <c r="I2215" s="2" t="s">
        <v>75</v>
      </c>
      <c r="J2215" s="2" t="s">
        <v>97</v>
      </c>
      <c r="K2215" s="2" t="s">
        <v>77</v>
      </c>
      <c r="L2215" s="2" t="s">
        <v>173</v>
      </c>
      <c r="M2215" s="2" t="s">
        <v>174</v>
      </c>
      <c r="N2215" s="2" t="s">
        <v>2284</v>
      </c>
      <c r="O2215" s="2" t="s">
        <v>101</v>
      </c>
      <c r="P2215" s="2" t="str">
        <f>"2170603174                    "</f>
        <v xml:space="preserve">2170603174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12.87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3.8</v>
      </c>
      <c r="BJ2215" s="2">
        <v>0.9</v>
      </c>
      <c r="BK2215" s="2">
        <v>4</v>
      </c>
      <c r="BL2215" s="2">
        <v>91.85</v>
      </c>
      <c r="BM2215" s="2">
        <v>12.86</v>
      </c>
      <c r="BN2215" s="2">
        <v>104.71</v>
      </c>
      <c r="BO2215" s="2">
        <v>104.71</v>
      </c>
      <c r="BQ2215" s="2" t="s">
        <v>102</v>
      </c>
      <c r="BR2215" s="2" t="s">
        <v>103</v>
      </c>
      <c r="BS2215" s="3">
        <v>43084</v>
      </c>
      <c r="BT2215" s="4">
        <v>0.45902777777777781</v>
      </c>
      <c r="BU2215" s="2" t="s">
        <v>2476</v>
      </c>
      <c r="BV2215" s="2" t="s">
        <v>89</v>
      </c>
      <c r="BW2215" s="2" t="s">
        <v>149</v>
      </c>
      <c r="BX2215" s="2" t="s">
        <v>246</v>
      </c>
      <c r="BY2215" s="2">
        <v>4651.34</v>
      </c>
      <c r="CA2215" s="2" t="s">
        <v>1389</v>
      </c>
      <c r="CC2215" s="2" t="s">
        <v>174</v>
      </c>
      <c r="CD2215" s="2">
        <v>7460</v>
      </c>
      <c r="CE2215" s="2" t="s">
        <v>95</v>
      </c>
      <c r="CF2215" s="3">
        <v>43087</v>
      </c>
      <c r="CI2215" s="2">
        <v>1</v>
      </c>
      <c r="CJ2215" s="2">
        <v>1</v>
      </c>
      <c r="CK2215" s="2">
        <v>21</v>
      </c>
      <c r="CL2215" s="2" t="s">
        <v>89</v>
      </c>
    </row>
    <row r="2216" spans="1:90">
      <c r="A2216" s="2" t="s">
        <v>71</v>
      </c>
      <c r="B2216" s="2" t="s">
        <v>72</v>
      </c>
      <c r="C2216" s="2" t="s">
        <v>73</v>
      </c>
      <c r="E2216" s="2" t="str">
        <f>"FES1162596215"</f>
        <v>FES1162596215</v>
      </c>
      <c r="F2216" s="3">
        <v>43083</v>
      </c>
      <c r="G2216" s="2">
        <v>201806</v>
      </c>
      <c r="H2216" s="2" t="s">
        <v>74</v>
      </c>
      <c r="I2216" s="2" t="s">
        <v>75</v>
      </c>
      <c r="J2216" s="2" t="s">
        <v>97</v>
      </c>
      <c r="K2216" s="2" t="s">
        <v>77</v>
      </c>
      <c r="L2216" s="2" t="s">
        <v>131</v>
      </c>
      <c r="M2216" s="2" t="s">
        <v>132</v>
      </c>
      <c r="N2216" s="2" t="s">
        <v>228</v>
      </c>
      <c r="O2216" s="2" t="s">
        <v>101</v>
      </c>
      <c r="P2216" s="2" t="str">
        <f>"2170607965                    "</f>
        <v xml:space="preserve">2170607965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6.43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1</v>
      </c>
      <c r="BJ2216" s="2">
        <v>0.2</v>
      </c>
      <c r="BK2216" s="2">
        <v>1</v>
      </c>
      <c r="BL2216" s="2">
        <v>45.93</v>
      </c>
      <c r="BM2216" s="2">
        <v>6.43</v>
      </c>
      <c r="BN2216" s="2">
        <v>52.36</v>
      </c>
      <c r="BO2216" s="2">
        <v>52.36</v>
      </c>
      <c r="BQ2216" s="2" t="s">
        <v>229</v>
      </c>
      <c r="BR2216" s="2" t="s">
        <v>103</v>
      </c>
      <c r="BS2216" s="3">
        <v>43084</v>
      </c>
      <c r="BT2216" s="4">
        <v>0.3923611111111111</v>
      </c>
      <c r="BU2216" s="2" t="s">
        <v>230</v>
      </c>
      <c r="BV2216" s="2" t="s">
        <v>85</v>
      </c>
      <c r="BY2216" s="2">
        <v>1200</v>
      </c>
      <c r="CA2216" s="2" t="s">
        <v>231</v>
      </c>
      <c r="CC2216" s="2" t="s">
        <v>132</v>
      </c>
      <c r="CD2216" s="2">
        <v>4300</v>
      </c>
      <c r="CE2216" s="2" t="s">
        <v>120</v>
      </c>
      <c r="CF2216" s="3">
        <v>43087</v>
      </c>
      <c r="CI2216" s="2">
        <v>1</v>
      </c>
      <c r="CJ2216" s="2">
        <v>1</v>
      </c>
      <c r="CK2216" s="2">
        <v>21</v>
      </c>
      <c r="CL2216" s="2" t="s">
        <v>89</v>
      </c>
    </row>
    <row r="2217" spans="1:90">
      <c r="A2217" s="2" t="s">
        <v>71</v>
      </c>
      <c r="B2217" s="2" t="s">
        <v>72</v>
      </c>
      <c r="C2217" s="2" t="s">
        <v>73</v>
      </c>
      <c r="E2217" s="2" t="str">
        <f>"FES1162596217"</f>
        <v>FES1162596217</v>
      </c>
      <c r="F2217" s="3">
        <v>43083</v>
      </c>
      <c r="G2217" s="2">
        <v>201806</v>
      </c>
      <c r="H2217" s="2" t="s">
        <v>74</v>
      </c>
      <c r="I2217" s="2" t="s">
        <v>75</v>
      </c>
      <c r="J2217" s="2" t="s">
        <v>97</v>
      </c>
      <c r="K2217" s="2" t="s">
        <v>77</v>
      </c>
      <c r="L2217" s="2" t="s">
        <v>325</v>
      </c>
      <c r="M2217" s="2" t="s">
        <v>326</v>
      </c>
      <c r="N2217" s="2" t="s">
        <v>2477</v>
      </c>
      <c r="O2217" s="2" t="s">
        <v>101</v>
      </c>
      <c r="P2217" s="2" t="str">
        <f>"2170607972                    "</f>
        <v xml:space="preserve">2170607972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6.43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1</v>
      </c>
      <c r="BJ2217" s="2">
        <v>0.2</v>
      </c>
      <c r="BK2217" s="2">
        <v>1</v>
      </c>
      <c r="BL2217" s="2">
        <v>45.93</v>
      </c>
      <c r="BM2217" s="2">
        <v>6.43</v>
      </c>
      <c r="BN2217" s="2">
        <v>52.36</v>
      </c>
      <c r="BO2217" s="2">
        <v>52.36</v>
      </c>
      <c r="BQ2217" s="2" t="s">
        <v>82</v>
      </c>
      <c r="BR2217" s="2" t="s">
        <v>103</v>
      </c>
      <c r="BS2217" s="3">
        <v>43084</v>
      </c>
      <c r="BT2217" s="4">
        <v>0.45277777777777778</v>
      </c>
      <c r="BU2217" s="2" t="s">
        <v>2478</v>
      </c>
      <c r="BV2217" s="2" t="s">
        <v>85</v>
      </c>
      <c r="BY2217" s="2">
        <v>1200</v>
      </c>
      <c r="CA2217" s="2" t="s">
        <v>1326</v>
      </c>
      <c r="CC2217" s="2" t="s">
        <v>326</v>
      </c>
      <c r="CD2217" s="2">
        <v>1939</v>
      </c>
      <c r="CE2217" s="2" t="s">
        <v>120</v>
      </c>
      <c r="CF2217" s="3">
        <v>43088</v>
      </c>
      <c r="CI2217" s="2">
        <v>1</v>
      </c>
      <c r="CJ2217" s="2">
        <v>1</v>
      </c>
      <c r="CK2217" s="2">
        <v>21</v>
      </c>
      <c r="CL2217" s="2" t="s">
        <v>89</v>
      </c>
    </row>
    <row r="2218" spans="1:90">
      <c r="A2218" s="2" t="s">
        <v>71</v>
      </c>
      <c r="B2218" s="2" t="s">
        <v>72</v>
      </c>
      <c r="C2218" s="2" t="s">
        <v>73</v>
      </c>
      <c r="E2218" s="2" t="str">
        <f>"FES1162596126"</f>
        <v>FES1162596126</v>
      </c>
      <c r="F2218" s="3">
        <v>43083</v>
      </c>
      <c r="G2218" s="2">
        <v>201806</v>
      </c>
      <c r="H2218" s="2" t="s">
        <v>74</v>
      </c>
      <c r="I2218" s="2" t="s">
        <v>75</v>
      </c>
      <c r="J2218" s="2" t="s">
        <v>97</v>
      </c>
      <c r="K2218" s="2" t="s">
        <v>77</v>
      </c>
      <c r="L2218" s="2" t="s">
        <v>115</v>
      </c>
      <c r="M2218" s="2" t="s">
        <v>116</v>
      </c>
      <c r="N2218" s="2" t="s">
        <v>1152</v>
      </c>
      <c r="O2218" s="2" t="s">
        <v>101</v>
      </c>
      <c r="P2218" s="2" t="str">
        <f>"2170607769                    "</f>
        <v xml:space="preserve">2170607769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5.03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3</v>
      </c>
      <c r="BJ2218" s="2">
        <v>1.1000000000000001</v>
      </c>
      <c r="BK2218" s="2">
        <v>3</v>
      </c>
      <c r="BL2218" s="2">
        <v>35.89</v>
      </c>
      <c r="BM2218" s="2">
        <v>5.0199999999999996</v>
      </c>
      <c r="BN2218" s="2">
        <v>40.909999999999997</v>
      </c>
      <c r="BO2218" s="2">
        <v>40.909999999999997</v>
      </c>
      <c r="BQ2218" s="2" t="s">
        <v>102</v>
      </c>
      <c r="BR2218" s="2" t="s">
        <v>103</v>
      </c>
      <c r="BS2218" s="3">
        <v>43084</v>
      </c>
      <c r="BT2218" s="4">
        <v>0.4201388888888889</v>
      </c>
      <c r="BU2218" s="2" t="s">
        <v>2473</v>
      </c>
      <c r="BV2218" s="2" t="s">
        <v>85</v>
      </c>
      <c r="BY2218" s="2">
        <v>5400</v>
      </c>
      <c r="CA2218" s="2" t="s">
        <v>119</v>
      </c>
      <c r="CC2218" s="2" t="s">
        <v>116</v>
      </c>
      <c r="CD2218" s="2">
        <v>1459</v>
      </c>
      <c r="CE2218" s="2" t="s">
        <v>87</v>
      </c>
      <c r="CF2218" s="3">
        <v>43087</v>
      </c>
      <c r="CI2218" s="2">
        <v>1</v>
      </c>
      <c r="CJ2218" s="2">
        <v>1</v>
      </c>
      <c r="CK2218" s="2">
        <v>22</v>
      </c>
      <c r="CL2218" s="2" t="s">
        <v>89</v>
      </c>
    </row>
    <row r="2219" spans="1:90">
      <c r="A2219" s="2" t="s">
        <v>71</v>
      </c>
      <c r="B2219" s="2" t="s">
        <v>72</v>
      </c>
      <c r="C2219" s="2" t="s">
        <v>73</v>
      </c>
      <c r="E2219" s="2" t="str">
        <f>"FES1162596210"</f>
        <v>FES1162596210</v>
      </c>
      <c r="F2219" s="3">
        <v>43083</v>
      </c>
      <c r="G2219" s="2">
        <v>201806</v>
      </c>
      <c r="H2219" s="2" t="s">
        <v>74</v>
      </c>
      <c r="I2219" s="2" t="s">
        <v>75</v>
      </c>
      <c r="J2219" s="2" t="s">
        <v>97</v>
      </c>
      <c r="K2219" s="2" t="s">
        <v>77</v>
      </c>
      <c r="L2219" s="2" t="s">
        <v>125</v>
      </c>
      <c r="M2219" s="2" t="s">
        <v>126</v>
      </c>
      <c r="N2219" s="2" t="s">
        <v>2178</v>
      </c>
      <c r="O2219" s="2" t="s">
        <v>101</v>
      </c>
      <c r="P2219" s="2" t="str">
        <f>"2170607959                    "</f>
        <v xml:space="preserve">2170607959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6.43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1</v>
      </c>
      <c r="BJ2219" s="2">
        <v>0.2</v>
      </c>
      <c r="BK2219" s="2">
        <v>1</v>
      </c>
      <c r="BL2219" s="2">
        <v>45.93</v>
      </c>
      <c r="BM2219" s="2">
        <v>6.43</v>
      </c>
      <c r="BN2219" s="2">
        <v>52.36</v>
      </c>
      <c r="BO2219" s="2">
        <v>52.36</v>
      </c>
      <c r="BQ2219" s="2" t="s">
        <v>82</v>
      </c>
      <c r="BR2219" s="2" t="s">
        <v>103</v>
      </c>
      <c r="BS2219" s="3">
        <v>43090</v>
      </c>
      <c r="BT2219" s="4">
        <v>0.48888888888888887</v>
      </c>
      <c r="BU2219" s="2" t="s">
        <v>2361</v>
      </c>
      <c r="BV2219" s="2" t="s">
        <v>89</v>
      </c>
      <c r="BW2219" s="2" t="s">
        <v>471</v>
      </c>
      <c r="BX2219" s="2" t="s">
        <v>1390</v>
      </c>
      <c r="BY2219" s="2">
        <v>1200</v>
      </c>
      <c r="CC2219" s="2" t="s">
        <v>126</v>
      </c>
      <c r="CD2219" s="2">
        <v>4052</v>
      </c>
      <c r="CE2219" s="2" t="s">
        <v>120</v>
      </c>
      <c r="CF2219" s="3">
        <v>43091</v>
      </c>
      <c r="CI2219" s="2">
        <v>1</v>
      </c>
      <c r="CJ2219" s="2">
        <v>5</v>
      </c>
      <c r="CK2219" s="2">
        <v>21</v>
      </c>
      <c r="CL2219" s="2" t="s">
        <v>89</v>
      </c>
    </row>
    <row r="2220" spans="1:90">
      <c r="A2220" s="2" t="s">
        <v>71</v>
      </c>
      <c r="B2220" s="2" t="s">
        <v>72</v>
      </c>
      <c r="C2220" s="2" t="s">
        <v>73</v>
      </c>
      <c r="E2220" s="2" t="str">
        <f>"FES1162596198"</f>
        <v>FES1162596198</v>
      </c>
      <c r="F2220" s="3">
        <v>43083</v>
      </c>
      <c r="G2220" s="2">
        <v>201806</v>
      </c>
      <c r="H2220" s="2" t="s">
        <v>74</v>
      </c>
      <c r="I2220" s="2" t="s">
        <v>75</v>
      </c>
      <c r="J2220" s="2" t="s">
        <v>97</v>
      </c>
      <c r="K2220" s="2" t="s">
        <v>77</v>
      </c>
      <c r="L2220" s="2" t="s">
        <v>136</v>
      </c>
      <c r="M2220" s="2" t="s">
        <v>137</v>
      </c>
      <c r="N2220" s="2" t="s">
        <v>580</v>
      </c>
      <c r="O2220" s="2" t="s">
        <v>101</v>
      </c>
      <c r="P2220" s="2" t="str">
        <f>"2170607527                    "</f>
        <v xml:space="preserve">2170607527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28.94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8.6</v>
      </c>
      <c r="BJ2220" s="2">
        <v>4.2</v>
      </c>
      <c r="BK2220" s="2">
        <v>9</v>
      </c>
      <c r="BL2220" s="2">
        <v>206.62</v>
      </c>
      <c r="BM2220" s="2">
        <v>28.93</v>
      </c>
      <c r="BN2220" s="2">
        <v>235.55</v>
      </c>
      <c r="BO2220" s="2">
        <v>235.55</v>
      </c>
      <c r="BQ2220" s="2" t="s">
        <v>102</v>
      </c>
      <c r="BR2220" s="2" t="s">
        <v>103</v>
      </c>
      <c r="BS2220" s="3">
        <v>43084</v>
      </c>
      <c r="BT2220" s="4">
        <v>0.34027777777777773</v>
      </c>
      <c r="BU2220" s="2" t="s">
        <v>1751</v>
      </c>
      <c r="BV2220" s="2" t="s">
        <v>85</v>
      </c>
      <c r="BY2220" s="2">
        <v>20880.97</v>
      </c>
      <c r="CA2220" s="2" t="s">
        <v>180</v>
      </c>
      <c r="CC2220" s="2" t="s">
        <v>137</v>
      </c>
      <c r="CD2220" s="2">
        <v>6001</v>
      </c>
      <c r="CE2220" s="2" t="s">
        <v>95</v>
      </c>
      <c r="CF2220" s="3">
        <v>43088</v>
      </c>
      <c r="CI2220" s="2">
        <v>1</v>
      </c>
      <c r="CJ2220" s="2">
        <v>1</v>
      </c>
      <c r="CK2220" s="2">
        <v>21</v>
      </c>
      <c r="CL2220" s="2" t="s">
        <v>89</v>
      </c>
    </row>
    <row r="2221" spans="1:90">
      <c r="A2221" s="2" t="s">
        <v>71</v>
      </c>
      <c r="B2221" s="2" t="s">
        <v>72</v>
      </c>
      <c r="C2221" s="2" t="s">
        <v>73</v>
      </c>
      <c r="E2221" s="2" t="str">
        <f>"FES1162596213"</f>
        <v>FES1162596213</v>
      </c>
      <c r="F2221" s="3">
        <v>43083</v>
      </c>
      <c r="G2221" s="2">
        <v>201806</v>
      </c>
      <c r="H2221" s="2" t="s">
        <v>74</v>
      </c>
      <c r="I2221" s="2" t="s">
        <v>75</v>
      </c>
      <c r="J2221" s="2" t="s">
        <v>97</v>
      </c>
      <c r="K2221" s="2" t="s">
        <v>77</v>
      </c>
      <c r="L2221" s="2" t="s">
        <v>125</v>
      </c>
      <c r="M2221" s="2" t="s">
        <v>126</v>
      </c>
      <c r="N2221" s="2" t="s">
        <v>2178</v>
      </c>
      <c r="O2221" s="2" t="s">
        <v>101</v>
      </c>
      <c r="P2221" s="2" t="str">
        <f>"2170607962                    "</f>
        <v xml:space="preserve">2170607962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9.65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3</v>
      </c>
      <c r="BJ2221" s="2">
        <v>1.3</v>
      </c>
      <c r="BK2221" s="2">
        <v>3</v>
      </c>
      <c r="BL2221" s="2">
        <v>68.89</v>
      </c>
      <c r="BM2221" s="2">
        <v>9.64</v>
      </c>
      <c r="BN2221" s="2">
        <v>78.53</v>
      </c>
      <c r="BO2221" s="2">
        <v>78.53</v>
      </c>
      <c r="BQ2221" s="2" t="s">
        <v>82</v>
      </c>
      <c r="BR2221" s="2" t="s">
        <v>103</v>
      </c>
      <c r="BS2221" s="3">
        <v>43090</v>
      </c>
      <c r="BT2221" s="4">
        <v>0.48749999999999999</v>
      </c>
      <c r="BU2221" s="2" t="s">
        <v>2361</v>
      </c>
      <c r="BV2221" s="2" t="s">
        <v>89</v>
      </c>
      <c r="BW2221" s="2" t="s">
        <v>471</v>
      </c>
      <c r="BX2221" s="2" t="s">
        <v>1390</v>
      </c>
      <c r="BY2221" s="2">
        <v>6727</v>
      </c>
      <c r="CC2221" s="2" t="s">
        <v>126</v>
      </c>
      <c r="CD2221" s="2">
        <v>4052</v>
      </c>
      <c r="CE2221" s="2" t="s">
        <v>95</v>
      </c>
      <c r="CF2221" s="3">
        <v>43091</v>
      </c>
      <c r="CI2221" s="2">
        <v>1</v>
      </c>
      <c r="CJ2221" s="2">
        <v>5</v>
      </c>
      <c r="CK2221" s="2">
        <v>21</v>
      </c>
      <c r="CL2221" s="2" t="s">
        <v>89</v>
      </c>
    </row>
    <row r="2222" spans="1:90">
      <c r="A2222" s="2" t="s">
        <v>71</v>
      </c>
      <c r="B2222" s="2" t="s">
        <v>72</v>
      </c>
      <c r="C2222" s="2" t="s">
        <v>73</v>
      </c>
      <c r="E2222" s="2" t="str">
        <f>"FES1162596191"</f>
        <v>FES1162596191</v>
      </c>
      <c r="F2222" s="3">
        <v>43083</v>
      </c>
      <c r="G2222" s="2">
        <v>201806</v>
      </c>
      <c r="H2222" s="2" t="s">
        <v>74</v>
      </c>
      <c r="I2222" s="2" t="s">
        <v>75</v>
      </c>
      <c r="J2222" s="2" t="s">
        <v>97</v>
      </c>
      <c r="K2222" s="2" t="s">
        <v>77</v>
      </c>
      <c r="L2222" s="2" t="s">
        <v>173</v>
      </c>
      <c r="M2222" s="2" t="s">
        <v>174</v>
      </c>
      <c r="N2222" s="2" t="s">
        <v>323</v>
      </c>
      <c r="O2222" s="2" t="s">
        <v>101</v>
      </c>
      <c r="P2222" s="2" t="str">
        <f>"2170607940                    "</f>
        <v xml:space="preserve">2170607940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6.43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</v>
      </c>
      <c r="BJ2222" s="2">
        <v>0.2</v>
      </c>
      <c r="BK2222" s="2">
        <v>1</v>
      </c>
      <c r="BL2222" s="2">
        <v>45.93</v>
      </c>
      <c r="BM2222" s="2">
        <v>6.43</v>
      </c>
      <c r="BN2222" s="2">
        <v>52.36</v>
      </c>
      <c r="BO2222" s="2">
        <v>52.36</v>
      </c>
      <c r="BQ2222" s="2" t="s">
        <v>82</v>
      </c>
      <c r="BR2222" s="2" t="s">
        <v>103</v>
      </c>
      <c r="BS2222" s="3">
        <v>43084</v>
      </c>
      <c r="BT2222" s="4">
        <v>0.49513888888888885</v>
      </c>
      <c r="BU2222" s="2" t="s">
        <v>2479</v>
      </c>
      <c r="BV2222" s="2" t="s">
        <v>89</v>
      </c>
      <c r="BW2222" s="2" t="s">
        <v>149</v>
      </c>
      <c r="BX2222" s="2" t="s">
        <v>246</v>
      </c>
      <c r="BY2222" s="2">
        <v>1200</v>
      </c>
      <c r="CA2222" s="2" t="s">
        <v>1221</v>
      </c>
      <c r="CC2222" s="2" t="s">
        <v>174</v>
      </c>
      <c r="CD2222" s="2">
        <v>7405</v>
      </c>
      <c r="CE2222" s="2" t="s">
        <v>120</v>
      </c>
      <c r="CF2222" s="3">
        <v>43087</v>
      </c>
      <c r="CI2222" s="2">
        <v>1</v>
      </c>
      <c r="CJ2222" s="2">
        <v>1</v>
      </c>
      <c r="CK2222" s="2">
        <v>21</v>
      </c>
      <c r="CL2222" s="2" t="s">
        <v>89</v>
      </c>
    </row>
    <row r="2223" spans="1:90">
      <c r="A2223" s="2" t="s">
        <v>71</v>
      </c>
      <c r="B2223" s="2" t="s">
        <v>72</v>
      </c>
      <c r="C2223" s="2" t="s">
        <v>73</v>
      </c>
      <c r="E2223" s="2" t="str">
        <f>"FES1162596181"</f>
        <v>FES1162596181</v>
      </c>
      <c r="F2223" s="3">
        <v>43083</v>
      </c>
      <c r="G2223" s="2">
        <v>201806</v>
      </c>
      <c r="H2223" s="2" t="s">
        <v>74</v>
      </c>
      <c r="I2223" s="2" t="s">
        <v>75</v>
      </c>
      <c r="J2223" s="2" t="s">
        <v>97</v>
      </c>
      <c r="K2223" s="2" t="s">
        <v>77</v>
      </c>
      <c r="L2223" s="2" t="s">
        <v>173</v>
      </c>
      <c r="M2223" s="2" t="s">
        <v>174</v>
      </c>
      <c r="N2223" s="2" t="s">
        <v>1939</v>
      </c>
      <c r="O2223" s="2" t="s">
        <v>101</v>
      </c>
      <c r="P2223" s="2" t="str">
        <f>"2170607928                    "</f>
        <v xml:space="preserve">2170607928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6.43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1</v>
      </c>
      <c r="BJ2223" s="2">
        <v>0.2</v>
      </c>
      <c r="BK2223" s="2">
        <v>1</v>
      </c>
      <c r="BL2223" s="2">
        <v>45.93</v>
      </c>
      <c r="BM2223" s="2">
        <v>6.43</v>
      </c>
      <c r="BN2223" s="2">
        <v>52.36</v>
      </c>
      <c r="BO2223" s="2">
        <v>52.36</v>
      </c>
      <c r="BQ2223" s="2" t="s">
        <v>102</v>
      </c>
      <c r="BR2223" s="2" t="s">
        <v>103</v>
      </c>
      <c r="BS2223" s="3">
        <v>43084</v>
      </c>
      <c r="BT2223" s="4">
        <v>0.43402777777777773</v>
      </c>
      <c r="BU2223" s="2" t="s">
        <v>1940</v>
      </c>
      <c r="BV2223" s="2" t="s">
        <v>85</v>
      </c>
      <c r="BY2223" s="2">
        <v>1200</v>
      </c>
      <c r="CA2223" s="2" t="s">
        <v>216</v>
      </c>
      <c r="CC2223" s="2" t="s">
        <v>174</v>
      </c>
      <c r="CD2223" s="2">
        <v>7945</v>
      </c>
      <c r="CE2223" s="2" t="s">
        <v>120</v>
      </c>
      <c r="CF2223" s="3">
        <v>43087</v>
      </c>
      <c r="CI2223" s="2">
        <v>1</v>
      </c>
      <c r="CJ2223" s="2">
        <v>1</v>
      </c>
      <c r="CK2223" s="2">
        <v>21</v>
      </c>
      <c r="CL2223" s="2" t="s">
        <v>89</v>
      </c>
    </row>
    <row r="2224" spans="1:90">
      <c r="A2224" s="2" t="s">
        <v>71</v>
      </c>
      <c r="B2224" s="2" t="s">
        <v>72</v>
      </c>
      <c r="C2224" s="2" t="s">
        <v>73</v>
      </c>
      <c r="E2224" s="2" t="str">
        <f>"FES1162595931"</f>
        <v>FES1162595931</v>
      </c>
      <c r="F2224" s="3">
        <v>43083</v>
      </c>
      <c r="G2224" s="2">
        <v>201806</v>
      </c>
      <c r="H2224" s="2" t="s">
        <v>74</v>
      </c>
      <c r="I2224" s="2" t="s">
        <v>75</v>
      </c>
      <c r="J2224" s="2" t="s">
        <v>97</v>
      </c>
      <c r="K2224" s="2" t="s">
        <v>77</v>
      </c>
      <c r="L2224" s="2" t="s">
        <v>449</v>
      </c>
      <c r="M2224" s="2" t="s">
        <v>450</v>
      </c>
      <c r="N2224" s="2" t="s">
        <v>2480</v>
      </c>
      <c r="O2224" s="2" t="s">
        <v>101</v>
      </c>
      <c r="P2224" s="2" t="str">
        <f>"2170604535                    "</f>
        <v xml:space="preserve">2170604535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5.03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1</v>
      </c>
      <c r="BJ2224" s="2">
        <v>0.2</v>
      </c>
      <c r="BK2224" s="2">
        <v>1</v>
      </c>
      <c r="BL2224" s="2">
        <v>35.89</v>
      </c>
      <c r="BM2224" s="2">
        <v>5.0199999999999996</v>
      </c>
      <c r="BN2224" s="2">
        <v>40.909999999999997</v>
      </c>
      <c r="BO2224" s="2">
        <v>40.909999999999997</v>
      </c>
      <c r="BQ2224" s="2" t="s">
        <v>142</v>
      </c>
      <c r="BR2224" s="2" t="s">
        <v>103</v>
      </c>
      <c r="BS2224" s="3">
        <v>43090</v>
      </c>
      <c r="BT2224" s="4">
        <v>0.375</v>
      </c>
      <c r="BU2224" s="2" t="s">
        <v>2481</v>
      </c>
      <c r="BV2224" s="2" t="s">
        <v>89</v>
      </c>
      <c r="BW2224" s="2" t="s">
        <v>149</v>
      </c>
      <c r="BX2224" s="2" t="s">
        <v>157</v>
      </c>
      <c r="BY2224" s="2">
        <v>1200</v>
      </c>
      <c r="CC2224" s="2" t="s">
        <v>450</v>
      </c>
      <c r="CD2224" s="2">
        <v>1725</v>
      </c>
      <c r="CE2224" s="2" t="s">
        <v>120</v>
      </c>
      <c r="CF2224" s="3">
        <v>43091</v>
      </c>
      <c r="CI2224" s="2">
        <v>1</v>
      </c>
      <c r="CJ2224" s="2">
        <v>5</v>
      </c>
      <c r="CK2224" s="2">
        <v>22</v>
      </c>
      <c r="CL2224" s="2" t="s">
        <v>89</v>
      </c>
    </row>
    <row r="2225" spans="1:90">
      <c r="A2225" s="2" t="s">
        <v>71</v>
      </c>
      <c r="B2225" s="2" t="s">
        <v>72</v>
      </c>
      <c r="C2225" s="2" t="s">
        <v>73</v>
      </c>
      <c r="E2225" s="2" t="str">
        <f>"FES1162596182"</f>
        <v>FES1162596182</v>
      </c>
      <c r="F2225" s="3">
        <v>43083</v>
      </c>
      <c r="G2225" s="2">
        <v>201806</v>
      </c>
      <c r="H2225" s="2" t="s">
        <v>74</v>
      </c>
      <c r="I2225" s="2" t="s">
        <v>75</v>
      </c>
      <c r="J2225" s="2" t="s">
        <v>97</v>
      </c>
      <c r="K2225" s="2" t="s">
        <v>77</v>
      </c>
      <c r="L2225" s="2" t="s">
        <v>74</v>
      </c>
      <c r="M2225" s="2" t="s">
        <v>75</v>
      </c>
      <c r="N2225" s="2" t="s">
        <v>1969</v>
      </c>
      <c r="O2225" s="2" t="s">
        <v>101</v>
      </c>
      <c r="P2225" s="2" t="str">
        <f>"2170607929                    "</f>
        <v xml:space="preserve">2170607929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5.03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1</v>
      </c>
      <c r="BJ2225" s="2">
        <v>0.2</v>
      </c>
      <c r="BK2225" s="2">
        <v>1</v>
      </c>
      <c r="BL2225" s="2">
        <v>35.89</v>
      </c>
      <c r="BM2225" s="2">
        <v>5.0199999999999996</v>
      </c>
      <c r="BN2225" s="2">
        <v>40.909999999999997</v>
      </c>
      <c r="BO2225" s="2">
        <v>40.909999999999997</v>
      </c>
      <c r="BQ2225" s="2" t="s">
        <v>1200</v>
      </c>
      <c r="BR2225" s="2" t="s">
        <v>103</v>
      </c>
      <c r="BS2225" s="3">
        <v>43084</v>
      </c>
      <c r="BT2225" s="4">
        <v>0.31944444444444448</v>
      </c>
      <c r="BU2225" s="2" t="s">
        <v>2482</v>
      </c>
      <c r="BV2225" s="2" t="s">
        <v>85</v>
      </c>
      <c r="BY2225" s="2">
        <v>1200</v>
      </c>
      <c r="CA2225" s="2" t="s">
        <v>2483</v>
      </c>
      <c r="CC2225" s="2" t="s">
        <v>75</v>
      </c>
      <c r="CD2225" s="2">
        <v>1619</v>
      </c>
      <c r="CE2225" s="2" t="s">
        <v>120</v>
      </c>
      <c r="CF2225" s="3">
        <v>43088</v>
      </c>
      <c r="CI2225" s="2">
        <v>1</v>
      </c>
      <c r="CJ2225" s="2">
        <v>1</v>
      </c>
      <c r="CK2225" s="2">
        <v>22</v>
      </c>
      <c r="CL2225" s="2" t="s">
        <v>89</v>
      </c>
    </row>
    <row r="2226" spans="1:90">
      <c r="A2226" s="2" t="s">
        <v>71</v>
      </c>
      <c r="B2226" s="2" t="s">
        <v>72</v>
      </c>
      <c r="C2226" s="2" t="s">
        <v>73</v>
      </c>
      <c r="E2226" s="2" t="str">
        <f>"FES1162596226"</f>
        <v>FES1162596226</v>
      </c>
      <c r="F2226" s="3">
        <v>43083</v>
      </c>
      <c r="G2226" s="2">
        <v>201806</v>
      </c>
      <c r="H2226" s="2" t="s">
        <v>74</v>
      </c>
      <c r="I2226" s="2" t="s">
        <v>75</v>
      </c>
      <c r="J2226" s="2" t="s">
        <v>97</v>
      </c>
      <c r="K2226" s="2" t="s">
        <v>77</v>
      </c>
      <c r="L2226" s="2" t="s">
        <v>131</v>
      </c>
      <c r="M2226" s="2" t="s">
        <v>132</v>
      </c>
      <c r="N2226" s="2" t="s">
        <v>228</v>
      </c>
      <c r="O2226" s="2" t="s">
        <v>101</v>
      </c>
      <c r="P2226" s="2" t="str">
        <f>"217060784                     "</f>
        <v xml:space="preserve">217060784 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6.43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1</v>
      </c>
      <c r="BJ2226" s="2">
        <v>0.2</v>
      </c>
      <c r="BK2226" s="2">
        <v>1</v>
      </c>
      <c r="BL2226" s="2">
        <v>45.93</v>
      </c>
      <c r="BM2226" s="2">
        <v>6.43</v>
      </c>
      <c r="BN2226" s="2">
        <v>52.36</v>
      </c>
      <c r="BO2226" s="2">
        <v>52.36</v>
      </c>
      <c r="BQ2226" s="2" t="s">
        <v>229</v>
      </c>
      <c r="BR2226" s="2" t="s">
        <v>103</v>
      </c>
      <c r="BS2226" s="3">
        <v>43084</v>
      </c>
      <c r="BT2226" s="4">
        <v>0.3923611111111111</v>
      </c>
      <c r="BU2226" s="2" t="s">
        <v>230</v>
      </c>
      <c r="BV2226" s="2" t="s">
        <v>85</v>
      </c>
      <c r="BY2226" s="2">
        <v>1200</v>
      </c>
      <c r="CA2226" s="2" t="s">
        <v>231</v>
      </c>
      <c r="CC2226" s="2" t="s">
        <v>132</v>
      </c>
      <c r="CD2226" s="2">
        <v>4300</v>
      </c>
      <c r="CE2226" s="2" t="s">
        <v>120</v>
      </c>
      <c r="CF2226" s="3">
        <v>43087</v>
      </c>
      <c r="CI2226" s="2">
        <v>1</v>
      </c>
      <c r="CJ2226" s="2">
        <v>1</v>
      </c>
      <c r="CK2226" s="2">
        <v>21</v>
      </c>
      <c r="CL2226" s="2" t="s">
        <v>89</v>
      </c>
    </row>
    <row r="2227" spans="1:90">
      <c r="A2227" s="2" t="s">
        <v>71</v>
      </c>
      <c r="B2227" s="2" t="s">
        <v>72</v>
      </c>
      <c r="C2227" s="2" t="s">
        <v>73</v>
      </c>
      <c r="E2227" s="2" t="str">
        <f>"FES1162596222"</f>
        <v>FES1162596222</v>
      </c>
      <c r="F2227" s="3">
        <v>43083</v>
      </c>
      <c r="G2227" s="2">
        <v>201806</v>
      </c>
      <c r="H2227" s="2" t="s">
        <v>74</v>
      </c>
      <c r="I2227" s="2" t="s">
        <v>75</v>
      </c>
      <c r="J2227" s="2" t="s">
        <v>97</v>
      </c>
      <c r="K2227" s="2" t="s">
        <v>77</v>
      </c>
      <c r="L2227" s="2" t="s">
        <v>136</v>
      </c>
      <c r="M2227" s="2" t="s">
        <v>137</v>
      </c>
      <c r="N2227" s="2" t="s">
        <v>1385</v>
      </c>
      <c r="O2227" s="2" t="s">
        <v>101</v>
      </c>
      <c r="P2227" s="2" t="str">
        <f>"2170607413                    "</f>
        <v xml:space="preserve">2170607413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6.43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1</v>
      </c>
      <c r="BJ2227" s="2">
        <v>0.2</v>
      </c>
      <c r="BK2227" s="2">
        <v>1</v>
      </c>
      <c r="BL2227" s="2">
        <v>45.93</v>
      </c>
      <c r="BM2227" s="2">
        <v>6.43</v>
      </c>
      <c r="BN2227" s="2">
        <v>52.36</v>
      </c>
      <c r="BO2227" s="2">
        <v>52.36</v>
      </c>
      <c r="BQ2227" s="2" t="s">
        <v>1386</v>
      </c>
      <c r="BR2227" s="2" t="s">
        <v>103</v>
      </c>
      <c r="BS2227" s="3">
        <v>43084</v>
      </c>
      <c r="BT2227" s="4">
        <v>0.3611111111111111</v>
      </c>
      <c r="BU2227" s="2" t="s">
        <v>114</v>
      </c>
      <c r="BV2227" s="2" t="s">
        <v>85</v>
      </c>
      <c r="BY2227" s="2">
        <v>1200</v>
      </c>
      <c r="CA2227" s="2" t="s">
        <v>2354</v>
      </c>
      <c r="CC2227" s="2" t="s">
        <v>137</v>
      </c>
      <c r="CD2227" s="2">
        <v>6001</v>
      </c>
      <c r="CE2227" s="2" t="s">
        <v>120</v>
      </c>
      <c r="CF2227" s="3">
        <v>43088</v>
      </c>
      <c r="CI2227" s="2">
        <v>1</v>
      </c>
      <c r="CJ2227" s="2">
        <v>1</v>
      </c>
      <c r="CK2227" s="2">
        <v>21</v>
      </c>
      <c r="CL2227" s="2" t="s">
        <v>89</v>
      </c>
    </row>
    <row r="2228" spans="1:90">
      <c r="A2228" s="2" t="s">
        <v>71</v>
      </c>
      <c r="B2228" s="2" t="s">
        <v>72</v>
      </c>
      <c r="C2228" s="2" t="s">
        <v>73</v>
      </c>
      <c r="E2228" s="2" t="str">
        <f>"FES1162596190"</f>
        <v>FES1162596190</v>
      </c>
      <c r="F2228" s="3">
        <v>43083</v>
      </c>
      <c r="G2228" s="2">
        <v>201806</v>
      </c>
      <c r="H2228" s="2" t="s">
        <v>74</v>
      </c>
      <c r="I2228" s="2" t="s">
        <v>75</v>
      </c>
      <c r="J2228" s="2" t="s">
        <v>97</v>
      </c>
      <c r="K2228" s="2" t="s">
        <v>77</v>
      </c>
      <c r="L2228" s="2" t="s">
        <v>173</v>
      </c>
      <c r="M2228" s="2" t="s">
        <v>174</v>
      </c>
      <c r="N2228" s="2" t="s">
        <v>2484</v>
      </c>
      <c r="O2228" s="2" t="s">
        <v>101</v>
      </c>
      <c r="P2228" s="2" t="str">
        <f>"2170607935                    "</f>
        <v xml:space="preserve">2170607935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6.43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1</v>
      </c>
      <c r="BJ2228" s="2">
        <v>0.2</v>
      </c>
      <c r="BK2228" s="2">
        <v>1</v>
      </c>
      <c r="BL2228" s="2">
        <v>45.93</v>
      </c>
      <c r="BM2228" s="2">
        <v>6.43</v>
      </c>
      <c r="BN2228" s="2">
        <v>52.36</v>
      </c>
      <c r="BO2228" s="2">
        <v>52.36</v>
      </c>
      <c r="BQ2228" s="2" t="s">
        <v>142</v>
      </c>
      <c r="BR2228" s="2" t="s">
        <v>103</v>
      </c>
      <c r="BS2228" s="3">
        <v>43088</v>
      </c>
      <c r="BT2228" s="4">
        <v>0.41666666666666669</v>
      </c>
      <c r="BU2228" s="2" t="s">
        <v>2485</v>
      </c>
      <c r="BV2228" s="2" t="s">
        <v>89</v>
      </c>
      <c r="BW2228" s="2" t="s">
        <v>313</v>
      </c>
      <c r="BX2228" s="2" t="s">
        <v>368</v>
      </c>
      <c r="BY2228" s="2">
        <v>1200</v>
      </c>
      <c r="CA2228" s="2" t="s">
        <v>216</v>
      </c>
      <c r="CC2228" s="2" t="s">
        <v>174</v>
      </c>
      <c r="CD2228" s="2">
        <v>7945</v>
      </c>
      <c r="CE2228" s="2" t="s">
        <v>120</v>
      </c>
      <c r="CF2228" s="3">
        <v>43089</v>
      </c>
      <c r="CI2228" s="2">
        <v>1</v>
      </c>
      <c r="CJ2228" s="2">
        <v>3</v>
      </c>
      <c r="CK2228" s="2">
        <v>21</v>
      </c>
      <c r="CL2228" s="2" t="s">
        <v>89</v>
      </c>
    </row>
    <row r="2229" spans="1:90">
      <c r="A2229" s="2" t="s">
        <v>71</v>
      </c>
      <c r="B2229" s="2" t="s">
        <v>72</v>
      </c>
      <c r="C2229" s="2" t="s">
        <v>73</v>
      </c>
      <c r="E2229" s="2" t="str">
        <f>"FES1162596015"</f>
        <v>FES1162596015</v>
      </c>
      <c r="F2229" s="3">
        <v>43083</v>
      </c>
      <c r="G2229" s="2">
        <v>201806</v>
      </c>
      <c r="H2229" s="2" t="s">
        <v>74</v>
      </c>
      <c r="I2229" s="2" t="s">
        <v>75</v>
      </c>
      <c r="J2229" s="2" t="s">
        <v>97</v>
      </c>
      <c r="K2229" s="2" t="s">
        <v>77</v>
      </c>
      <c r="L2229" s="2" t="s">
        <v>106</v>
      </c>
      <c r="M2229" s="2" t="s">
        <v>107</v>
      </c>
      <c r="N2229" s="2" t="s">
        <v>108</v>
      </c>
      <c r="O2229" s="2" t="s">
        <v>101</v>
      </c>
      <c r="P2229" s="2" t="str">
        <f>"2170605140                    "</f>
        <v xml:space="preserve">2170605140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5.03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35.89</v>
      </c>
      <c r="BM2229" s="2">
        <v>5.0199999999999996</v>
      </c>
      <c r="BN2229" s="2">
        <v>40.909999999999997</v>
      </c>
      <c r="BO2229" s="2">
        <v>40.909999999999997</v>
      </c>
      <c r="BQ2229" s="2" t="s">
        <v>82</v>
      </c>
      <c r="BR2229" s="2" t="s">
        <v>103</v>
      </c>
      <c r="BS2229" s="3">
        <v>43084</v>
      </c>
      <c r="BT2229" s="4">
        <v>0.4375</v>
      </c>
      <c r="BU2229" s="2" t="s">
        <v>1227</v>
      </c>
      <c r="BV2229" s="2" t="s">
        <v>85</v>
      </c>
      <c r="BY2229" s="2">
        <v>1200</v>
      </c>
      <c r="CA2229" s="2" t="s">
        <v>110</v>
      </c>
      <c r="CC2229" s="2" t="s">
        <v>107</v>
      </c>
      <c r="CD2229" s="2">
        <v>2094</v>
      </c>
      <c r="CE2229" s="2" t="s">
        <v>120</v>
      </c>
      <c r="CF2229" s="3">
        <v>43087</v>
      </c>
      <c r="CI2229" s="2">
        <v>1</v>
      </c>
      <c r="CJ2229" s="2">
        <v>1</v>
      </c>
      <c r="CK2229" s="2">
        <v>22</v>
      </c>
      <c r="CL2229" s="2" t="s">
        <v>89</v>
      </c>
    </row>
    <row r="2230" spans="1:90">
      <c r="A2230" s="2" t="s">
        <v>71</v>
      </c>
      <c r="B2230" s="2" t="s">
        <v>72</v>
      </c>
      <c r="C2230" s="2" t="s">
        <v>73</v>
      </c>
      <c r="E2230" s="2" t="str">
        <f>"FES1162596013"</f>
        <v>FES1162596013</v>
      </c>
      <c r="F2230" s="3">
        <v>43083</v>
      </c>
      <c r="G2230" s="2">
        <v>201806</v>
      </c>
      <c r="H2230" s="2" t="s">
        <v>74</v>
      </c>
      <c r="I2230" s="2" t="s">
        <v>75</v>
      </c>
      <c r="J2230" s="2" t="s">
        <v>97</v>
      </c>
      <c r="K2230" s="2" t="s">
        <v>77</v>
      </c>
      <c r="L2230" s="2" t="s">
        <v>106</v>
      </c>
      <c r="M2230" s="2" t="s">
        <v>107</v>
      </c>
      <c r="N2230" s="2" t="s">
        <v>108</v>
      </c>
      <c r="O2230" s="2" t="s">
        <v>101</v>
      </c>
      <c r="P2230" s="2" t="str">
        <f>"2170605069                    "</f>
        <v xml:space="preserve">2170605069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5.03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</v>
      </c>
      <c r="BJ2230" s="2">
        <v>0.2</v>
      </c>
      <c r="BK2230" s="2">
        <v>1</v>
      </c>
      <c r="BL2230" s="2">
        <v>35.89</v>
      </c>
      <c r="BM2230" s="2">
        <v>5.0199999999999996</v>
      </c>
      <c r="BN2230" s="2">
        <v>40.909999999999997</v>
      </c>
      <c r="BO2230" s="2">
        <v>40.909999999999997</v>
      </c>
      <c r="BQ2230" s="2" t="s">
        <v>82</v>
      </c>
      <c r="BR2230" s="2" t="s">
        <v>103</v>
      </c>
      <c r="BS2230" s="3">
        <v>43084</v>
      </c>
      <c r="BT2230" s="4">
        <v>0.4375</v>
      </c>
      <c r="BU2230" s="2" t="s">
        <v>1227</v>
      </c>
      <c r="BV2230" s="2" t="s">
        <v>85</v>
      </c>
      <c r="BY2230" s="2">
        <v>1200</v>
      </c>
      <c r="CA2230" s="2" t="s">
        <v>110</v>
      </c>
      <c r="CC2230" s="2" t="s">
        <v>107</v>
      </c>
      <c r="CD2230" s="2">
        <v>2094</v>
      </c>
      <c r="CE2230" s="2" t="s">
        <v>120</v>
      </c>
      <c r="CF2230" s="3">
        <v>43087</v>
      </c>
      <c r="CI2230" s="2">
        <v>1</v>
      </c>
      <c r="CJ2230" s="2">
        <v>1</v>
      </c>
      <c r="CK2230" s="2">
        <v>22</v>
      </c>
      <c r="CL2230" s="2" t="s">
        <v>89</v>
      </c>
    </row>
    <row r="2231" spans="1:90">
      <c r="A2231" s="2" t="s">
        <v>71</v>
      </c>
      <c r="B2231" s="2" t="s">
        <v>72</v>
      </c>
      <c r="C2231" s="2" t="s">
        <v>73</v>
      </c>
      <c r="E2231" s="2" t="str">
        <f>"FES1162596051"</f>
        <v>FES1162596051</v>
      </c>
      <c r="F2231" s="3">
        <v>43083</v>
      </c>
      <c r="G2231" s="2">
        <v>201806</v>
      </c>
      <c r="H2231" s="2" t="s">
        <v>74</v>
      </c>
      <c r="I2231" s="2" t="s">
        <v>75</v>
      </c>
      <c r="J2231" s="2" t="s">
        <v>97</v>
      </c>
      <c r="K2231" s="2" t="s">
        <v>77</v>
      </c>
      <c r="L2231" s="2" t="s">
        <v>253</v>
      </c>
      <c r="M2231" s="2" t="s">
        <v>254</v>
      </c>
      <c r="N2231" s="2" t="s">
        <v>773</v>
      </c>
      <c r="O2231" s="2" t="s">
        <v>101</v>
      </c>
      <c r="P2231" s="2" t="str">
        <f>"21706058606                   "</f>
        <v xml:space="preserve">21706058606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6.43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</v>
      </c>
      <c r="BJ2231" s="2">
        <v>0.2</v>
      </c>
      <c r="BK2231" s="2">
        <v>1</v>
      </c>
      <c r="BL2231" s="2">
        <v>45.93</v>
      </c>
      <c r="BM2231" s="2">
        <v>6.43</v>
      </c>
      <c r="BN2231" s="2">
        <v>52.36</v>
      </c>
      <c r="BO2231" s="2">
        <v>52.36</v>
      </c>
      <c r="BQ2231" s="2" t="s">
        <v>82</v>
      </c>
      <c r="BR2231" s="2" t="s">
        <v>103</v>
      </c>
      <c r="BS2231" s="3">
        <v>43084</v>
      </c>
      <c r="BT2231" s="4">
        <v>0.52430555555555558</v>
      </c>
      <c r="BU2231" s="2" t="s">
        <v>303</v>
      </c>
      <c r="BV2231" s="2" t="s">
        <v>89</v>
      </c>
      <c r="BY2231" s="2">
        <v>1200</v>
      </c>
      <c r="CC2231" s="2" t="s">
        <v>254</v>
      </c>
      <c r="CD2231" s="2">
        <v>1911</v>
      </c>
      <c r="CE2231" s="2" t="s">
        <v>120</v>
      </c>
      <c r="CF2231" s="3">
        <v>43088</v>
      </c>
      <c r="CI2231" s="2">
        <v>1</v>
      </c>
      <c r="CJ2231" s="2">
        <v>1</v>
      </c>
      <c r="CK2231" s="2">
        <v>21</v>
      </c>
      <c r="CL2231" s="2" t="s">
        <v>89</v>
      </c>
    </row>
    <row r="2232" spans="1:90">
      <c r="A2232" s="2" t="s">
        <v>71</v>
      </c>
      <c r="B2232" s="2" t="s">
        <v>72</v>
      </c>
      <c r="C2232" s="2" t="s">
        <v>73</v>
      </c>
      <c r="E2232" s="2" t="str">
        <f>"FES1162596119"</f>
        <v>FES1162596119</v>
      </c>
      <c r="F2232" s="3">
        <v>43083</v>
      </c>
      <c r="G2232" s="2">
        <v>201806</v>
      </c>
      <c r="H2232" s="2" t="s">
        <v>74</v>
      </c>
      <c r="I2232" s="2" t="s">
        <v>75</v>
      </c>
      <c r="J2232" s="2" t="s">
        <v>97</v>
      </c>
      <c r="K2232" s="2" t="s">
        <v>77</v>
      </c>
      <c r="L2232" s="2" t="s">
        <v>162</v>
      </c>
      <c r="M2232" s="2" t="s">
        <v>163</v>
      </c>
      <c r="N2232" s="2" t="s">
        <v>164</v>
      </c>
      <c r="O2232" s="2" t="s">
        <v>101</v>
      </c>
      <c r="P2232" s="2" t="str">
        <f>"2170607864                    "</f>
        <v xml:space="preserve">2170607864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5.03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1</v>
      </c>
      <c r="BJ2232" s="2">
        <v>0.2</v>
      </c>
      <c r="BK2232" s="2">
        <v>1</v>
      </c>
      <c r="BL2232" s="2">
        <v>35.89</v>
      </c>
      <c r="BM2232" s="2">
        <v>5.0199999999999996</v>
      </c>
      <c r="BN2232" s="2">
        <v>40.909999999999997</v>
      </c>
      <c r="BO2232" s="2">
        <v>40.909999999999997</v>
      </c>
      <c r="BQ2232" s="2" t="s">
        <v>102</v>
      </c>
      <c r="BR2232" s="2" t="s">
        <v>103</v>
      </c>
      <c r="BS2232" s="3">
        <v>43084</v>
      </c>
      <c r="BT2232" s="4">
        <v>0.36458333333333331</v>
      </c>
      <c r="BU2232" s="2" t="s">
        <v>2395</v>
      </c>
      <c r="BV2232" s="2" t="s">
        <v>85</v>
      </c>
      <c r="BY2232" s="2">
        <v>1200</v>
      </c>
      <c r="CC2232" s="2" t="s">
        <v>163</v>
      </c>
      <c r="CD2232" s="2">
        <v>1451</v>
      </c>
      <c r="CE2232" s="2" t="s">
        <v>120</v>
      </c>
      <c r="CF2232" s="3">
        <v>43087</v>
      </c>
      <c r="CI2232" s="2">
        <v>1</v>
      </c>
      <c r="CJ2232" s="2">
        <v>1</v>
      </c>
      <c r="CK2232" s="2">
        <v>22</v>
      </c>
      <c r="CL2232" s="2" t="s">
        <v>89</v>
      </c>
    </row>
    <row r="2233" spans="1:90">
      <c r="A2233" s="2" t="s">
        <v>71</v>
      </c>
      <c r="B2233" s="2" t="s">
        <v>72</v>
      </c>
      <c r="C2233" s="2" t="s">
        <v>73</v>
      </c>
      <c r="E2233" s="2" t="str">
        <f>"FES1162596205"</f>
        <v>FES1162596205</v>
      </c>
      <c r="F2233" s="3">
        <v>43083</v>
      </c>
      <c r="G2233" s="2">
        <v>201806</v>
      </c>
      <c r="H2233" s="2" t="s">
        <v>74</v>
      </c>
      <c r="I2233" s="2" t="s">
        <v>75</v>
      </c>
      <c r="J2233" s="2" t="s">
        <v>97</v>
      </c>
      <c r="K2233" s="2" t="s">
        <v>77</v>
      </c>
      <c r="L2233" s="2" t="s">
        <v>221</v>
      </c>
      <c r="M2233" s="2" t="s">
        <v>222</v>
      </c>
      <c r="N2233" s="2" t="s">
        <v>164</v>
      </c>
      <c r="O2233" s="2" t="s">
        <v>101</v>
      </c>
      <c r="P2233" s="2" t="str">
        <f>"2170607954                    "</f>
        <v xml:space="preserve">2170607954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6.43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1</v>
      </c>
      <c r="BJ2233" s="2">
        <v>0.2</v>
      </c>
      <c r="BK2233" s="2">
        <v>1</v>
      </c>
      <c r="BL2233" s="2">
        <v>45.93</v>
      </c>
      <c r="BM2233" s="2">
        <v>6.43</v>
      </c>
      <c r="BN2233" s="2">
        <v>52.36</v>
      </c>
      <c r="BO2233" s="2">
        <v>52.36</v>
      </c>
      <c r="BQ2233" s="2" t="s">
        <v>102</v>
      </c>
      <c r="BR2233" s="2" t="s">
        <v>103</v>
      </c>
      <c r="BS2233" s="3">
        <v>43084</v>
      </c>
      <c r="BT2233" s="4">
        <v>0.41041666666666665</v>
      </c>
      <c r="BU2233" s="2" t="s">
        <v>1455</v>
      </c>
      <c r="BV2233" s="2" t="s">
        <v>85</v>
      </c>
      <c r="BY2233" s="2">
        <v>1200</v>
      </c>
      <c r="CA2233" s="2" t="s">
        <v>225</v>
      </c>
      <c r="CC2233" s="2" t="s">
        <v>222</v>
      </c>
      <c r="CD2233" s="2">
        <v>4133</v>
      </c>
      <c r="CE2233" s="2" t="s">
        <v>120</v>
      </c>
      <c r="CF2233" s="3">
        <v>43087</v>
      </c>
      <c r="CI2233" s="2">
        <v>1</v>
      </c>
      <c r="CJ2233" s="2">
        <v>1</v>
      </c>
      <c r="CK2233" s="2">
        <v>21</v>
      </c>
      <c r="CL2233" s="2" t="s">
        <v>89</v>
      </c>
    </row>
    <row r="2234" spans="1:90">
      <c r="A2234" s="2" t="s">
        <v>71</v>
      </c>
      <c r="B2234" s="2" t="s">
        <v>72</v>
      </c>
      <c r="C2234" s="2" t="s">
        <v>73</v>
      </c>
      <c r="E2234" s="2" t="str">
        <f>"FES1162596179"</f>
        <v>FES1162596179</v>
      </c>
      <c r="F2234" s="3">
        <v>43083</v>
      </c>
      <c r="G2234" s="2">
        <v>201806</v>
      </c>
      <c r="H2234" s="2" t="s">
        <v>74</v>
      </c>
      <c r="I2234" s="2" t="s">
        <v>75</v>
      </c>
      <c r="J2234" s="2" t="s">
        <v>97</v>
      </c>
      <c r="K2234" s="2" t="s">
        <v>77</v>
      </c>
      <c r="L2234" s="2" t="s">
        <v>759</v>
      </c>
      <c r="M2234" s="2" t="s">
        <v>760</v>
      </c>
      <c r="N2234" s="2" t="s">
        <v>761</v>
      </c>
      <c r="O2234" s="2" t="s">
        <v>101</v>
      </c>
      <c r="P2234" s="2" t="str">
        <f>"2170607922                    "</f>
        <v xml:space="preserve">2170607922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6.43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1</v>
      </c>
      <c r="BJ2234" s="2">
        <v>0.2</v>
      </c>
      <c r="BK2234" s="2">
        <v>1</v>
      </c>
      <c r="BL2234" s="2">
        <v>45.93</v>
      </c>
      <c r="BM2234" s="2">
        <v>6.43</v>
      </c>
      <c r="BN2234" s="2">
        <v>52.36</v>
      </c>
      <c r="BO2234" s="2">
        <v>52.36</v>
      </c>
      <c r="BQ2234" s="2" t="s">
        <v>82</v>
      </c>
      <c r="BR2234" s="2" t="s">
        <v>103</v>
      </c>
      <c r="BS2234" s="3">
        <v>43084</v>
      </c>
      <c r="BT2234" s="4">
        <v>0.38611111111111113</v>
      </c>
      <c r="BU2234" s="2" t="s">
        <v>2486</v>
      </c>
      <c r="BV2234" s="2" t="s">
        <v>85</v>
      </c>
      <c r="BY2234" s="2">
        <v>1200</v>
      </c>
      <c r="CA2234" s="2" t="s">
        <v>1997</v>
      </c>
      <c r="CC2234" s="2" t="s">
        <v>760</v>
      </c>
      <c r="CD2234" s="2">
        <v>4026</v>
      </c>
      <c r="CE2234" s="2" t="s">
        <v>120</v>
      </c>
      <c r="CF2234" s="3">
        <v>43087</v>
      </c>
      <c r="CI2234" s="2">
        <v>1</v>
      </c>
      <c r="CJ2234" s="2">
        <v>1</v>
      </c>
      <c r="CK2234" s="2">
        <v>21</v>
      </c>
      <c r="CL2234" s="2" t="s">
        <v>89</v>
      </c>
    </row>
    <row r="2235" spans="1:90">
      <c r="A2235" s="2" t="s">
        <v>71</v>
      </c>
      <c r="B2235" s="2" t="s">
        <v>72</v>
      </c>
      <c r="C2235" s="2" t="s">
        <v>73</v>
      </c>
      <c r="E2235" s="2" t="str">
        <f>"FES1162595941"</f>
        <v>FES1162595941</v>
      </c>
      <c r="F2235" s="3">
        <v>43083</v>
      </c>
      <c r="G2235" s="2">
        <v>201806</v>
      </c>
      <c r="H2235" s="2" t="s">
        <v>74</v>
      </c>
      <c r="I2235" s="2" t="s">
        <v>75</v>
      </c>
      <c r="J2235" s="2" t="s">
        <v>97</v>
      </c>
      <c r="K2235" s="2" t="s">
        <v>77</v>
      </c>
      <c r="L2235" s="2" t="s">
        <v>106</v>
      </c>
      <c r="M2235" s="2" t="s">
        <v>107</v>
      </c>
      <c r="N2235" s="2" t="s">
        <v>472</v>
      </c>
      <c r="O2235" s="2" t="s">
        <v>101</v>
      </c>
      <c r="P2235" s="2" t="str">
        <f>"2170605169                    "</f>
        <v xml:space="preserve">2170605169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5.03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</v>
      </c>
      <c r="BJ2235" s="2">
        <v>0.2</v>
      </c>
      <c r="BK2235" s="2">
        <v>1</v>
      </c>
      <c r="BL2235" s="2">
        <v>35.89</v>
      </c>
      <c r="BM2235" s="2">
        <v>5.0199999999999996</v>
      </c>
      <c r="BN2235" s="2">
        <v>40.909999999999997</v>
      </c>
      <c r="BO2235" s="2">
        <v>40.909999999999997</v>
      </c>
      <c r="BQ2235" s="2" t="s">
        <v>102</v>
      </c>
      <c r="BR2235" s="2" t="s">
        <v>103</v>
      </c>
      <c r="BS2235" s="3">
        <v>43084</v>
      </c>
      <c r="BT2235" s="4">
        <v>0.39930555555555558</v>
      </c>
      <c r="BU2235" s="2" t="s">
        <v>473</v>
      </c>
      <c r="BV2235" s="2" t="s">
        <v>85</v>
      </c>
      <c r="BY2235" s="2">
        <v>1200</v>
      </c>
      <c r="CA2235" s="2" t="s">
        <v>110</v>
      </c>
      <c r="CC2235" s="2" t="s">
        <v>107</v>
      </c>
      <c r="CD2235" s="2">
        <v>2197</v>
      </c>
      <c r="CE2235" s="2" t="s">
        <v>120</v>
      </c>
      <c r="CF2235" s="3">
        <v>43087</v>
      </c>
      <c r="CI2235" s="2">
        <v>1</v>
      </c>
      <c r="CJ2235" s="2">
        <v>1</v>
      </c>
      <c r="CK2235" s="2">
        <v>22</v>
      </c>
      <c r="CL2235" s="2" t="s">
        <v>89</v>
      </c>
    </row>
    <row r="2236" spans="1:90">
      <c r="A2236" s="2" t="s">
        <v>71</v>
      </c>
      <c r="B2236" s="2" t="s">
        <v>72</v>
      </c>
      <c r="C2236" s="2" t="s">
        <v>73</v>
      </c>
      <c r="E2236" s="2" t="str">
        <f>"FES1162595921"</f>
        <v>FES1162595921</v>
      </c>
      <c r="F2236" s="3">
        <v>43083</v>
      </c>
      <c r="G2236" s="2">
        <v>201806</v>
      </c>
      <c r="H2236" s="2" t="s">
        <v>74</v>
      </c>
      <c r="I2236" s="2" t="s">
        <v>75</v>
      </c>
      <c r="J2236" s="2" t="s">
        <v>97</v>
      </c>
      <c r="K2236" s="2" t="s">
        <v>77</v>
      </c>
      <c r="L2236" s="2" t="s">
        <v>74</v>
      </c>
      <c r="M2236" s="2" t="s">
        <v>75</v>
      </c>
      <c r="N2236" s="2" t="s">
        <v>2487</v>
      </c>
      <c r="O2236" s="2" t="s">
        <v>101</v>
      </c>
      <c r="P2236" s="2" t="str">
        <f>"2170603946                    "</f>
        <v xml:space="preserve">2170603946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5.03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3.2</v>
      </c>
      <c r="BJ2236" s="2">
        <v>3.3</v>
      </c>
      <c r="BK2236" s="2">
        <v>4</v>
      </c>
      <c r="BL2236" s="2">
        <v>35.89</v>
      </c>
      <c r="BM2236" s="2">
        <v>5.0199999999999996</v>
      </c>
      <c r="BN2236" s="2">
        <v>40.909999999999997</v>
      </c>
      <c r="BO2236" s="2">
        <v>40.909999999999997</v>
      </c>
      <c r="BQ2236" s="2" t="s">
        <v>128</v>
      </c>
      <c r="BR2236" s="2" t="s">
        <v>103</v>
      </c>
      <c r="BS2236" s="3">
        <v>43084</v>
      </c>
      <c r="BT2236" s="4">
        <v>0.34722222222222227</v>
      </c>
      <c r="BU2236" s="2" t="s">
        <v>205</v>
      </c>
      <c r="BV2236" s="2" t="s">
        <v>85</v>
      </c>
      <c r="BY2236" s="2">
        <v>16638.310000000001</v>
      </c>
      <c r="CA2236" s="2" t="s">
        <v>206</v>
      </c>
      <c r="CC2236" s="2" t="s">
        <v>75</v>
      </c>
      <c r="CD2236" s="2">
        <v>1645</v>
      </c>
      <c r="CE2236" s="2" t="s">
        <v>95</v>
      </c>
      <c r="CF2236" s="3">
        <v>43088</v>
      </c>
      <c r="CI2236" s="2">
        <v>1</v>
      </c>
      <c r="CJ2236" s="2">
        <v>1</v>
      </c>
      <c r="CK2236" s="2">
        <v>22</v>
      </c>
      <c r="CL2236" s="2" t="s">
        <v>89</v>
      </c>
    </row>
    <row r="2237" spans="1:90">
      <c r="A2237" s="2" t="s">
        <v>71</v>
      </c>
      <c r="B2237" s="2" t="s">
        <v>72</v>
      </c>
      <c r="C2237" s="2" t="s">
        <v>73</v>
      </c>
      <c r="E2237" s="2" t="str">
        <f>"FES1162596211"</f>
        <v>FES1162596211</v>
      </c>
      <c r="F2237" s="3">
        <v>43083</v>
      </c>
      <c r="G2237" s="2">
        <v>201806</v>
      </c>
      <c r="H2237" s="2" t="s">
        <v>74</v>
      </c>
      <c r="I2237" s="2" t="s">
        <v>75</v>
      </c>
      <c r="J2237" s="2" t="s">
        <v>97</v>
      </c>
      <c r="K2237" s="2" t="s">
        <v>77</v>
      </c>
      <c r="L2237" s="2" t="s">
        <v>125</v>
      </c>
      <c r="M2237" s="2" t="s">
        <v>126</v>
      </c>
      <c r="N2237" s="2" t="s">
        <v>2178</v>
      </c>
      <c r="O2237" s="2" t="s">
        <v>101</v>
      </c>
      <c r="P2237" s="2" t="str">
        <f>"2170607960                    "</f>
        <v xml:space="preserve">2170607960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6.43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45.93</v>
      </c>
      <c r="BM2237" s="2">
        <v>6.43</v>
      </c>
      <c r="BN2237" s="2">
        <v>52.36</v>
      </c>
      <c r="BO2237" s="2">
        <v>52.36</v>
      </c>
      <c r="BQ2237" s="2" t="s">
        <v>82</v>
      </c>
      <c r="BR2237" s="2" t="s">
        <v>103</v>
      </c>
      <c r="BS2237" s="3">
        <v>43090</v>
      </c>
      <c r="BT2237" s="4">
        <v>0.48749999999999999</v>
      </c>
      <c r="BU2237" s="2" t="s">
        <v>2361</v>
      </c>
      <c r="BV2237" s="2" t="s">
        <v>89</v>
      </c>
      <c r="BW2237" s="2" t="s">
        <v>471</v>
      </c>
      <c r="BX2237" s="2" t="s">
        <v>1390</v>
      </c>
      <c r="BY2237" s="2">
        <v>1200</v>
      </c>
      <c r="CC2237" s="2" t="s">
        <v>126</v>
      </c>
      <c r="CD2237" s="2">
        <v>4052</v>
      </c>
      <c r="CE2237" s="2" t="s">
        <v>120</v>
      </c>
      <c r="CF2237" s="3">
        <v>43091</v>
      </c>
      <c r="CI2237" s="2">
        <v>1</v>
      </c>
      <c r="CJ2237" s="2">
        <v>5</v>
      </c>
      <c r="CK2237" s="2">
        <v>21</v>
      </c>
      <c r="CL2237" s="2" t="s">
        <v>89</v>
      </c>
    </row>
    <row r="2238" spans="1:90">
      <c r="A2238" s="2" t="s">
        <v>71</v>
      </c>
      <c r="B2238" s="2" t="s">
        <v>72</v>
      </c>
      <c r="C2238" s="2" t="s">
        <v>73</v>
      </c>
      <c r="E2238" s="2" t="str">
        <f>"FES1162596227"</f>
        <v>FES1162596227</v>
      </c>
      <c r="F2238" s="3">
        <v>43083</v>
      </c>
      <c r="G2238" s="2">
        <v>201806</v>
      </c>
      <c r="H2238" s="2" t="s">
        <v>74</v>
      </c>
      <c r="I2238" s="2" t="s">
        <v>75</v>
      </c>
      <c r="J2238" s="2" t="s">
        <v>97</v>
      </c>
      <c r="K2238" s="2" t="s">
        <v>77</v>
      </c>
      <c r="L2238" s="2" t="s">
        <v>125</v>
      </c>
      <c r="M2238" s="2" t="s">
        <v>126</v>
      </c>
      <c r="N2238" s="2" t="s">
        <v>2178</v>
      </c>
      <c r="O2238" s="2" t="s">
        <v>101</v>
      </c>
      <c r="P2238" s="2" t="str">
        <f>"2170607984                    "</f>
        <v xml:space="preserve">2170607984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6.43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45.93</v>
      </c>
      <c r="BM2238" s="2">
        <v>6.43</v>
      </c>
      <c r="BN2238" s="2">
        <v>52.36</v>
      </c>
      <c r="BO2238" s="2">
        <v>52.36</v>
      </c>
      <c r="BQ2238" s="2" t="s">
        <v>82</v>
      </c>
      <c r="BR2238" s="2" t="s">
        <v>103</v>
      </c>
      <c r="BS2238" s="3">
        <v>43090</v>
      </c>
      <c r="BT2238" s="4">
        <v>0.48749999999999999</v>
      </c>
      <c r="BU2238" s="2" t="s">
        <v>2361</v>
      </c>
      <c r="BV2238" s="2" t="s">
        <v>89</v>
      </c>
      <c r="BW2238" s="2" t="s">
        <v>471</v>
      </c>
      <c r="BX2238" s="2" t="s">
        <v>1390</v>
      </c>
      <c r="BY2238" s="2">
        <v>1200</v>
      </c>
      <c r="CC2238" s="2" t="s">
        <v>126</v>
      </c>
      <c r="CD2238" s="2">
        <v>4052</v>
      </c>
      <c r="CE2238" s="2" t="s">
        <v>120</v>
      </c>
      <c r="CF2238" s="3">
        <v>43091</v>
      </c>
      <c r="CI2238" s="2">
        <v>1</v>
      </c>
      <c r="CJ2238" s="2">
        <v>5</v>
      </c>
      <c r="CK2238" s="2">
        <v>21</v>
      </c>
      <c r="CL2238" s="2" t="s">
        <v>89</v>
      </c>
    </row>
    <row r="2239" spans="1:90">
      <c r="A2239" s="2" t="s">
        <v>71</v>
      </c>
      <c r="B2239" s="2" t="s">
        <v>72</v>
      </c>
      <c r="C2239" s="2" t="s">
        <v>73</v>
      </c>
      <c r="E2239" s="2" t="str">
        <f>"FES1162596202"</f>
        <v>FES1162596202</v>
      </c>
      <c r="F2239" s="3">
        <v>43083</v>
      </c>
      <c r="G2239" s="2">
        <v>201806</v>
      </c>
      <c r="H2239" s="2" t="s">
        <v>74</v>
      </c>
      <c r="I2239" s="2" t="s">
        <v>75</v>
      </c>
      <c r="J2239" s="2" t="s">
        <v>97</v>
      </c>
      <c r="K2239" s="2" t="s">
        <v>77</v>
      </c>
      <c r="L2239" s="2" t="s">
        <v>759</v>
      </c>
      <c r="M2239" s="2" t="s">
        <v>760</v>
      </c>
      <c r="N2239" s="2" t="s">
        <v>761</v>
      </c>
      <c r="O2239" s="2" t="s">
        <v>101</v>
      </c>
      <c r="P2239" s="2" t="str">
        <f>"2170607942                    "</f>
        <v xml:space="preserve">2170607942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6.43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45.93</v>
      </c>
      <c r="BM2239" s="2">
        <v>6.43</v>
      </c>
      <c r="BN2239" s="2">
        <v>52.36</v>
      </c>
      <c r="BO2239" s="2">
        <v>52.36</v>
      </c>
      <c r="BQ2239" s="2" t="s">
        <v>82</v>
      </c>
      <c r="BR2239" s="2" t="s">
        <v>103</v>
      </c>
      <c r="BS2239" s="3">
        <v>43084</v>
      </c>
      <c r="BT2239" s="4">
        <v>0.38611111111111113</v>
      </c>
      <c r="BU2239" s="2" t="s">
        <v>2486</v>
      </c>
      <c r="BV2239" s="2" t="s">
        <v>85</v>
      </c>
      <c r="BY2239" s="2">
        <v>1200</v>
      </c>
      <c r="CA2239" s="2" t="s">
        <v>1997</v>
      </c>
      <c r="CC2239" s="2" t="s">
        <v>760</v>
      </c>
      <c r="CD2239" s="2">
        <v>4026</v>
      </c>
      <c r="CE2239" s="2" t="s">
        <v>120</v>
      </c>
      <c r="CF2239" s="3">
        <v>43087</v>
      </c>
      <c r="CI2239" s="2">
        <v>1</v>
      </c>
      <c r="CJ2239" s="2">
        <v>1</v>
      </c>
      <c r="CK2239" s="2">
        <v>21</v>
      </c>
      <c r="CL2239" s="2" t="s">
        <v>89</v>
      </c>
    </row>
    <row r="2240" spans="1:90">
      <c r="A2240" s="2" t="s">
        <v>71</v>
      </c>
      <c r="B2240" s="2" t="s">
        <v>72</v>
      </c>
      <c r="C2240" s="2" t="s">
        <v>73</v>
      </c>
      <c r="E2240" s="2" t="str">
        <f>"FES1162595889"</f>
        <v>FES1162595889</v>
      </c>
      <c r="F2240" s="3">
        <v>43083</v>
      </c>
      <c r="G2240" s="2">
        <v>201806</v>
      </c>
      <c r="H2240" s="2" t="s">
        <v>74</v>
      </c>
      <c r="I2240" s="2" t="s">
        <v>75</v>
      </c>
      <c r="J2240" s="2" t="s">
        <v>97</v>
      </c>
      <c r="K2240" s="2" t="s">
        <v>77</v>
      </c>
      <c r="L2240" s="2" t="s">
        <v>415</v>
      </c>
      <c r="M2240" s="2" t="s">
        <v>416</v>
      </c>
      <c r="N2240" s="2" t="s">
        <v>417</v>
      </c>
      <c r="O2240" s="2" t="s">
        <v>101</v>
      </c>
      <c r="P2240" s="2" t="str">
        <f>"2170607718                    "</f>
        <v xml:space="preserve">2170607718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59.49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7.9</v>
      </c>
      <c r="BJ2240" s="2">
        <v>18.100000000000001</v>
      </c>
      <c r="BK2240" s="2">
        <v>18.5</v>
      </c>
      <c r="BL2240" s="2">
        <v>424.7</v>
      </c>
      <c r="BM2240" s="2">
        <v>59.46</v>
      </c>
      <c r="BN2240" s="2">
        <v>484.16</v>
      </c>
      <c r="BO2240" s="2">
        <v>484.16</v>
      </c>
      <c r="BQ2240" s="2" t="s">
        <v>102</v>
      </c>
      <c r="BR2240" s="2" t="s">
        <v>103</v>
      </c>
      <c r="BS2240" s="3">
        <v>43087</v>
      </c>
      <c r="BT2240" s="4">
        <v>0.41666666666666669</v>
      </c>
      <c r="BU2240" s="2" t="s">
        <v>2488</v>
      </c>
      <c r="BV2240" s="2" t="s">
        <v>85</v>
      </c>
      <c r="BY2240" s="2">
        <v>90339.07</v>
      </c>
      <c r="CC2240" s="2" t="s">
        <v>416</v>
      </c>
      <c r="CD2240" s="2">
        <v>6715</v>
      </c>
      <c r="CE2240" s="2" t="s">
        <v>95</v>
      </c>
      <c r="CF2240" s="3">
        <v>43088</v>
      </c>
      <c r="CI2240" s="2">
        <v>3</v>
      </c>
      <c r="CJ2240" s="2">
        <v>2</v>
      </c>
      <c r="CK2240" s="2">
        <v>21</v>
      </c>
      <c r="CL2240" s="2" t="s">
        <v>89</v>
      </c>
    </row>
    <row r="2241" spans="1:90">
      <c r="A2241" s="2" t="s">
        <v>71</v>
      </c>
      <c r="B2241" s="2" t="s">
        <v>72</v>
      </c>
      <c r="C2241" s="2" t="s">
        <v>73</v>
      </c>
      <c r="E2241" s="2" t="str">
        <f>"FES1162593270"</f>
        <v>FES1162593270</v>
      </c>
      <c r="F2241" s="3">
        <v>43070</v>
      </c>
      <c r="G2241" s="2">
        <v>201806</v>
      </c>
      <c r="H2241" s="2" t="s">
        <v>74</v>
      </c>
      <c r="I2241" s="2" t="s">
        <v>75</v>
      </c>
      <c r="J2241" s="2" t="s">
        <v>97</v>
      </c>
      <c r="K2241" s="2" t="s">
        <v>77</v>
      </c>
      <c r="L2241" s="2" t="s">
        <v>125</v>
      </c>
      <c r="M2241" s="2" t="s">
        <v>126</v>
      </c>
      <c r="N2241" s="2" t="s">
        <v>664</v>
      </c>
      <c r="O2241" s="2" t="s">
        <v>81</v>
      </c>
      <c r="P2241" s="2" t="str">
        <f>"217065568                     "</f>
        <v xml:space="preserve">217065568 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7.94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2</v>
      </c>
      <c r="BI2241" s="2">
        <v>4.5999999999999996</v>
      </c>
      <c r="BJ2241" s="2">
        <v>4.5999999999999996</v>
      </c>
      <c r="BK2241" s="2">
        <v>5</v>
      </c>
      <c r="BL2241" s="2">
        <v>68.489999999999995</v>
      </c>
      <c r="BM2241" s="2">
        <v>9.59</v>
      </c>
      <c r="BN2241" s="2">
        <v>78.08</v>
      </c>
      <c r="BO2241" s="2">
        <v>78.08</v>
      </c>
      <c r="BP2241" s="2" t="s">
        <v>2489</v>
      </c>
      <c r="BQ2241" s="2" t="s">
        <v>102</v>
      </c>
      <c r="BR2241" s="2" t="s">
        <v>103</v>
      </c>
      <c r="BS2241" s="3">
        <v>43073</v>
      </c>
      <c r="BT2241" s="4">
        <v>0.43402777777777773</v>
      </c>
      <c r="BU2241" s="2" t="s">
        <v>665</v>
      </c>
      <c r="BV2241" s="2" t="s">
        <v>85</v>
      </c>
      <c r="BY2241" s="2">
        <v>23163.14</v>
      </c>
      <c r="CA2241" s="2" t="s">
        <v>666</v>
      </c>
      <c r="CC2241" s="2" t="s">
        <v>126</v>
      </c>
      <c r="CD2241" s="2">
        <v>4001</v>
      </c>
      <c r="CE2241" s="2" t="s">
        <v>1714</v>
      </c>
      <c r="CF2241" s="3">
        <v>43074</v>
      </c>
      <c r="CI2241" s="2">
        <v>1</v>
      </c>
      <c r="CJ2241" s="2">
        <v>1</v>
      </c>
      <c r="CK2241" s="2" t="s">
        <v>352</v>
      </c>
      <c r="CL2241" s="2" t="s">
        <v>89</v>
      </c>
    </row>
    <row r="2242" spans="1:90">
      <c r="A2242" s="2" t="s">
        <v>71</v>
      </c>
      <c r="B2242" s="2" t="s">
        <v>72</v>
      </c>
      <c r="C2242" s="2" t="s">
        <v>73</v>
      </c>
      <c r="E2242" s="2" t="str">
        <f>"FES1162595871"</f>
        <v>FES1162595871</v>
      </c>
      <c r="F2242" s="3">
        <v>43083</v>
      </c>
      <c r="G2242" s="2">
        <v>201806</v>
      </c>
      <c r="H2242" s="2" t="s">
        <v>74</v>
      </c>
      <c r="I2242" s="2" t="s">
        <v>75</v>
      </c>
      <c r="J2242" s="2" t="s">
        <v>97</v>
      </c>
      <c r="K2242" s="2" t="s">
        <v>77</v>
      </c>
      <c r="L2242" s="2" t="s">
        <v>285</v>
      </c>
      <c r="M2242" s="2" t="s">
        <v>159</v>
      </c>
      <c r="N2242" s="2" t="s">
        <v>2490</v>
      </c>
      <c r="O2242" s="2" t="s">
        <v>81</v>
      </c>
      <c r="P2242" s="2" t="str">
        <f>"2170606158                    "</f>
        <v xml:space="preserve">2170606158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16.87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4</v>
      </c>
      <c r="BI2242" s="2">
        <v>31.1</v>
      </c>
      <c r="BJ2242" s="2">
        <v>11.7</v>
      </c>
      <c r="BK2242" s="2">
        <v>32</v>
      </c>
      <c r="BL2242" s="2">
        <v>125.46</v>
      </c>
      <c r="BM2242" s="2">
        <v>17.559999999999999</v>
      </c>
      <c r="BN2242" s="2">
        <v>143.02000000000001</v>
      </c>
      <c r="BO2242" s="2">
        <v>143.02000000000001</v>
      </c>
      <c r="BR2242" s="2" t="s">
        <v>103</v>
      </c>
      <c r="BS2242" s="2" t="s">
        <v>185</v>
      </c>
      <c r="BY2242" s="2">
        <v>58317.49</v>
      </c>
      <c r="CC2242" s="2" t="s">
        <v>159</v>
      </c>
      <c r="CD2242" s="2">
        <v>186</v>
      </c>
      <c r="CE2242" s="2" t="s">
        <v>87</v>
      </c>
      <c r="CI2242" s="2">
        <v>0</v>
      </c>
      <c r="CJ2242" s="2">
        <v>0</v>
      </c>
      <c r="CK2242" s="2" t="s">
        <v>289</v>
      </c>
      <c r="CL2242" s="2" t="s">
        <v>89</v>
      </c>
    </row>
    <row r="2243" spans="1:90">
      <c r="A2243" s="2" t="s">
        <v>71</v>
      </c>
      <c r="B2243" s="2" t="s">
        <v>72</v>
      </c>
      <c r="C2243" s="2" t="s">
        <v>73</v>
      </c>
      <c r="E2243" s="2" t="str">
        <f>"FES1162595950"</f>
        <v>FES1162595950</v>
      </c>
      <c r="F2243" s="3">
        <v>43083</v>
      </c>
      <c r="G2243" s="2">
        <v>201806</v>
      </c>
      <c r="H2243" s="2" t="s">
        <v>74</v>
      </c>
      <c r="I2243" s="2" t="s">
        <v>75</v>
      </c>
      <c r="J2243" s="2" t="s">
        <v>97</v>
      </c>
      <c r="K2243" s="2" t="s">
        <v>77</v>
      </c>
      <c r="L2243" s="2" t="s">
        <v>1085</v>
      </c>
      <c r="M2243" s="2" t="s">
        <v>174</v>
      </c>
      <c r="N2243" s="2" t="s">
        <v>381</v>
      </c>
      <c r="O2243" s="2" t="s">
        <v>81</v>
      </c>
      <c r="P2243" s="2" t="str">
        <f>"2170607764                    "</f>
        <v xml:space="preserve">2170607764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18.239999999999998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23.6</v>
      </c>
      <c r="BJ2243" s="2">
        <v>18.3</v>
      </c>
      <c r="BK2243" s="2">
        <v>24</v>
      </c>
      <c r="BL2243" s="2">
        <v>135.24</v>
      </c>
      <c r="BM2243" s="2">
        <v>18.93</v>
      </c>
      <c r="BN2243" s="2">
        <v>154.16999999999999</v>
      </c>
      <c r="BO2243" s="2">
        <v>154.16999999999999</v>
      </c>
      <c r="BQ2243" s="2" t="s">
        <v>82</v>
      </c>
      <c r="BR2243" s="2" t="s">
        <v>103</v>
      </c>
      <c r="BS2243" s="3">
        <v>43087</v>
      </c>
      <c r="BT2243" s="4">
        <v>0.50416666666666665</v>
      </c>
      <c r="BU2243" s="2" t="s">
        <v>2491</v>
      </c>
      <c r="BV2243" s="2" t="s">
        <v>85</v>
      </c>
      <c r="BY2243" s="2">
        <v>91447.360000000001</v>
      </c>
      <c r="CA2243" s="2" t="s">
        <v>1088</v>
      </c>
      <c r="CC2243" s="2" t="s">
        <v>174</v>
      </c>
      <c r="CD2243" s="2">
        <v>7405</v>
      </c>
      <c r="CE2243" s="2" t="s">
        <v>95</v>
      </c>
      <c r="CF2243" s="3">
        <v>43088</v>
      </c>
      <c r="CI2243" s="2">
        <v>2</v>
      </c>
      <c r="CJ2243" s="2">
        <v>2</v>
      </c>
      <c r="CK2243" s="2" t="s">
        <v>271</v>
      </c>
      <c r="CL2243" s="2" t="s">
        <v>89</v>
      </c>
    </row>
    <row r="2244" spans="1:90">
      <c r="A2244" s="2" t="s">
        <v>71</v>
      </c>
      <c r="B2244" s="2" t="s">
        <v>72</v>
      </c>
      <c r="C2244" s="2" t="s">
        <v>73</v>
      </c>
      <c r="E2244" s="2" t="str">
        <f>"FES1162596125"</f>
        <v>FES1162596125</v>
      </c>
      <c r="F2244" s="3">
        <v>43083</v>
      </c>
      <c r="G2244" s="2">
        <v>201806</v>
      </c>
      <c r="H2244" s="2" t="s">
        <v>74</v>
      </c>
      <c r="I2244" s="2" t="s">
        <v>75</v>
      </c>
      <c r="J2244" s="2" t="s">
        <v>97</v>
      </c>
      <c r="K2244" s="2" t="s">
        <v>77</v>
      </c>
      <c r="L2244" s="2" t="s">
        <v>136</v>
      </c>
      <c r="M2244" s="2" t="s">
        <v>137</v>
      </c>
      <c r="N2244" s="2" t="s">
        <v>580</v>
      </c>
      <c r="O2244" s="2" t="s">
        <v>81</v>
      </c>
      <c r="P2244" s="2" t="str">
        <f>"2170607527                    "</f>
        <v xml:space="preserve">2170607527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19.940000000000001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26.3</v>
      </c>
      <c r="BJ2244" s="2">
        <v>18.899999999999999</v>
      </c>
      <c r="BK2244" s="2">
        <v>27</v>
      </c>
      <c r="BL2244" s="2">
        <v>147.32</v>
      </c>
      <c r="BM2244" s="2">
        <v>20.62</v>
      </c>
      <c r="BN2244" s="2">
        <v>167.94</v>
      </c>
      <c r="BO2244" s="2">
        <v>167.94</v>
      </c>
      <c r="BQ2244" s="2" t="s">
        <v>102</v>
      </c>
      <c r="BR2244" s="2" t="s">
        <v>103</v>
      </c>
      <c r="BS2244" s="3">
        <v>43087</v>
      </c>
      <c r="BT2244" s="4">
        <v>0.5493055555555556</v>
      </c>
      <c r="BU2244" s="2" t="s">
        <v>1751</v>
      </c>
      <c r="BV2244" s="2" t="s">
        <v>85</v>
      </c>
      <c r="BY2244" s="2">
        <v>94380.96</v>
      </c>
      <c r="CA2244" s="2" t="s">
        <v>2492</v>
      </c>
      <c r="CC2244" s="2" t="s">
        <v>137</v>
      </c>
      <c r="CD2244" s="2">
        <v>6001</v>
      </c>
      <c r="CE2244" s="2" t="s">
        <v>95</v>
      </c>
      <c r="CF2244" s="3">
        <v>43088</v>
      </c>
      <c r="CI2244" s="2">
        <v>2</v>
      </c>
      <c r="CJ2244" s="2">
        <v>2</v>
      </c>
      <c r="CK2244" s="2" t="s">
        <v>271</v>
      </c>
      <c r="CL2244" s="2" t="s">
        <v>89</v>
      </c>
    </row>
    <row r="2245" spans="1:90">
      <c r="A2245" s="2" t="s">
        <v>71</v>
      </c>
      <c r="B2245" s="2" t="s">
        <v>72</v>
      </c>
      <c r="C2245" s="2" t="s">
        <v>73</v>
      </c>
      <c r="E2245" s="2" t="str">
        <f>"FES1162595985"</f>
        <v>FES1162595985</v>
      </c>
      <c r="F2245" s="3">
        <v>43083</v>
      </c>
      <c r="G2245" s="2">
        <v>201806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285</v>
      </c>
      <c r="M2245" s="2" t="s">
        <v>159</v>
      </c>
      <c r="N2245" s="2" t="s">
        <v>700</v>
      </c>
      <c r="O2245" s="2" t="s">
        <v>81</v>
      </c>
      <c r="P2245" s="2" t="str">
        <f>"2170604254                    "</f>
        <v xml:space="preserve">2170604254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11.06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7</v>
      </c>
      <c r="BJ2245" s="2">
        <v>3.5</v>
      </c>
      <c r="BK2245" s="2">
        <v>7</v>
      </c>
      <c r="BL2245" s="2">
        <v>83.95</v>
      </c>
      <c r="BM2245" s="2">
        <v>11.75</v>
      </c>
      <c r="BN2245" s="2">
        <v>95.7</v>
      </c>
      <c r="BO2245" s="2">
        <v>95.7</v>
      </c>
      <c r="BQ2245" s="2" t="s">
        <v>82</v>
      </c>
      <c r="BR2245" s="2" t="s">
        <v>83</v>
      </c>
      <c r="BS2245" s="3">
        <v>43084</v>
      </c>
      <c r="BT2245" s="4">
        <v>0.53611111111111109</v>
      </c>
      <c r="BU2245" s="2" t="s">
        <v>2493</v>
      </c>
      <c r="BY2245" s="2">
        <v>17664</v>
      </c>
      <c r="CA2245" s="2" t="s">
        <v>293</v>
      </c>
      <c r="CC2245" s="2" t="s">
        <v>159</v>
      </c>
      <c r="CD2245" s="2">
        <v>184</v>
      </c>
      <c r="CE2245" s="2" t="s">
        <v>356</v>
      </c>
      <c r="CF2245" s="3">
        <v>43088</v>
      </c>
      <c r="CI2245" s="2">
        <v>0</v>
      </c>
      <c r="CJ2245" s="2">
        <v>0</v>
      </c>
      <c r="CK2245" s="2" t="s">
        <v>289</v>
      </c>
      <c r="CL2245" s="2" t="s">
        <v>89</v>
      </c>
    </row>
    <row r="2246" spans="1:90">
      <c r="A2246" s="2" t="s">
        <v>71</v>
      </c>
      <c r="B2246" s="2" t="s">
        <v>72</v>
      </c>
      <c r="C2246" s="2" t="s">
        <v>73</v>
      </c>
      <c r="E2246" s="2" t="str">
        <f>"FES1162596408"</f>
        <v>FES1162596408</v>
      </c>
      <c r="F2246" s="3">
        <v>43084</v>
      </c>
      <c r="G2246" s="2">
        <v>201806</v>
      </c>
      <c r="H2246" s="2" t="s">
        <v>74</v>
      </c>
      <c r="I2246" s="2" t="s">
        <v>75</v>
      </c>
      <c r="J2246" s="2" t="s">
        <v>97</v>
      </c>
      <c r="K2246" s="2" t="s">
        <v>77</v>
      </c>
      <c r="L2246" s="2" t="s">
        <v>158</v>
      </c>
      <c r="M2246" s="2" t="s">
        <v>159</v>
      </c>
      <c r="N2246" s="2" t="s">
        <v>186</v>
      </c>
      <c r="O2246" s="2" t="s">
        <v>101</v>
      </c>
      <c r="P2246" s="2" t="str">
        <f>"2170606095                    "</f>
        <v xml:space="preserve">2170606095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6.43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</v>
      </c>
      <c r="BJ2246" s="2">
        <v>0.2</v>
      </c>
      <c r="BK2246" s="2">
        <v>1</v>
      </c>
      <c r="BL2246" s="2">
        <v>45.93</v>
      </c>
      <c r="BM2246" s="2">
        <v>6.43</v>
      </c>
      <c r="BN2246" s="2">
        <v>52.36</v>
      </c>
      <c r="BO2246" s="2">
        <v>52.36</v>
      </c>
      <c r="BQ2246" s="2" t="s">
        <v>187</v>
      </c>
      <c r="BR2246" s="2" t="s">
        <v>103</v>
      </c>
      <c r="BS2246" s="3">
        <v>43087</v>
      </c>
      <c r="BT2246" s="4">
        <v>0.625</v>
      </c>
      <c r="BU2246" s="2" t="s">
        <v>1132</v>
      </c>
      <c r="BV2246" s="2" t="s">
        <v>89</v>
      </c>
      <c r="BY2246" s="2">
        <v>1200</v>
      </c>
      <c r="CC2246" s="2" t="s">
        <v>159</v>
      </c>
      <c r="CD2246" s="2">
        <v>159</v>
      </c>
      <c r="CE2246" s="2" t="s">
        <v>120</v>
      </c>
      <c r="CF2246" s="3">
        <v>43088</v>
      </c>
      <c r="CI2246" s="2">
        <v>1</v>
      </c>
      <c r="CJ2246" s="2">
        <v>1</v>
      </c>
      <c r="CK2246" s="2">
        <v>21</v>
      </c>
      <c r="CL2246" s="2" t="s">
        <v>89</v>
      </c>
    </row>
    <row r="2247" spans="1:90">
      <c r="A2247" s="2" t="s">
        <v>71</v>
      </c>
      <c r="B2247" s="2" t="s">
        <v>72</v>
      </c>
      <c r="C2247" s="2" t="s">
        <v>73</v>
      </c>
      <c r="E2247" s="2" t="str">
        <f>"FES1162593631"</f>
        <v>FES1162593631</v>
      </c>
      <c r="F2247" s="3">
        <v>43074</v>
      </c>
      <c r="G2247" s="2">
        <v>201806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285</v>
      </c>
      <c r="M2247" s="2" t="s">
        <v>159</v>
      </c>
      <c r="N2247" s="2" t="s">
        <v>738</v>
      </c>
      <c r="O2247" s="2" t="s">
        <v>81</v>
      </c>
      <c r="P2247" s="2" t="str">
        <f>"2170605164                    "</f>
        <v xml:space="preserve">2170605164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9.7100000000000009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3</v>
      </c>
      <c r="BJ2247" s="2">
        <v>5.0999999999999996</v>
      </c>
      <c r="BK2247" s="2">
        <v>6</v>
      </c>
      <c r="BL2247" s="2">
        <v>82.6</v>
      </c>
      <c r="BM2247" s="2">
        <v>11.56</v>
      </c>
      <c r="BN2247" s="2">
        <v>94.16</v>
      </c>
      <c r="BO2247" s="2">
        <v>94.16</v>
      </c>
      <c r="BQ2247" s="2" t="s">
        <v>739</v>
      </c>
      <c r="BR2247" s="2" t="s">
        <v>83</v>
      </c>
      <c r="BS2247" s="3">
        <v>43075</v>
      </c>
      <c r="BT2247" s="4">
        <v>0.68819444444444444</v>
      </c>
      <c r="BU2247" s="2" t="s">
        <v>2494</v>
      </c>
      <c r="BY2247" s="2">
        <v>25600</v>
      </c>
      <c r="CA2247" s="2" t="s">
        <v>1564</v>
      </c>
      <c r="CC2247" s="2" t="s">
        <v>159</v>
      </c>
      <c r="CD2247" s="2">
        <v>117</v>
      </c>
      <c r="CE2247" s="2" t="s">
        <v>87</v>
      </c>
      <c r="CF2247" s="3">
        <v>43077</v>
      </c>
      <c r="CI2247" s="2">
        <v>0</v>
      </c>
      <c r="CJ2247" s="2">
        <v>0</v>
      </c>
      <c r="CK2247" s="2" t="s">
        <v>289</v>
      </c>
      <c r="CL2247" s="2" t="s">
        <v>89</v>
      </c>
    </row>
    <row r="2248" spans="1:90">
      <c r="A2248" s="2" t="s">
        <v>71</v>
      </c>
      <c r="B2248" s="2" t="s">
        <v>72</v>
      </c>
      <c r="C2248" s="2" t="s">
        <v>73</v>
      </c>
      <c r="E2248" s="2" t="str">
        <f>"FES1162594889"</f>
        <v>FES1162594889</v>
      </c>
      <c r="F2248" s="3">
        <v>43081</v>
      </c>
      <c r="G2248" s="2">
        <v>201806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121</v>
      </c>
      <c r="M2248" s="2" t="s">
        <v>122</v>
      </c>
      <c r="N2248" s="2" t="s">
        <v>2495</v>
      </c>
      <c r="O2248" s="2" t="s">
        <v>81</v>
      </c>
      <c r="P2248" s="2" t="str">
        <f>"2170606784                    "</f>
        <v xml:space="preserve">2170606784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12.06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7</v>
      </c>
      <c r="BJ2248" s="2">
        <v>15</v>
      </c>
      <c r="BK2248" s="2">
        <v>15</v>
      </c>
      <c r="BL2248" s="2">
        <v>91.12</v>
      </c>
      <c r="BM2248" s="2">
        <v>12.76</v>
      </c>
      <c r="BN2248" s="2">
        <v>103.88</v>
      </c>
      <c r="BO2248" s="2">
        <v>103.88</v>
      </c>
      <c r="BQ2248" s="2" t="s">
        <v>2496</v>
      </c>
      <c r="BR2248" s="2" t="s">
        <v>83</v>
      </c>
      <c r="BS2248" s="3">
        <v>43083</v>
      </c>
      <c r="BT2248" s="4">
        <v>0.46597222222222223</v>
      </c>
      <c r="BU2248" s="2" t="s">
        <v>114</v>
      </c>
      <c r="BV2248" s="2" t="s">
        <v>89</v>
      </c>
      <c r="BW2248" s="2" t="s">
        <v>149</v>
      </c>
      <c r="BX2248" s="2" t="s">
        <v>292</v>
      </c>
      <c r="BY2248" s="2">
        <v>75000</v>
      </c>
      <c r="CC2248" s="2" t="s">
        <v>122</v>
      </c>
      <c r="CD2248" s="2">
        <v>2210</v>
      </c>
      <c r="CE2248" s="2" t="s">
        <v>87</v>
      </c>
      <c r="CF2248" s="3">
        <v>43084</v>
      </c>
      <c r="CI2248" s="2">
        <v>1</v>
      </c>
      <c r="CJ2248" s="2">
        <v>2</v>
      </c>
      <c r="CK2248" s="2" t="s">
        <v>88</v>
      </c>
      <c r="CL2248" s="2" t="s">
        <v>89</v>
      </c>
    </row>
    <row r="2249" spans="1:90">
      <c r="A2249" s="2" t="s">
        <v>71</v>
      </c>
      <c r="B2249" s="2" t="s">
        <v>72</v>
      </c>
      <c r="C2249" s="2" t="s">
        <v>73</v>
      </c>
      <c r="E2249" s="2" t="str">
        <f>"FES1162593625"</f>
        <v>FES1162593625</v>
      </c>
      <c r="F2249" s="3">
        <v>43073</v>
      </c>
      <c r="G2249" s="2">
        <v>201806</v>
      </c>
      <c r="H2249" s="2" t="s">
        <v>74</v>
      </c>
      <c r="I2249" s="2" t="s">
        <v>75</v>
      </c>
      <c r="J2249" s="2" t="s">
        <v>97</v>
      </c>
      <c r="K2249" s="2" t="s">
        <v>77</v>
      </c>
      <c r="L2249" s="2" t="s">
        <v>115</v>
      </c>
      <c r="M2249" s="2" t="s">
        <v>116</v>
      </c>
      <c r="N2249" s="2" t="s">
        <v>2497</v>
      </c>
      <c r="O2249" s="2" t="s">
        <v>81</v>
      </c>
      <c r="P2249" s="2" t="str">
        <f>"2170605184                    "</f>
        <v xml:space="preserve">2170605184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10.87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2</v>
      </c>
      <c r="BI2249" s="2">
        <v>25.9</v>
      </c>
      <c r="BJ2249" s="2">
        <v>6.9</v>
      </c>
      <c r="BK2249" s="2">
        <v>26</v>
      </c>
      <c r="BL2249" s="2">
        <v>91.88</v>
      </c>
      <c r="BM2249" s="2">
        <v>12.86</v>
      </c>
      <c r="BN2249" s="2">
        <v>104.74</v>
      </c>
      <c r="BO2249" s="2">
        <v>104.74</v>
      </c>
      <c r="BQ2249" s="2" t="s">
        <v>102</v>
      </c>
      <c r="BR2249" s="2" t="s">
        <v>103</v>
      </c>
      <c r="BS2249" s="3">
        <v>43074</v>
      </c>
      <c r="BT2249" s="4">
        <v>0.46319444444444446</v>
      </c>
      <c r="BU2249" s="2" t="s">
        <v>2498</v>
      </c>
      <c r="BV2249" s="2" t="s">
        <v>85</v>
      </c>
      <c r="BY2249" s="2">
        <v>34726.19</v>
      </c>
      <c r="CC2249" s="2" t="s">
        <v>116</v>
      </c>
      <c r="CD2249" s="2">
        <v>1459</v>
      </c>
      <c r="CE2249" s="2" t="s">
        <v>2499</v>
      </c>
      <c r="CF2249" s="3">
        <v>43075</v>
      </c>
      <c r="CI2249" s="2">
        <v>1</v>
      </c>
      <c r="CJ2249" s="2">
        <v>1</v>
      </c>
      <c r="CK2249" s="2" t="s">
        <v>96</v>
      </c>
      <c r="CL2249" s="2" t="s">
        <v>89</v>
      </c>
    </row>
    <row r="2250" spans="1:90">
      <c r="A2250" s="2" t="s">
        <v>71</v>
      </c>
      <c r="B2250" s="2" t="s">
        <v>72</v>
      </c>
      <c r="C2250" s="2" t="s">
        <v>73</v>
      </c>
      <c r="E2250" s="2" t="str">
        <f>"019910629985"</f>
        <v>019910629985</v>
      </c>
      <c r="F2250" s="3">
        <v>43083</v>
      </c>
      <c r="G2250" s="2">
        <v>201806</v>
      </c>
      <c r="H2250" s="2" t="s">
        <v>173</v>
      </c>
      <c r="I2250" s="2" t="s">
        <v>174</v>
      </c>
      <c r="J2250" s="2" t="s">
        <v>2500</v>
      </c>
      <c r="K2250" s="2" t="s">
        <v>77</v>
      </c>
      <c r="L2250" s="2" t="s">
        <v>74</v>
      </c>
      <c r="M2250" s="2" t="s">
        <v>75</v>
      </c>
      <c r="N2250" s="2" t="s">
        <v>76</v>
      </c>
      <c r="O2250" s="2" t="s">
        <v>81</v>
      </c>
      <c r="P2250" s="2" t="str">
        <f>"                              "</f>
        <v xml:space="preserve">          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13.17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0.2</v>
      </c>
      <c r="BK2250" s="2">
        <v>1</v>
      </c>
      <c r="BL2250" s="2">
        <v>99.03</v>
      </c>
      <c r="BM2250" s="2">
        <v>13.86</v>
      </c>
      <c r="BN2250" s="2">
        <v>112.89</v>
      </c>
      <c r="BO2250" s="2">
        <v>112.89</v>
      </c>
      <c r="BQ2250" s="2" t="s">
        <v>373</v>
      </c>
      <c r="BS2250" s="3">
        <v>43087</v>
      </c>
      <c r="BT2250" s="4">
        <v>0.40208333333333335</v>
      </c>
      <c r="BU2250" s="2" t="s">
        <v>1909</v>
      </c>
      <c r="BV2250" s="2" t="s">
        <v>85</v>
      </c>
      <c r="BY2250" s="2">
        <v>1200</v>
      </c>
      <c r="CA2250" s="2" t="s">
        <v>2501</v>
      </c>
      <c r="CC2250" s="2" t="s">
        <v>75</v>
      </c>
      <c r="CD2250" s="2">
        <v>1600</v>
      </c>
      <c r="CF2250" s="3">
        <v>43089</v>
      </c>
      <c r="CI2250" s="2">
        <v>2</v>
      </c>
      <c r="CJ2250" s="2">
        <v>2</v>
      </c>
      <c r="CK2250" s="2" t="s">
        <v>271</v>
      </c>
      <c r="CL2250" s="2" t="s">
        <v>89</v>
      </c>
    </row>
    <row r="2251" spans="1:90">
      <c r="A2251" s="2" t="s">
        <v>71</v>
      </c>
      <c r="B2251" s="2" t="s">
        <v>72</v>
      </c>
      <c r="C2251" s="2" t="s">
        <v>73</v>
      </c>
      <c r="E2251" s="2" t="str">
        <f>"FES1162596307"</f>
        <v>FES1162596307</v>
      </c>
      <c r="F2251" s="3">
        <v>43084</v>
      </c>
      <c r="G2251" s="2">
        <v>201806</v>
      </c>
      <c r="H2251" s="2" t="s">
        <v>74</v>
      </c>
      <c r="I2251" s="2" t="s">
        <v>75</v>
      </c>
      <c r="J2251" s="2" t="s">
        <v>97</v>
      </c>
      <c r="K2251" s="2" t="s">
        <v>77</v>
      </c>
      <c r="L2251" s="2" t="s">
        <v>221</v>
      </c>
      <c r="M2251" s="2" t="s">
        <v>222</v>
      </c>
      <c r="N2251" s="2" t="s">
        <v>1443</v>
      </c>
      <c r="O2251" s="2" t="s">
        <v>101</v>
      </c>
      <c r="P2251" s="2" t="str">
        <f>"217060587853                  "</f>
        <v xml:space="preserve">217060587853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6.43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1</v>
      </c>
      <c r="BJ2251" s="2">
        <v>0.2</v>
      </c>
      <c r="BK2251" s="2">
        <v>1</v>
      </c>
      <c r="BL2251" s="2">
        <v>45.93</v>
      </c>
      <c r="BM2251" s="2">
        <v>6.43</v>
      </c>
      <c r="BN2251" s="2">
        <v>52.36</v>
      </c>
      <c r="BO2251" s="2">
        <v>52.36</v>
      </c>
      <c r="BQ2251" s="2" t="s">
        <v>102</v>
      </c>
      <c r="BR2251" s="2" t="s">
        <v>103</v>
      </c>
      <c r="BS2251" s="2" t="s">
        <v>185</v>
      </c>
      <c r="BY2251" s="2">
        <v>1200</v>
      </c>
      <c r="CC2251" s="2" t="s">
        <v>222</v>
      </c>
      <c r="CD2251" s="2">
        <v>4113</v>
      </c>
      <c r="CE2251" s="2" t="s">
        <v>120</v>
      </c>
      <c r="CI2251" s="2">
        <v>1</v>
      </c>
      <c r="CJ2251" s="2" t="s">
        <v>185</v>
      </c>
      <c r="CK2251" s="2">
        <v>21</v>
      </c>
      <c r="CL2251" s="2" t="s">
        <v>89</v>
      </c>
    </row>
    <row r="2252" spans="1:90">
      <c r="A2252" s="2" t="s">
        <v>71</v>
      </c>
      <c r="B2252" s="2" t="s">
        <v>72</v>
      </c>
      <c r="C2252" s="2" t="s">
        <v>73</v>
      </c>
      <c r="E2252" s="2" t="str">
        <f>"FES1162596492"</f>
        <v>FES1162596492</v>
      </c>
      <c r="F2252" s="3">
        <v>43084</v>
      </c>
      <c r="G2252" s="2">
        <v>201806</v>
      </c>
      <c r="H2252" s="2" t="s">
        <v>74</v>
      </c>
      <c r="I2252" s="2" t="s">
        <v>75</v>
      </c>
      <c r="J2252" s="2" t="s">
        <v>97</v>
      </c>
      <c r="K2252" s="2" t="s">
        <v>77</v>
      </c>
      <c r="L2252" s="2" t="s">
        <v>106</v>
      </c>
      <c r="M2252" s="2" t="s">
        <v>107</v>
      </c>
      <c r="N2252" s="2" t="s">
        <v>108</v>
      </c>
      <c r="O2252" s="2" t="s">
        <v>101</v>
      </c>
      <c r="P2252" s="2" t="str">
        <f>"2170608191                    "</f>
        <v xml:space="preserve">2170608191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6.23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3.9</v>
      </c>
      <c r="BJ2252" s="2">
        <v>9.1</v>
      </c>
      <c r="BK2252" s="2">
        <v>10</v>
      </c>
      <c r="BL2252" s="2">
        <v>44.49</v>
      </c>
      <c r="BM2252" s="2">
        <v>6.23</v>
      </c>
      <c r="BN2252" s="2">
        <v>50.72</v>
      </c>
      <c r="BO2252" s="2">
        <v>50.72</v>
      </c>
      <c r="BQ2252" s="2" t="s">
        <v>82</v>
      </c>
      <c r="BR2252" s="2" t="s">
        <v>103</v>
      </c>
      <c r="BS2252" s="3">
        <v>43087</v>
      </c>
      <c r="BT2252" s="4">
        <v>0.40416666666666662</v>
      </c>
      <c r="BU2252" s="2" t="s">
        <v>1227</v>
      </c>
      <c r="BV2252" s="2" t="s">
        <v>85</v>
      </c>
      <c r="BY2252" s="2">
        <v>45668.69</v>
      </c>
      <c r="CA2252" s="2" t="s">
        <v>110</v>
      </c>
      <c r="CC2252" s="2" t="s">
        <v>107</v>
      </c>
      <c r="CD2252" s="2">
        <v>2094</v>
      </c>
      <c r="CE2252" s="2" t="s">
        <v>95</v>
      </c>
      <c r="CF2252" s="3">
        <v>43089</v>
      </c>
      <c r="CI2252" s="2">
        <v>1</v>
      </c>
      <c r="CJ2252" s="2">
        <v>1</v>
      </c>
      <c r="CK2252" s="2">
        <v>22</v>
      </c>
      <c r="CL2252" s="2" t="s">
        <v>89</v>
      </c>
    </row>
    <row r="2253" spans="1:90">
      <c r="A2253" s="2" t="s">
        <v>71</v>
      </c>
      <c r="B2253" s="2" t="s">
        <v>72</v>
      </c>
      <c r="C2253" s="2" t="s">
        <v>73</v>
      </c>
      <c r="E2253" s="2" t="str">
        <f>"FES1162596318"</f>
        <v>FES1162596318</v>
      </c>
      <c r="F2253" s="3">
        <v>43084</v>
      </c>
      <c r="G2253" s="2">
        <v>201806</v>
      </c>
      <c r="H2253" s="2" t="s">
        <v>74</v>
      </c>
      <c r="I2253" s="2" t="s">
        <v>75</v>
      </c>
      <c r="J2253" s="2" t="s">
        <v>97</v>
      </c>
      <c r="K2253" s="2" t="s">
        <v>77</v>
      </c>
      <c r="L2253" s="2" t="s">
        <v>158</v>
      </c>
      <c r="M2253" s="2" t="s">
        <v>159</v>
      </c>
      <c r="N2253" s="2" t="s">
        <v>588</v>
      </c>
      <c r="O2253" s="2" t="s">
        <v>101</v>
      </c>
      <c r="P2253" s="2" t="str">
        <f>"2170600404                    "</f>
        <v xml:space="preserve">2170600404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6.43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45.93</v>
      </c>
      <c r="BM2253" s="2">
        <v>6.43</v>
      </c>
      <c r="BN2253" s="2">
        <v>52.36</v>
      </c>
      <c r="BO2253" s="2">
        <v>52.36</v>
      </c>
      <c r="BQ2253" s="2" t="s">
        <v>102</v>
      </c>
      <c r="BR2253" s="2" t="s">
        <v>103</v>
      </c>
      <c r="BS2253" s="3">
        <v>43087</v>
      </c>
      <c r="BT2253" s="4">
        <v>0.46388888888888885</v>
      </c>
      <c r="BU2253" s="2" t="s">
        <v>1606</v>
      </c>
      <c r="BV2253" s="2" t="s">
        <v>85</v>
      </c>
      <c r="BY2253" s="2">
        <v>1200</v>
      </c>
      <c r="CA2253" s="2" t="s">
        <v>590</v>
      </c>
      <c r="CC2253" s="2" t="s">
        <v>159</v>
      </c>
      <c r="CD2253" s="2">
        <v>40</v>
      </c>
      <c r="CE2253" s="2" t="s">
        <v>120</v>
      </c>
      <c r="CF2253" s="3">
        <v>43088</v>
      </c>
      <c r="CI2253" s="2">
        <v>1</v>
      </c>
      <c r="CJ2253" s="2">
        <v>1</v>
      </c>
      <c r="CK2253" s="2">
        <v>21</v>
      </c>
      <c r="CL2253" s="2" t="s">
        <v>89</v>
      </c>
    </row>
    <row r="2254" spans="1:90">
      <c r="A2254" s="2" t="s">
        <v>71</v>
      </c>
      <c r="B2254" s="2" t="s">
        <v>72</v>
      </c>
      <c r="C2254" s="2" t="s">
        <v>73</v>
      </c>
      <c r="E2254" s="2" t="str">
        <f>"FES1162596472"</f>
        <v>FES1162596472</v>
      </c>
      <c r="F2254" s="3">
        <v>43084</v>
      </c>
      <c r="G2254" s="2">
        <v>201806</v>
      </c>
      <c r="H2254" s="2" t="s">
        <v>74</v>
      </c>
      <c r="I2254" s="2" t="s">
        <v>75</v>
      </c>
      <c r="J2254" s="2" t="s">
        <v>97</v>
      </c>
      <c r="K2254" s="2" t="s">
        <v>77</v>
      </c>
      <c r="L2254" s="2" t="s">
        <v>98</v>
      </c>
      <c r="M2254" s="2" t="s">
        <v>99</v>
      </c>
      <c r="N2254" s="2" t="s">
        <v>1182</v>
      </c>
      <c r="O2254" s="2" t="s">
        <v>101</v>
      </c>
      <c r="P2254" s="2" t="str">
        <f>"2170608139                    "</f>
        <v xml:space="preserve">2170608139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20.9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6.4</v>
      </c>
      <c r="BJ2254" s="2">
        <v>2.5</v>
      </c>
      <c r="BK2254" s="2">
        <v>6.5</v>
      </c>
      <c r="BL2254" s="2">
        <v>149.22999999999999</v>
      </c>
      <c r="BM2254" s="2">
        <v>20.89</v>
      </c>
      <c r="BN2254" s="2">
        <v>170.12</v>
      </c>
      <c r="BO2254" s="2">
        <v>170.12</v>
      </c>
      <c r="BQ2254" s="2" t="s">
        <v>82</v>
      </c>
      <c r="BR2254" s="2" t="s">
        <v>103</v>
      </c>
      <c r="BS2254" s="3">
        <v>43087</v>
      </c>
      <c r="BT2254" s="4">
        <v>0.34722222222222227</v>
      </c>
      <c r="BU2254" s="2" t="s">
        <v>1183</v>
      </c>
      <c r="BV2254" s="2" t="s">
        <v>85</v>
      </c>
      <c r="BY2254" s="2">
        <v>12262.85</v>
      </c>
      <c r="CA2254" s="2" t="s">
        <v>1184</v>
      </c>
      <c r="CC2254" s="2" t="s">
        <v>99</v>
      </c>
      <c r="CD2254" s="2">
        <v>3201</v>
      </c>
      <c r="CE2254" s="2" t="s">
        <v>95</v>
      </c>
      <c r="CF2254" s="3">
        <v>43088</v>
      </c>
      <c r="CI2254" s="2">
        <v>1</v>
      </c>
      <c r="CJ2254" s="2">
        <v>1</v>
      </c>
      <c r="CK2254" s="2">
        <v>21</v>
      </c>
      <c r="CL2254" s="2" t="s">
        <v>89</v>
      </c>
    </row>
    <row r="2255" spans="1:90">
      <c r="A2255" s="2" t="s">
        <v>71</v>
      </c>
      <c r="B2255" s="2" t="s">
        <v>72</v>
      </c>
      <c r="C2255" s="2" t="s">
        <v>73</v>
      </c>
      <c r="E2255" s="2" t="str">
        <f>"FES1162596380"</f>
        <v>FES1162596380</v>
      </c>
      <c r="F2255" s="3">
        <v>43084</v>
      </c>
      <c r="G2255" s="2">
        <v>201806</v>
      </c>
      <c r="H2255" s="2" t="s">
        <v>74</v>
      </c>
      <c r="I2255" s="2" t="s">
        <v>75</v>
      </c>
      <c r="J2255" s="2" t="s">
        <v>97</v>
      </c>
      <c r="K2255" s="2" t="s">
        <v>77</v>
      </c>
      <c r="L2255" s="2" t="s">
        <v>158</v>
      </c>
      <c r="M2255" s="2" t="s">
        <v>159</v>
      </c>
      <c r="N2255" s="2" t="s">
        <v>2502</v>
      </c>
      <c r="O2255" s="2" t="s">
        <v>101</v>
      </c>
      <c r="P2255" s="2" t="str">
        <f>"2170604726                    "</f>
        <v xml:space="preserve">2170604726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6.43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45.93</v>
      </c>
      <c r="BM2255" s="2">
        <v>6.43</v>
      </c>
      <c r="BN2255" s="2">
        <v>52.36</v>
      </c>
      <c r="BO2255" s="2">
        <v>52.36</v>
      </c>
      <c r="BR2255" s="2" t="s">
        <v>103</v>
      </c>
      <c r="BS2255" s="3">
        <v>43087</v>
      </c>
      <c r="BT2255" s="4">
        <v>0.56944444444444442</v>
      </c>
      <c r="BU2255" s="2" t="s">
        <v>2503</v>
      </c>
      <c r="BV2255" s="2" t="s">
        <v>89</v>
      </c>
      <c r="BY2255" s="2">
        <v>1200</v>
      </c>
      <c r="CA2255" s="2" t="s">
        <v>678</v>
      </c>
      <c r="CC2255" s="2" t="s">
        <v>159</v>
      </c>
      <c r="CD2255" s="2">
        <v>1</v>
      </c>
      <c r="CE2255" s="2" t="s">
        <v>120</v>
      </c>
      <c r="CF2255" s="3">
        <v>43088</v>
      </c>
      <c r="CI2255" s="2">
        <v>1</v>
      </c>
      <c r="CJ2255" s="2">
        <v>1</v>
      </c>
      <c r="CK2255" s="2">
        <v>21</v>
      </c>
      <c r="CL2255" s="2" t="s">
        <v>89</v>
      </c>
    </row>
    <row r="2256" spans="1:90">
      <c r="A2256" s="2" t="s">
        <v>71</v>
      </c>
      <c r="B2256" s="2" t="s">
        <v>72</v>
      </c>
      <c r="C2256" s="2" t="s">
        <v>73</v>
      </c>
      <c r="E2256" s="2" t="str">
        <f>"FES1162596470"</f>
        <v>FES1162596470</v>
      </c>
      <c r="F2256" s="3">
        <v>43084</v>
      </c>
      <c r="G2256" s="2">
        <v>201806</v>
      </c>
      <c r="H2256" s="2" t="s">
        <v>74</v>
      </c>
      <c r="I2256" s="2" t="s">
        <v>75</v>
      </c>
      <c r="J2256" s="2" t="s">
        <v>97</v>
      </c>
      <c r="K2256" s="2" t="s">
        <v>77</v>
      </c>
      <c r="L2256" s="2" t="s">
        <v>158</v>
      </c>
      <c r="M2256" s="2" t="s">
        <v>159</v>
      </c>
      <c r="N2256" s="2" t="s">
        <v>2504</v>
      </c>
      <c r="O2256" s="2" t="s">
        <v>101</v>
      </c>
      <c r="P2256" s="2" t="str">
        <f>"2170607909                    "</f>
        <v xml:space="preserve">2170607909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6.43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1</v>
      </c>
      <c r="BJ2256" s="2">
        <v>0.2</v>
      </c>
      <c r="BK2256" s="2">
        <v>1</v>
      </c>
      <c r="BL2256" s="2">
        <v>45.93</v>
      </c>
      <c r="BM2256" s="2">
        <v>6.43</v>
      </c>
      <c r="BN2256" s="2">
        <v>52.36</v>
      </c>
      <c r="BO2256" s="2">
        <v>52.36</v>
      </c>
      <c r="BQ2256" s="2" t="s">
        <v>102</v>
      </c>
      <c r="BR2256" s="2" t="s">
        <v>103</v>
      </c>
      <c r="BS2256" s="3">
        <v>43087</v>
      </c>
      <c r="BT2256" s="4">
        <v>0.56944444444444442</v>
      </c>
      <c r="BU2256" s="2" t="s">
        <v>2505</v>
      </c>
      <c r="BV2256" s="2" t="s">
        <v>89</v>
      </c>
      <c r="BY2256" s="2">
        <v>1200</v>
      </c>
      <c r="CA2256" s="2" t="s">
        <v>678</v>
      </c>
      <c r="CC2256" s="2" t="s">
        <v>159</v>
      </c>
      <c r="CD2256" s="2">
        <v>1</v>
      </c>
      <c r="CE2256" s="2" t="s">
        <v>120</v>
      </c>
      <c r="CF2256" s="3">
        <v>43088</v>
      </c>
      <c r="CI2256" s="2">
        <v>1</v>
      </c>
      <c r="CJ2256" s="2">
        <v>1</v>
      </c>
      <c r="CK2256" s="2">
        <v>21</v>
      </c>
      <c r="CL2256" s="2" t="s">
        <v>89</v>
      </c>
    </row>
    <row r="2257" spans="1:90">
      <c r="A2257" s="2" t="s">
        <v>71</v>
      </c>
      <c r="B2257" s="2" t="s">
        <v>72</v>
      </c>
      <c r="C2257" s="2" t="s">
        <v>73</v>
      </c>
      <c r="E2257" s="2" t="str">
        <f>"FES1162596328"</f>
        <v>FES1162596328</v>
      </c>
      <c r="F2257" s="3">
        <v>43084</v>
      </c>
      <c r="G2257" s="2">
        <v>201806</v>
      </c>
      <c r="H2257" s="2" t="s">
        <v>74</v>
      </c>
      <c r="I2257" s="2" t="s">
        <v>75</v>
      </c>
      <c r="J2257" s="2" t="s">
        <v>97</v>
      </c>
      <c r="K2257" s="2" t="s">
        <v>77</v>
      </c>
      <c r="L2257" s="2" t="s">
        <v>295</v>
      </c>
      <c r="M2257" s="2" t="s">
        <v>296</v>
      </c>
      <c r="N2257" s="2" t="s">
        <v>969</v>
      </c>
      <c r="O2257" s="2" t="s">
        <v>101</v>
      </c>
      <c r="P2257" s="2" t="str">
        <f>"21706024469                   "</f>
        <v xml:space="preserve">21706024469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9.0500000000000007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1</v>
      </c>
      <c r="BJ2257" s="2">
        <v>0.2</v>
      </c>
      <c r="BK2257" s="2">
        <v>1</v>
      </c>
      <c r="BL2257" s="2">
        <v>64.599999999999994</v>
      </c>
      <c r="BM2257" s="2">
        <v>9.0399999999999991</v>
      </c>
      <c r="BN2257" s="2">
        <v>73.64</v>
      </c>
      <c r="BO2257" s="2">
        <v>73.64</v>
      </c>
      <c r="BQ2257" s="2" t="s">
        <v>970</v>
      </c>
      <c r="BR2257" s="2" t="s">
        <v>103</v>
      </c>
      <c r="BS2257" s="3">
        <v>43088</v>
      </c>
      <c r="BT2257" s="4">
        <v>0.38194444444444442</v>
      </c>
      <c r="BU2257" s="2" t="s">
        <v>2506</v>
      </c>
      <c r="BV2257" s="2" t="s">
        <v>89</v>
      </c>
      <c r="BW2257" s="2" t="s">
        <v>149</v>
      </c>
      <c r="BX2257" s="2" t="s">
        <v>668</v>
      </c>
      <c r="BY2257" s="2">
        <v>1200</v>
      </c>
      <c r="CC2257" s="2" t="s">
        <v>296</v>
      </c>
      <c r="CD2257" s="2">
        <v>407</v>
      </c>
      <c r="CE2257" s="2" t="s">
        <v>120</v>
      </c>
      <c r="CF2257" s="3">
        <v>43090</v>
      </c>
      <c r="CI2257" s="2">
        <v>1</v>
      </c>
      <c r="CJ2257" s="2">
        <v>2</v>
      </c>
      <c r="CK2257" s="2">
        <v>24</v>
      </c>
      <c r="CL2257" s="2" t="s">
        <v>89</v>
      </c>
    </row>
    <row r="2258" spans="1:90">
      <c r="A2258" s="2" t="s">
        <v>71</v>
      </c>
      <c r="B2258" s="2" t="s">
        <v>72</v>
      </c>
      <c r="C2258" s="2" t="s">
        <v>73</v>
      </c>
      <c r="E2258" s="2" t="str">
        <f>"FES1162596301"</f>
        <v>FES1162596301</v>
      </c>
      <c r="F2258" s="3">
        <v>43084</v>
      </c>
      <c r="G2258" s="2">
        <v>201806</v>
      </c>
      <c r="H2258" s="2" t="s">
        <v>74</v>
      </c>
      <c r="I2258" s="2" t="s">
        <v>75</v>
      </c>
      <c r="J2258" s="2" t="s">
        <v>97</v>
      </c>
      <c r="K2258" s="2" t="s">
        <v>77</v>
      </c>
      <c r="L2258" s="2" t="s">
        <v>158</v>
      </c>
      <c r="M2258" s="2" t="s">
        <v>159</v>
      </c>
      <c r="N2258" s="2" t="s">
        <v>966</v>
      </c>
      <c r="O2258" s="2" t="s">
        <v>101</v>
      </c>
      <c r="P2258" s="2" t="str">
        <f>"2170608058                    "</f>
        <v xml:space="preserve">2170608058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6.43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1</v>
      </c>
      <c r="BJ2258" s="2">
        <v>0.2</v>
      </c>
      <c r="BK2258" s="2">
        <v>1</v>
      </c>
      <c r="BL2258" s="2">
        <v>45.93</v>
      </c>
      <c r="BM2258" s="2">
        <v>6.43</v>
      </c>
      <c r="BN2258" s="2">
        <v>52.36</v>
      </c>
      <c r="BO2258" s="2">
        <v>52.36</v>
      </c>
      <c r="BQ2258" s="2" t="s">
        <v>102</v>
      </c>
      <c r="BR2258" s="2" t="s">
        <v>103</v>
      </c>
      <c r="BS2258" s="2" t="s">
        <v>185</v>
      </c>
      <c r="BY2258" s="2">
        <v>1200</v>
      </c>
      <c r="CC2258" s="2" t="s">
        <v>159</v>
      </c>
      <c r="CD2258" s="2">
        <v>200</v>
      </c>
      <c r="CE2258" s="2" t="s">
        <v>120</v>
      </c>
      <c r="CI2258" s="2">
        <v>1</v>
      </c>
      <c r="CJ2258" s="2" t="s">
        <v>185</v>
      </c>
      <c r="CK2258" s="2">
        <v>21</v>
      </c>
      <c r="CL2258" s="2" t="s">
        <v>89</v>
      </c>
    </row>
    <row r="2259" spans="1:90">
      <c r="A2259" s="2" t="s">
        <v>71</v>
      </c>
      <c r="B2259" s="2" t="s">
        <v>72</v>
      </c>
      <c r="C2259" s="2" t="s">
        <v>73</v>
      </c>
      <c r="E2259" s="2" t="str">
        <f>"FES1162596261"</f>
        <v>FES1162596261</v>
      </c>
      <c r="F2259" s="3">
        <v>43084</v>
      </c>
      <c r="G2259" s="2">
        <v>201806</v>
      </c>
      <c r="H2259" s="2" t="s">
        <v>74</v>
      </c>
      <c r="I2259" s="2" t="s">
        <v>75</v>
      </c>
      <c r="J2259" s="2" t="s">
        <v>97</v>
      </c>
      <c r="K2259" s="2" t="s">
        <v>77</v>
      </c>
      <c r="L2259" s="2" t="s">
        <v>651</v>
      </c>
      <c r="M2259" s="2" t="s">
        <v>652</v>
      </c>
      <c r="N2259" s="2" t="s">
        <v>953</v>
      </c>
      <c r="O2259" s="2" t="s">
        <v>101</v>
      </c>
      <c r="P2259" s="2" t="str">
        <f>"2170608001                    "</f>
        <v xml:space="preserve">2170608001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9.0500000000000007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1</v>
      </c>
      <c r="BJ2259" s="2">
        <v>0.2</v>
      </c>
      <c r="BK2259" s="2">
        <v>1</v>
      </c>
      <c r="BL2259" s="2">
        <v>64.599999999999994</v>
      </c>
      <c r="BM2259" s="2">
        <v>9.0399999999999991</v>
      </c>
      <c r="BN2259" s="2">
        <v>73.64</v>
      </c>
      <c r="BO2259" s="2">
        <v>73.64</v>
      </c>
      <c r="BQ2259" s="2" t="s">
        <v>82</v>
      </c>
      <c r="BR2259" s="2" t="s">
        <v>103</v>
      </c>
      <c r="BS2259" s="2" t="s">
        <v>185</v>
      </c>
      <c r="BY2259" s="2">
        <v>1200</v>
      </c>
      <c r="CC2259" s="2" t="s">
        <v>652</v>
      </c>
      <c r="CD2259" s="2">
        <v>250</v>
      </c>
      <c r="CE2259" s="2" t="s">
        <v>120</v>
      </c>
      <c r="CI2259" s="2">
        <v>1</v>
      </c>
      <c r="CJ2259" s="2" t="s">
        <v>185</v>
      </c>
      <c r="CK2259" s="2">
        <v>24</v>
      </c>
      <c r="CL2259" s="2" t="s">
        <v>89</v>
      </c>
    </row>
    <row r="2260" spans="1:90">
      <c r="A2260" s="2" t="s">
        <v>71</v>
      </c>
      <c r="B2260" s="2" t="s">
        <v>72</v>
      </c>
      <c r="C2260" s="2" t="s">
        <v>73</v>
      </c>
      <c r="E2260" s="2" t="str">
        <f>"FES1162596420"</f>
        <v>FES1162596420</v>
      </c>
      <c r="F2260" s="3">
        <v>43084</v>
      </c>
      <c r="G2260" s="2">
        <v>201806</v>
      </c>
      <c r="H2260" s="2" t="s">
        <v>74</v>
      </c>
      <c r="I2260" s="2" t="s">
        <v>75</v>
      </c>
      <c r="J2260" s="2" t="s">
        <v>97</v>
      </c>
      <c r="K2260" s="2" t="s">
        <v>77</v>
      </c>
      <c r="L2260" s="2" t="s">
        <v>74</v>
      </c>
      <c r="M2260" s="2" t="s">
        <v>75</v>
      </c>
      <c r="N2260" s="2" t="s">
        <v>1404</v>
      </c>
      <c r="O2260" s="2" t="s">
        <v>101</v>
      </c>
      <c r="P2260" s="2" t="str">
        <f>"2170607511                    "</f>
        <v xml:space="preserve">2170607511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5.03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1</v>
      </c>
      <c r="BJ2260" s="2">
        <v>0.2</v>
      </c>
      <c r="BK2260" s="2">
        <v>1</v>
      </c>
      <c r="BL2260" s="2">
        <v>35.89</v>
      </c>
      <c r="BM2260" s="2">
        <v>5.0199999999999996</v>
      </c>
      <c r="BN2260" s="2">
        <v>40.909999999999997</v>
      </c>
      <c r="BO2260" s="2">
        <v>40.909999999999997</v>
      </c>
      <c r="BQ2260" s="2" t="s">
        <v>1405</v>
      </c>
      <c r="BR2260" s="2" t="s">
        <v>103</v>
      </c>
      <c r="BS2260" s="3">
        <v>43087</v>
      </c>
      <c r="BT2260" s="4">
        <v>0.35347222222222219</v>
      </c>
      <c r="BU2260" s="2" t="s">
        <v>1406</v>
      </c>
      <c r="BV2260" s="2" t="s">
        <v>85</v>
      </c>
      <c r="BY2260" s="2">
        <v>1200</v>
      </c>
      <c r="CA2260" s="2" t="s">
        <v>366</v>
      </c>
      <c r="CC2260" s="2" t="s">
        <v>75</v>
      </c>
      <c r="CD2260" s="2">
        <v>1601</v>
      </c>
      <c r="CE2260" s="2" t="s">
        <v>120</v>
      </c>
      <c r="CF2260" s="3">
        <v>43089</v>
      </c>
      <c r="CI2260" s="2">
        <v>1</v>
      </c>
      <c r="CJ2260" s="2">
        <v>1</v>
      </c>
      <c r="CK2260" s="2">
        <v>22</v>
      </c>
      <c r="CL2260" s="2" t="s">
        <v>89</v>
      </c>
    </row>
    <row r="2261" spans="1:90">
      <c r="A2261" s="2" t="s">
        <v>71</v>
      </c>
      <c r="B2261" s="2" t="s">
        <v>72</v>
      </c>
      <c r="C2261" s="2" t="s">
        <v>73</v>
      </c>
      <c r="E2261" s="2" t="str">
        <f>"FES1162596473"</f>
        <v>FES1162596473</v>
      </c>
      <c r="F2261" s="3">
        <v>43084</v>
      </c>
      <c r="G2261" s="2">
        <v>201806</v>
      </c>
      <c r="H2261" s="2" t="s">
        <v>74</v>
      </c>
      <c r="I2261" s="2" t="s">
        <v>75</v>
      </c>
      <c r="J2261" s="2" t="s">
        <v>97</v>
      </c>
      <c r="K2261" s="2" t="s">
        <v>77</v>
      </c>
      <c r="L2261" s="2" t="s">
        <v>106</v>
      </c>
      <c r="M2261" s="2" t="s">
        <v>107</v>
      </c>
      <c r="N2261" s="2" t="s">
        <v>108</v>
      </c>
      <c r="O2261" s="2" t="s">
        <v>101</v>
      </c>
      <c r="P2261" s="2" t="str">
        <f>"2170608146                    "</f>
        <v xml:space="preserve">2170608146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5.63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9</v>
      </c>
      <c r="BJ2261" s="2">
        <v>1.2</v>
      </c>
      <c r="BK2261" s="2">
        <v>9</v>
      </c>
      <c r="BL2261" s="2">
        <v>40.19</v>
      </c>
      <c r="BM2261" s="2">
        <v>5.63</v>
      </c>
      <c r="BN2261" s="2">
        <v>45.82</v>
      </c>
      <c r="BO2261" s="2">
        <v>45.82</v>
      </c>
      <c r="BQ2261" s="2" t="s">
        <v>82</v>
      </c>
      <c r="BR2261" s="2" t="s">
        <v>103</v>
      </c>
      <c r="BS2261" s="3">
        <v>43087</v>
      </c>
      <c r="BT2261" s="4">
        <v>0.40416666666666662</v>
      </c>
      <c r="BU2261" s="2" t="s">
        <v>1227</v>
      </c>
      <c r="BV2261" s="2" t="s">
        <v>85</v>
      </c>
      <c r="BY2261" s="2">
        <v>5900</v>
      </c>
      <c r="CA2261" s="2" t="s">
        <v>110</v>
      </c>
      <c r="CC2261" s="2" t="s">
        <v>107</v>
      </c>
      <c r="CD2261" s="2">
        <v>2094</v>
      </c>
      <c r="CE2261" s="2" t="s">
        <v>87</v>
      </c>
      <c r="CF2261" s="3">
        <v>43089</v>
      </c>
      <c r="CI2261" s="2">
        <v>1</v>
      </c>
      <c r="CJ2261" s="2">
        <v>1</v>
      </c>
      <c r="CK2261" s="2">
        <v>22</v>
      </c>
      <c r="CL2261" s="2" t="s">
        <v>89</v>
      </c>
    </row>
    <row r="2262" spans="1:90">
      <c r="A2262" s="2" t="s">
        <v>71</v>
      </c>
      <c r="B2262" s="2" t="s">
        <v>72</v>
      </c>
      <c r="C2262" s="2" t="s">
        <v>73</v>
      </c>
      <c r="E2262" s="2" t="str">
        <f>"FES1162596429"</f>
        <v>FES1162596429</v>
      </c>
      <c r="F2262" s="3">
        <v>43084</v>
      </c>
      <c r="G2262" s="2">
        <v>201806</v>
      </c>
      <c r="H2262" s="2" t="s">
        <v>74</v>
      </c>
      <c r="I2262" s="2" t="s">
        <v>75</v>
      </c>
      <c r="J2262" s="2" t="s">
        <v>97</v>
      </c>
      <c r="K2262" s="2" t="s">
        <v>77</v>
      </c>
      <c r="L2262" s="2" t="s">
        <v>440</v>
      </c>
      <c r="M2262" s="2" t="s">
        <v>441</v>
      </c>
      <c r="N2262" s="2" t="s">
        <v>1844</v>
      </c>
      <c r="O2262" s="2" t="s">
        <v>101</v>
      </c>
      <c r="P2262" s="2" t="str">
        <f>"2170608071                    "</f>
        <v xml:space="preserve">2170608071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9.0500000000000007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0.2</v>
      </c>
      <c r="BK2262" s="2">
        <v>1</v>
      </c>
      <c r="BL2262" s="2">
        <v>64.599999999999994</v>
      </c>
      <c r="BM2262" s="2">
        <v>9.0399999999999991</v>
      </c>
      <c r="BN2262" s="2">
        <v>73.64</v>
      </c>
      <c r="BO2262" s="2">
        <v>73.64</v>
      </c>
      <c r="BQ2262" s="2" t="s">
        <v>82</v>
      </c>
      <c r="BR2262" s="2" t="s">
        <v>103</v>
      </c>
      <c r="BS2262" s="3">
        <v>43087</v>
      </c>
      <c r="BT2262" s="4">
        <v>0.44722222222222219</v>
      </c>
      <c r="BU2262" s="2" t="s">
        <v>2399</v>
      </c>
      <c r="BV2262" s="2" t="s">
        <v>85</v>
      </c>
      <c r="BY2262" s="2">
        <v>1200</v>
      </c>
      <c r="CC2262" s="2" t="s">
        <v>441</v>
      </c>
      <c r="CD2262" s="2">
        <v>1759</v>
      </c>
      <c r="CE2262" s="2" t="s">
        <v>120</v>
      </c>
      <c r="CF2262" s="3">
        <v>43088</v>
      </c>
      <c r="CI2262" s="2">
        <v>1</v>
      </c>
      <c r="CJ2262" s="2">
        <v>1</v>
      </c>
      <c r="CK2262" s="2">
        <v>24</v>
      </c>
      <c r="CL2262" s="2" t="s">
        <v>89</v>
      </c>
    </row>
    <row r="2263" spans="1:90">
      <c r="A2263" s="2" t="s">
        <v>71</v>
      </c>
      <c r="B2263" s="2" t="s">
        <v>72</v>
      </c>
      <c r="C2263" s="2" t="s">
        <v>73</v>
      </c>
      <c r="E2263" s="2" t="str">
        <f>"FES1162596467"</f>
        <v>FES1162596467</v>
      </c>
      <c r="F2263" s="3">
        <v>43084</v>
      </c>
      <c r="G2263" s="2">
        <v>201806</v>
      </c>
      <c r="H2263" s="2" t="s">
        <v>74</v>
      </c>
      <c r="I2263" s="2" t="s">
        <v>75</v>
      </c>
      <c r="J2263" s="2" t="s">
        <v>97</v>
      </c>
      <c r="K2263" s="2" t="s">
        <v>77</v>
      </c>
      <c r="L2263" s="2" t="s">
        <v>106</v>
      </c>
      <c r="M2263" s="2" t="s">
        <v>107</v>
      </c>
      <c r="N2263" s="2" t="s">
        <v>108</v>
      </c>
      <c r="O2263" s="2" t="s">
        <v>101</v>
      </c>
      <c r="P2263" s="2" t="str">
        <f>"2170608143                    "</f>
        <v xml:space="preserve">2170608143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5.03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1</v>
      </c>
      <c r="BJ2263" s="2">
        <v>0.2</v>
      </c>
      <c r="BK2263" s="2">
        <v>1</v>
      </c>
      <c r="BL2263" s="2">
        <v>35.89</v>
      </c>
      <c r="BM2263" s="2">
        <v>5.0199999999999996</v>
      </c>
      <c r="BN2263" s="2">
        <v>40.909999999999997</v>
      </c>
      <c r="BO2263" s="2">
        <v>40.909999999999997</v>
      </c>
      <c r="BQ2263" s="2" t="s">
        <v>82</v>
      </c>
      <c r="BR2263" s="2" t="s">
        <v>103</v>
      </c>
      <c r="BS2263" s="3">
        <v>43087</v>
      </c>
      <c r="BT2263" s="4">
        <v>0.40416666666666662</v>
      </c>
      <c r="BU2263" s="2" t="s">
        <v>1227</v>
      </c>
      <c r="BV2263" s="2" t="s">
        <v>85</v>
      </c>
      <c r="BY2263" s="2">
        <v>1200</v>
      </c>
      <c r="CA2263" s="2" t="s">
        <v>110</v>
      </c>
      <c r="CC2263" s="2" t="s">
        <v>107</v>
      </c>
      <c r="CD2263" s="2">
        <v>2094</v>
      </c>
      <c r="CE2263" s="2" t="s">
        <v>120</v>
      </c>
      <c r="CF2263" s="3">
        <v>43089</v>
      </c>
      <c r="CI2263" s="2">
        <v>1</v>
      </c>
      <c r="CJ2263" s="2">
        <v>1</v>
      </c>
      <c r="CK2263" s="2">
        <v>22</v>
      </c>
      <c r="CL2263" s="2" t="s">
        <v>89</v>
      </c>
    </row>
    <row r="2264" spans="1:90">
      <c r="A2264" s="2" t="s">
        <v>71</v>
      </c>
      <c r="B2264" s="2" t="s">
        <v>72</v>
      </c>
      <c r="C2264" s="2" t="s">
        <v>73</v>
      </c>
      <c r="E2264" s="2" t="str">
        <f>"FES1162596446"</f>
        <v>FES1162596446</v>
      </c>
      <c r="F2264" s="3">
        <v>43084</v>
      </c>
      <c r="G2264" s="2">
        <v>201806</v>
      </c>
      <c r="H2264" s="2" t="s">
        <v>74</v>
      </c>
      <c r="I2264" s="2" t="s">
        <v>75</v>
      </c>
      <c r="J2264" s="2" t="s">
        <v>97</v>
      </c>
      <c r="K2264" s="2" t="s">
        <v>77</v>
      </c>
      <c r="L2264" s="2" t="s">
        <v>168</v>
      </c>
      <c r="M2264" s="2" t="s">
        <v>169</v>
      </c>
      <c r="N2264" s="2" t="s">
        <v>170</v>
      </c>
      <c r="O2264" s="2" t="s">
        <v>101</v>
      </c>
      <c r="P2264" s="2" t="str">
        <f>"2170608096                    "</f>
        <v xml:space="preserve">2170608096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6.43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45.93</v>
      </c>
      <c r="BM2264" s="2">
        <v>6.43</v>
      </c>
      <c r="BN2264" s="2">
        <v>52.36</v>
      </c>
      <c r="BO2264" s="2">
        <v>52.36</v>
      </c>
      <c r="BQ2264" s="2" t="s">
        <v>128</v>
      </c>
      <c r="BR2264" s="2" t="s">
        <v>103</v>
      </c>
      <c r="BS2264" s="3">
        <v>43088</v>
      </c>
      <c r="BT2264" s="4">
        <v>0.36805555555555558</v>
      </c>
      <c r="BU2264" s="2" t="s">
        <v>711</v>
      </c>
      <c r="BV2264" s="2" t="s">
        <v>89</v>
      </c>
      <c r="BW2264" s="2" t="s">
        <v>149</v>
      </c>
      <c r="BX2264" s="2" t="s">
        <v>219</v>
      </c>
      <c r="BY2264" s="2">
        <v>1200</v>
      </c>
      <c r="CA2264" s="2" t="s">
        <v>712</v>
      </c>
      <c r="CC2264" s="2" t="s">
        <v>169</v>
      </c>
      <c r="CD2264" s="2">
        <v>3610</v>
      </c>
      <c r="CE2264" s="2" t="s">
        <v>120</v>
      </c>
      <c r="CF2264" s="3">
        <v>43089</v>
      </c>
      <c r="CI2264" s="2">
        <v>1</v>
      </c>
      <c r="CJ2264" s="2">
        <v>2</v>
      </c>
      <c r="CK2264" s="2">
        <v>21</v>
      </c>
      <c r="CL2264" s="2" t="s">
        <v>89</v>
      </c>
    </row>
    <row r="2265" spans="1:90">
      <c r="A2265" s="2" t="s">
        <v>71</v>
      </c>
      <c r="B2265" s="2" t="s">
        <v>72</v>
      </c>
      <c r="C2265" s="2" t="s">
        <v>73</v>
      </c>
      <c r="E2265" s="2" t="str">
        <f>"FES1162596461"</f>
        <v>FES1162596461</v>
      </c>
      <c r="F2265" s="3">
        <v>43084</v>
      </c>
      <c r="G2265" s="2">
        <v>201806</v>
      </c>
      <c r="H2265" s="2" t="s">
        <v>74</v>
      </c>
      <c r="I2265" s="2" t="s">
        <v>75</v>
      </c>
      <c r="J2265" s="2" t="s">
        <v>97</v>
      </c>
      <c r="K2265" s="2" t="s">
        <v>77</v>
      </c>
      <c r="L2265" s="2" t="s">
        <v>449</v>
      </c>
      <c r="M2265" s="2" t="s">
        <v>450</v>
      </c>
      <c r="N2265" s="2" t="s">
        <v>451</v>
      </c>
      <c r="O2265" s="2" t="s">
        <v>101</v>
      </c>
      <c r="P2265" s="2" t="str">
        <f>"2170608131                    "</f>
        <v xml:space="preserve">2170608131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5.03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35.89</v>
      </c>
      <c r="BM2265" s="2">
        <v>5.0199999999999996</v>
      </c>
      <c r="BN2265" s="2">
        <v>40.909999999999997</v>
      </c>
      <c r="BO2265" s="2">
        <v>40.909999999999997</v>
      </c>
      <c r="BQ2265" s="2" t="s">
        <v>128</v>
      </c>
      <c r="BR2265" s="2" t="s">
        <v>103</v>
      </c>
      <c r="BS2265" s="3">
        <v>43087</v>
      </c>
      <c r="BT2265" s="4">
        <v>0.36180555555555555</v>
      </c>
      <c r="BU2265" s="2" t="s">
        <v>452</v>
      </c>
      <c r="BV2265" s="2" t="s">
        <v>85</v>
      </c>
      <c r="BY2265" s="2">
        <v>1200</v>
      </c>
      <c r="CA2265" s="2" t="s">
        <v>453</v>
      </c>
      <c r="CC2265" s="2" t="s">
        <v>450</v>
      </c>
      <c r="CD2265" s="2">
        <v>1700</v>
      </c>
      <c r="CE2265" s="2" t="s">
        <v>120</v>
      </c>
      <c r="CF2265" s="3">
        <v>43089</v>
      </c>
      <c r="CI2265" s="2">
        <v>1</v>
      </c>
      <c r="CJ2265" s="2">
        <v>1</v>
      </c>
      <c r="CK2265" s="2">
        <v>22</v>
      </c>
      <c r="CL2265" s="2" t="s">
        <v>89</v>
      </c>
    </row>
    <row r="2266" spans="1:90">
      <c r="A2266" s="2" t="s">
        <v>71</v>
      </c>
      <c r="B2266" s="2" t="s">
        <v>72</v>
      </c>
      <c r="C2266" s="2" t="s">
        <v>73</v>
      </c>
      <c r="E2266" s="2" t="str">
        <f>"FES1162596484"</f>
        <v>FES1162596484</v>
      </c>
      <c r="F2266" s="3">
        <v>43084</v>
      </c>
      <c r="G2266" s="2">
        <v>201806</v>
      </c>
      <c r="H2266" s="2" t="s">
        <v>74</v>
      </c>
      <c r="I2266" s="2" t="s">
        <v>75</v>
      </c>
      <c r="J2266" s="2" t="s">
        <v>97</v>
      </c>
      <c r="K2266" s="2" t="s">
        <v>77</v>
      </c>
      <c r="L2266" s="2" t="s">
        <v>125</v>
      </c>
      <c r="M2266" s="2" t="s">
        <v>126</v>
      </c>
      <c r="N2266" s="2" t="s">
        <v>2194</v>
      </c>
      <c r="O2266" s="2" t="s">
        <v>101</v>
      </c>
      <c r="P2266" s="2" t="str">
        <f>"2170608165                    "</f>
        <v xml:space="preserve">2170608165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16.079999999999998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5</v>
      </c>
      <c r="BJ2266" s="2">
        <v>2.7</v>
      </c>
      <c r="BK2266" s="2">
        <v>5</v>
      </c>
      <c r="BL2266" s="2">
        <v>114.8</v>
      </c>
      <c r="BM2266" s="2">
        <v>16.07</v>
      </c>
      <c r="BN2266" s="2">
        <v>130.87</v>
      </c>
      <c r="BO2266" s="2">
        <v>130.87</v>
      </c>
      <c r="BQ2266" s="2" t="s">
        <v>82</v>
      </c>
      <c r="BR2266" s="2" t="s">
        <v>103</v>
      </c>
      <c r="BS2266" s="3">
        <v>43088</v>
      </c>
      <c r="BT2266" s="4">
        <v>0.4375</v>
      </c>
      <c r="BU2266" s="2" t="s">
        <v>2507</v>
      </c>
      <c r="BV2266" s="2" t="s">
        <v>89</v>
      </c>
      <c r="BW2266" s="2" t="s">
        <v>149</v>
      </c>
      <c r="BX2266" s="2" t="s">
        <v>219</v>
      </c>
      <c r="BY2266" s="2">
        <v>13454</v>
      </c>
      <c r="CC2266" s="2" t="s">
        <v>126</v>
      </c>
      <c r="CD2266" s="2">
        <v>4052</v>
      </c>
      <c r="CE2266" s="2" t="s">
        <v>87</v>
      </c>
      <c r="CF2266" s="3">
        <v>43089</v>
      </c>
      <c r="CI2266" s="2">
        <v>1</v>
      </c>
      <c r="CJ2266" s="2">
        <v>2</v>
      </c>
      <c r="CK2266" s="2">
        <v>21</v>
      </c>
      <c r="CL2266" s="2" t="s">
        <v>89</v>
      </c>
    </row>
    <row r="2267" spans="1:90">
      <c r="A2267" s="2" t="s">
        <v>71</v>
      </c>
      <c r="B2267" s="2" t="s">
        <v>72</v>
      </c>
      <c r="C2267" s="2" t="s">
        <v>73</v>
      </c>
      <c r="E2267" s="2" t="str">
        <f>"FES1162596445"</f>
        <v>FES1162596445</v>
      </c>
      <c r="F2267" s="3">
        <v>43084</v>
      </c>
      <c r="G2267" s="2">
        <v>201806</v>
      </c>
      <c r="H2267" s="2" t="s">
        <v>74</v>
      </c>
      <c r="I2267" s="2" t="s">
        <v>75</v>
      </c>
      <c r="J2267" s="2" t="s">
        <v>97</v>
      </c>
      <c r="K2267" s="2" t="s">
        <v>77</v>
      </c>
      <c r="L2267" s="2" t="s">
        <v>168</v>
      </c>
      <c r="M2267" s="2" t="s">
        <v>169</v>
      </c>
      <c r="N2267" s="2" t="s">
        <v>1614</v>
      </c>
      <c r="O2267" s="2" t="s">
        <v>101</v>
      </c>
      <c r="P2267" s="2" t="str">
        <f>"2170608091                    "</f>
        <v xml:space="preserve">2170608091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12.87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1.9</v>
      </c>
      <c r="BJ2267" s="2">
        <v>3.6</v>
      </c>
      <c r="BK2267" s="2">
        <v>4</v>
      </c>
      <c r="BL2267" s="2">
        <v>91.85</v>
      </c>
      <c r="BM2267" s="2">
        <v>12.86</v>
      </c>
      <c r="BN2267" s="2">
        <v>104.71</v>
      </c>
      <c r="BO2267" s="2">
        <v>104.71</v>
      </c>
      <c r="BQ2267" s="2" t="s">
        <v>102</v>
      </c>
      <c r="BR2267" s="2" t="s">
        <v>103</v>
      </c>
      <c r="BS2267" s="3">
        <v>43087</v>
      </c>
      <c r="BT2267" s="4">
        <v>0.35902777777777778</v>
      </c>
      <c r="BU2267" s="2" t="s">
        <v>2260</v>
      </c>
      <c r="BV2267" s="2" t="s">
        <v>85</v>
      </c>
      <c r="BY2267" s="2">
        <v>18124.41</v>
      </c>
      <c r="CA2267" s="2" t="s">
        <v>220</v>
      </c>
      <c r="CC2267" s="2" t="s">
        <v>169</v>
      </c>
      <c r="CD2267" s="2">
        <v>3610</v>
      </c>
      <c r="CE2267" s="2" t="s">
        <v>95</v>
      </c>
      <c r="CF2267" s="3">
        <v>43088</v>
      </c>
      <c r="CI2267" s="2">
        <v>1</v>
      </c>
      <c r="CJ2267" s="2">
        <v>1</v>
      </c>
      <c r="CK2267" s="2">
        <v>21</v>
      </c>
      <c r="CL2267" s="2" t="s">
        <v>89</v>
      </c>
    </row>
    <row r="2268" spans="1:90">
      <c r="A2268" s="2" t="s">
        <v>71</v>
      </c>
      <c r="B2268" s="2" t="s">
        <v>72</v>
      </c>
      <c r="C2268" s="2" t="s">
        <v>73</v>
      </c>
      <c r="E2268" s="2" t="str">
        <f>"FES1162596382"</f>
        <v>FES1162596382</v>
      </c>
      <c r="F2268" s="3">
        <v>43084</v>
      </c>
      <c r="G2268" s="2">
        <v>201806</v>
      </c>
      <c r="H2268" s="2" t="s">
        <v>74</v>
      </c>
      <c r="I2268" s="2" t="s">
        <v>75</v>
      </c>
      <c r="J2268" s="2" t="s">
        <v>97</v>
      </c>
      <c r="K2268" s="2" t="s">
        <v>77</v>
      </c>
      <c r="L2268" s="2" t="s">
        <v>152</v>
      </c>
      <c r="M2268" s="2" t="s">
        <v>153</v>
      </c>
      <c r="N2268" s="2" t="s">
        <v>596</v>
      </c>
      <c r="O2268" s="2" t="s">
        <v>101</v>
      </c>
      <c r="P2268" s="2" t="str">
        <f>"2170604739                    "</f>
        <v xml:space="preserve">2170604739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5.03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</v>
      </c>
      <c r="BJ2268" s="2">
        <v>0.2</v>
      </c>
      <c r="BK2268" s="2">
        <v>1</v>
      </c>
      <c r="BL2268" s="2">
        <v>35.89</v>
      </c>
      <c r="BM2268" s="2">
        <v>5.0199999999999996</v>
      </c>
      <c r="BN2268" s="2">
        <v>40.909999999999997</v>
      </c>
      <c r="BO2268" s="2">
        <v>40.909999999999997</v>
      </c>
      <c r="BQ2268" s="2" t="s">
        <v>1798</v>
      </c>
      <c r="BR2268" s="2" t="s">
        <v>103</v>
      </c>
      <c r="BS2268" s="3">
        <v>43087</v>
      </c>
      <c r="BT2268" s="4">
        <v>0.35902777777777778</v>
      </c>
      <c r="BU2268" s="2" t="s">
        <v>2508</v>
      </c>
      <c r="BV2268" s="2" t="s">
        <v>85</v>
      </c>
      <c r="BY2268" s="2">
        <v>1200</v>
      </c>
      <c r="CA2268" s="2" t="s">
        <v>439</v>
      </c>
      <c r="CC2268" s="2" t="s">
        <v>153</v>
      </c>
      <c r="CD2268" s="2">
        <v>1422</v>
      </c>
      <c r="CE2268" s="2" t="s">
        <v>120</v>
      </c>
      <c r="CF2268" s="3">
        <v>43089</v>
      </c>
      <c r="CI2268" s="2">
        <v>1</v>
      </c>
      <c r="CJ2268" s="2">
        <v>1</v>
      </c>
      <c r="CK2268" s="2">
        <v>22</v>
      </c>
      <c r="CL2268" s="2" t="s">
        <v>89</v>
      </c>
    </row>
    <row r="2269" spans="1:90">
      <c r="A2269" s="2" t="s">
        <v>71</v>
      </c>
      <c r="B2269" s="2" t="s">
        <v>72</v>
      </c>
      <c r="C2269" s="2" t="s">
        <v>73</v>
      </c>
      <c r="E2269" s="2" t="str">
        <f>"FES1162596417"</f>
        <v>FES1162596417</v>
      </c>
      <c r="F2269" s="3">
        <v>43084</v>
      </c>
      <c r="G2269" s="2">
        <v>201806</v>
      </c>
      <c r="H2269" s="2" t="s">
        <v>74</v>
      </c>
      <c r="I2269" s="2" t="s">
        <v>75</v>
      </c>
      <c r="J2269" s="2" t="s">
        <v>97</v>
      </c>
      <c r="K2269" s="2" t="s">
        <v>77</v>
      </c>
      <c r="L2269" s="2" t="s">
        <v>74</v>
      </c>
      <c r="M2269" s="2" t="s">
        <v>75</v>
      </c>
      <c r="N2269" s="2" t="s">
        <v>204</v>
      </c>
      <c r="O2269" s="2" t="s">
        <v>101</v>
      </c>
      <c r="P2269" s="2" t="str">
        <f>"2170607335                    "</f>
        <v xml:space="preserve">2170607335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6.23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10</v>
      </c>
      <c r="BJ2269" s="2">
        <v>2.5</v>
      </c>
      <c r="BK2269" s="2">
        <v>10</v>
      </c>
      <c r="BL2269" s="2">
        <v>44.49</v>
      </c>
      <c r="BM2269" s="2">
        <v>6.23</v>
      </c>
      <c r="BN2269" s="2">
        <v>50.72</v>
      </c>
      <c r="BO2269" s="2">
        <v>50.72</v>
      </c>
      <c r="BQ2269" s="2" t="s">
        <v>102</v>
      </c>
      <c r="BR2269" s="2" t="s">
        <v>103</v>
      </c>
      <c r="BS2269" s="3">
        <v>43088</v>
      </c>
      <c r="BT2269" s="4">
        <v>0.30138888888888887</v>
      </c>
      <c r="BU2269" s="2" t="s">
        <v>205</v>
      </c>
      <c r="BV2269" s="2" t="s">
        <v>89</v>
      </c>
      <c r="BW2269" s="2" t="s">
        <v>149</v>
      </c>
      <c r="BX2269" s="2" t="s">
        <v>157</v>
      </c>
      <c r="BY2269" s="2">
        <v>12597</v>
      </c>
      <c r="CC2269" s="2" t="s">
        <v>75</v>
      </c>
      <c r="CD2269" s="2">
        <v>1645</v>
      </c>
      <c r="CE2269" s="2" t="s">
        <v>87</v>
      </c>
      <c r="CF2269" s="3">
        <v>43089</v>
      </c>
      <c r="CI2269" s="2">
        <v>1</v>
      </c>
      <c r="CJ2269" s="2">
        <v>2</v>
      </c>
      <c r="CK2269" s="2">
        <v>22</v>
      </c>
      <c r="CL2269" s="2" t="s">
        <v>89</v>
      </c>
    </row>
    <row r="2270" spans="1:90">
      <c r="A2270" s="2" t="s">
        <v>71</v>
      </c>
      <c r="B2270" s="2" t="s">
        <v>72</v>
      </c>
      <c r="C2270" s="2" t="s">
        <v>73</v>
      </c>
      <c r="E2270" s="2" t="str">
        <f>"FES1162596463"</f>
        <v>FES1162596463</v>
      </c>
      <c r="F2270" s="3">
        <v>43084</v>
      </c>
      <c r="G2270" s="2">
        <v>201806</v>
      </c>
      <c r="H2270" s="2" t="s">
        <v>74</v>
      </c>
      <c r="I2270" s="2" t="s">
        <v>75</v>
      </c>
      <c r="J2270" s="2" t="s">
        <v>97</v>
      </c>
      <c r="K2270" s="2" t="s">
        <v>77</v>
      </c>
      <c r="L2270" s="2" t="s">
        <v>173</v>
      </c>
      <c r="M2270" s="2" t="s">
        <v>174</v>
      </c>
      <c r="N2270" s="2" t="s">
        <v>323</v>
      </c>
      <c r="O2270" s="2" t="s">
        <v>101</v>
      </c>
      <c r="P2270" s="2" t="str">
        <f>"2170608135                    "</f>
        <v xml:space="preserve">2170608135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19.3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5.7</v>
      </c>
      <c r="BJ2270" s="2">
        <v>5.3</v>
      </c>
      <c r="BK2270" s="2">
        <v>6</v>
      </c>
      <c r="BL2270" s="2">
        <v>137.76</v>
      </c>
      <c r="BM2270" s="2">
        <v>19.29</v>
      </c>
      <c r="BN2270" s="2">
        <v>157.05000000000001</v>
      </c>
      <c r="BO2270" s="2">
        <v>157.05000000000001</v>
      </c>
      <c r="BQ2270" s="2" t="s">
        <v>82</v>
      </c>
      <c r="BR2270" s="2" t="s">
        <v>103</v>
      </c>
      <c r="BS2270" s="3">
        <v>43087</v>
      </c>
      <c r="BT2270" s="4">
        <v>0.53125</v>
      </c>
      <c r="BU2270" s="2" t="s">
        <v>324</v>
      </c>
      <c r="BV2270" s="2" t="s">
        <v>89</v>
      </c>
      <c r="BW2270" s="2" t="s">
        <v>156</v>
      </c>
      <c r="BX2270" s="2" t="s">
        <v>839</v>
      </c>
      <c r="BY2270" s="2">
        <v>26280.959999999999</v>
      </c>
      <c r="CA2270" s="2" t="s">
        <v>177</v>
      </c>
      <c r="CC2270" s="2" t="s">
        <v>174</v>
      </c>
      <c r="CD2270" s="2">
        <v>7405</v>
      </c>
      <c r="CE2270" s="2" t="s">
        <v>95</v>
      </c>
      <c r="CF2270" s="3">
        <v>43088</v>
      </c>
      <c r="CI2270" s="2">
        <v>1</v>
      </c>
      <c r="CJ2270" s="2">
        <v>1</v>
      </c>
      <c r="CK2270" s="2">
        <v>21</v>
      </c>
      <c r="CL2270" s="2" t="s">
        <v>89</v>
      </c>
    </row>
    <row r="2271" spans="1:90">
      <c r="A2271" s="2" t="s">
        <v>71</v>
      </c>
      <c r="B2271" s="2" t="s">
        <v>72</v>
      </c>
      <c r="C2271" s="2" t="s">
        <v>73</v>
      </c>
      <c r="E2271" s="2" t="str">
        <f>"FES1162596295"</f>
        <v>FES1162596295</v>
      </c>
      <c r="F2271" s="3">
        <v>43084</v>
      </c>
      <c r="G2271" s="2">
        <v>201806</v>
      </c>
      <c r="H2271" s="2" t="s">
        <v>74</v>
      </c>
      <c r="I2271" s="2" t="s">
        <v>75</v>
      </c>
      <c r="J2271" s="2" t="s">
        <v>97</v>
      </c>
      <c r="K2271" s="2" t="s">
        <v>77</v>
      </c>
      <c r="L2271" s="2" t="s">
        <v>125</v>
      </c>
      <c r="M2271" s="2" t="s">
        <v>126</v>
      </c>
      <c r="N2271" s="2" t="s">
        <v>1034</v>
      </c>
      <c r="O2271" s="2" t="s">
        <v>101</v>
      </c>
      <c r="P2271" s="2" t="str">
        <f>"2170608054                    "</f>
        <v xml:space="preserve">2170608054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12.87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3.7</v>
      </c>
      <c r="BJ2271" s="2">
        <v>1.4</v>
      </c>
      <c r="BK2271" s="2">
        <v>4</v>
      </c>
      <c r="BL2271" s="2">
        <v>91.85</v>
      </c>
      <c r="BM2271" s="2">
        <v>12.86</v>
      </c>
      <c r="BN2271" s="2">
        <v>104.71</v>
      </c>
      <c r="BO2271" s="2">
        <v>104.71</v>
      </c>
      <c r="BQ2271" s="2" t="s">
        <v>128</v>
      </c>
      <c r="BR2271" s="2" t="s">
        <v>103</v>
      </c>
      <c r="BS2271" s="2" t="s">
        <v>185</v>
      </c>
      <c r="BY2271" s="2">
        <v>6846.84</v>
      </c>
      <c r="CC2271" s="2" t="s">
        <v>126</v>
      </c>
      <c r="CD2271" s="2">
        <v>4001</v>
      </c>
      <c r="CE2271" s="2" t="s">
        <v>95</v>
      </c>
      <c r="CI2271" s="2">
        <v>1</v>
      </c>
      <c r="CJ2271" s="2" t="s">
        <v>185</v>
      </c>
      <c r="CK2271" s="2">
        <v>21</v>
      </c>
      <c r="CL2271" s="2" t="s">
        <v>89</v>
      </c>
    </row>
    <row r="2272" spans="1:90">
      <c r="A2272" s="2" t="s">
        <v>71</v>
      </c>
      <c r="B2272" s="2" t="s">
        <v>72</v>
      </c>
      <c r="C2272" s="2" t="s">
        <v>73</v>
      </c>
      <c r="E2272" s="2" t="str">
        <f>"FES1162594234"</f>
        <v>FES1162594234</v>
      </c>
      <c r="F2272" s="3">
        <v>43084</v>
      </c>
      <c r="G2272" s="2">
        <v>201806</v>
      </c>
      <c r="H2272" s="2" t="s">
        <v>74</v>
      </c>
      <c r="I2272" s="2" t="s">
        <v>75</v>
      </c>
      <c r="J2272" s="2" t="s">
        <v>97</v>
      </c>
      <c r="K2272" s="2" t="s">
        <v>77</v>
      </c>
      <c r="L2272" s="2" t="s">
        <v>98</v>
      </c>
      <c r="M2272" s="2" t="s">
        <v>99</v>
      </c>
      <c r="N2272" s="2" t="s">
        <v>670</v>
      </c>
      <c r="O2272" s="2" t="s">
        <v>101</v>
      </c>
      <c r="P2272" s="2" t="str">
        <f>"2170604867                    "</f>
        <v xml:space="preserve">2170604867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14.47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4.2</v>
      </c>
      <c r="BJ2272" s="2">
        <v>1.7</v>
      </c>
      <c r="BK2272" s="2">
        <v>4.5</v>
      </c>
      <c r="BL2272" s="2">
        <v>103.32</v>
      </c>
      <c r="BM2272" s="2">
        <v>14.46</v>
      </c>
      <c r="BN2272" s="2">
        <v>117.78</v>
      </c>
      <c r="BO2272" s="2">
        <v>117.78</v>
      </c>
      <c r="BQ2272" s="2" t="s">
        <v>102</v>
      </c>
      <c r="BR2272" s="2" t="s">
        <v>103</v>
      </c>
      <c r="BS2272" s="2" t="s">
        <v>185</v>
      </c>
      <c r="BY2272" s="2">
        <v>8404.08</v>
      </c>
      <c r="CC2272" s="2" t="s">
        <v>99</v>
      </c>
      <c r="CD2272" s="2">
        <v>3200</v>
      </c>
      <c r="CE2272" s="2" t="s">
        <v>95</v>
      </c>
      <c r="CI2272" s="2">
        <v>1</v>
      </c>
      <c r="CJ2272" s="2" t="s">
        <v>185</v>
      </c>
      <c r="CK2272" s="2">
        <v>21</v>
      </c>
      <c r="CL2272" s="2" t="s">
        <v>89</v>
      </c>
    </row>
    <row r="2273" spans="1:90">
      <c r="A2273" s="2" t="s">
        <v>71</v>
      </c>
      <c r="B2273" s="2" t="s">
        <v>72</v>
      </c>
      <c r="C2273" s="2" t="s">
        <v>73</v>
      </c>
      <c r="E2273" s="2" t="str">
        <f>"FES1162596457"</f>
        <v>FES1162596457</v>
      </c>
      <c r="F2273" s="3">
        <v>43084</v>
      </c>
      <c r="G2273" s="2">
        <v>201806</v>
      </c>
      <c r="H2273" s="2" t="s">
        <v>74</v>
      </c>
      <c r="I2273" s="2" t="s">
        <v>75</v>
      </c>
      <c r="J2273" s="2" t="s">
        <v>97</v>
      </c>
      <c r="K2273" s="2" t="s">
        <v>77</v>
      </c>
      <c r="L2273" s="2" t="s">
        <v>173</v>
      </c>
      <c r="M2273" s="2" t="s">
        <v>174</v>
      </c>
      <c r="N2273" s="2" t="s">
        <v>1574</v>
      </c>
      <c r="O2273" s="2" t="s">
        <v>101</v>
      </c>
      <c r="P2273" s="2" t="str">
        <f>"2170608125                    "</f>
        <v xml:space="preserve">2170608125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6.43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1.9</v>
      </c>
      <c r="BJ2273" s="2">
        <v>0.9</v>
      </c>
      <c r="BK2273" s="2">
        <v>2</v>
      </c>
      <c r="BL2273" s="2">
        <v>45.93</v>
      </c>
      <c r="BM2273" s="2">
        <v>6.43</v>
      </c>
      <c r="BN2273" s="2">
        <v>52.36</v>
      </c>
      <c r="BO2273" s="2">
        <v>52.36</v>
      </c>
      <c r="BQ2273" s="2" t="s">
        <v>2509</v>
      </c>
      <c r="BR2273" s="2" t="s">
        <v>103</v>
      </c>
      <c r="BS2273" s="3">
        <v>43087</v>
      </c>
      <c r="BT2273" s="4">
        <v>0.37777777777777777</v>
      </c>
      <c r="BU2273" s="2" t="s">
        <v>2510</v>
      </c>
      <c r="BV2273" s="2" t="s">
        <v>85</v>
      </c>
      <c r="BY2273" s="2">
        <v>4665.28</v>
      </c>
      <c r="CA2273" s="2" t="s">
        <v>1389</v>
      </c>
      <c r="CC2273" s="2" t="s">
        <v>174</v>
      </c>
      <c r="CD2273" s="2">
        <v>7460</v>
      </c>
      <c r="CE2273" s="2" t="s">
        <v>87</v>
      </c>
      <c r="CF2273" s="3">
        <v>43088</v>
      </c>
      <c r="CI2273" s="2">
        <v>1</v>
      </c>
      <c r="CJ2273" s="2">
        <v>1</v>
      </c>
      <c r="CK2273" s="2">
        <v>21</v>
      </c>
      <c r="CL2273" s="2" t="s">
        <v>89</v>
      </c>
    </row>
    <row r="2274" spans="1:90">
      <c r="A2274" s="2" t="s">
        <v>71</v>
      </c>
      <c r="B2274" s="2" t="s">
        <v>72</v>
      </c>
      <c r="C2274" s="2" t="s">
        <v>73</v>
      </c>
      <c r="E2274" s="2" t="str">
        <f>"FES1162596481"</f>
        <v>FES1162596481</v>
      </c>
      <c r="F2274" s="3">
        <v>43084</v>
      </c>
      <c r="G2274" s="2">
        <v>201806</v>
      </c>
      <c r="H2274" s="2" t="s">
        <v>74</v>
      </c>
      <c r="I2274" s="2" t="s">
        <v>75</v>
      </c>
      <c r="J2274" s="2" t="s">
        <v>97</v>
      </c>
      <c r="K2274" s="2" t="s">
        <v>77</v>
      </c>
      <c r="L2274" s="2" t="s">
        <v>850</v>
      </c>
      <c r="M2274" s="2" t="s">
        <v>851</v>
      </c>
      <c r="N2274" s="2" t="s">
        <v>1055</v>
      </c>
      <c r="O2274" s="2" t="s">
        <v>101</v>
      </c>
      <c r="P2274" s="2" t="str">
        <f>"2170608154                    "</f>
        <v xml:space="preserve">2170608154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6.43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</v>
      </c>
      <c r="BJ2274" s="2">
        <v>0.2</v>
      </c>
      <c r="BK2274" s="2">
        <v>1</v>
      </c>
      <c r="BL2274" s="2">
        <v>45.93</v>
      </c>
      <c r="BM2274" s="2">
        <v>6.43</v>
      </c>
      <c r="BN2274" s="2">
        <v>52.36</v>
      </c>
      <c r="BO2274" s="2">
        <v>52.36</v>
      </c>
      <c r="BQ2274" s="2" t="s">
        <v>102</v>
      </c>
      <c r="BR2274" s="2" t="s">
        <v>103</v>
      </c>
      <c r="BS2274" s="3">
        <v>43088</v>
      </c>
      <c r="BT2274" s="4">
        <v>0.45833333333333331</v>
      </c>
      <c r="BU2274" s="2" t="s">
        <v>1056</v>
      </c>
      <c r="BV2274" s="2" t="s">
        <v>89</v>
      </c>
      <c r="BW2274" s="2" t="s">
        <v>471</v>
      </c>
      <c r="BX2274" s="2" t="s">
        <v>2511</v>
      </c>
      <c r="BY2274" s="2">
        <v>1200</v>
      </c>
      <c r="CA2274" s="2" t="s">
        <v>854</v>
      </c>
      <c r="CC2274" s="2" t="s">
        <v>851</v>
      </c>
      <c r="CD2274" s="2">
        <v>3290</v>
      </c>
      <c r="CE2274" s="2" t="s">
        <v>120</v>
      </c>
      <c r="CF2274" s="3">
        <v>43089</v>
      </c>
      <c r="CI2274" s="2">
        <v>1</v>
      </c>
      <c r="CJ2274" s="2">
        <v>2</v>
      </c>
      <c r="CK2274" s="2">
        <v>21</v>
      </c>
      <c r="CL2274" s="2" t="s">
        <v>89</v>
      </c>
    </row>
    <row r="2275" spans="1:90">
      <c r="A2275" s="2" t="s">
        <v>71</v>
      </c>
      <c r="B2275" s="2" t="s">
        <v>72</v>
      </c>
      <c r="C2275" s="2" t="s">
        <v>73</v>
      </c>
      <c r="E2275" s="2" t="str">
        <f>"FES1162596322"</f>
        <v>FES1162596322</v>
      </c>
      <c r="F2275" s="3">
        <v>43084</v>
      </c>
      <c r="G2275" s="2">
        <v>201806</v>
      </c>
      <c r="H2275" s="2" t="s">
        <v>74</v>
      </c>
      <c r="I2275" s="2" t="s">
        <v>75</v>
      </c>
      <c r="J2275" s="2" t="s">
        <v>97</v>
      </c>
      <c r="K2275" s="2" t="s">
        <v>77</v>
      </c>
      <c r="L2275" s="2" t="s">
        <v>106</v>
      </c>
      <c r="M2275" s="2" t="s">
        <v>107</v>
      </c>
      <c r="N2275" s="2" t="s">
        <v>108</v>
      </c>
      <c r="O2275" s="2" t="s">
        <v>101</v>
      </c>
      <c r="P2275" s="2" t="str">
        <f>"2170606155                    "</f>
        <v xml:space="preserve">2170606155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5.03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1</v>
      </c>
      <c r="BJ2275" s="2">
        <v>0.2</v>
      </c>
      <c r="BK2275" s="2">
        <v>1</v>
      </c>
      <c r="BL2275" s="2">
        <v>35.89</v>
      </c>
      <c r="BM2275" s="2">
        <v>5.0199999999999996</v>
      </c>
      <c r="BN2275" s="2">
        <v>40.909999999999997</v>
      </c>
      <c r="BO2275" s="2">
        <v>40.909999999999997</v>
      </c>
      <c r="BQ2275" s="2" t="s">
        <v>82</v>
      </c>
      <c r="BR2275" s="2" t="s">
        <v>103</v>
      </c>
      <c r="BS2275" s="3">
        <v>43087</v>
      </c>
      <c r="BT2275" s="4">
        <v>0.40416666666666662</v>
      </c>
      <c r="BU2275" s="2" t="s">
        <v>1227</v>
      </c>
      <c r="BV2275" s="2" t="s">
        <v>85</v>
      </c>
      <c r="BY2275" s="2">
        <v>1200</v>
      </c>
      <c r="CA2275" s="2" t="s">
        <v>110</v>
      </c>
      <c r="CC2275" s="2" t="s">
        <v>107</v>
      </c>
      <c r="CD2275" s="2">
        <v>2094</v>
      </c>
      <c r="CE2275" s="2" t="s">
        <v>120</v>
      </c>
      <c r="CF2275" s="3">
        <v>43089</v>
      </c>
      <c r="CI2275" s="2">
        <v>1</v>
      </c>
      <c r="CJ2275" s="2">
        <v>1</v>
      </c>
      <c r="CK2275" s="2">
        <v>22</v>
      </c>
      <c r="CL2275" s="2" t="s">
        <v>89</v>
      </c>
    </row>
    <row r="2276" spans="1:90">
      <c r="A2276" s="2" t="s">
        <v>71</v>
      </c>
      <c r="B2276" s="2" t="s">
        <v>72</v>
      </c>
      <c r="C2276" s="2" t="s">
        <v>73</v>
      </c>
      <c r="E2276" s="2" t="str">
        <f>"FES1162596352"</f>
        <v>FES1162596352</v>
      </c>
      <c r="F2276" s="3">
        <v>43084</v>
      </c>
      <c r="G2276" s="2">
        <v>201806</v>
      </c>
      <c r="H2276" s="2" t="s">
        <v>74</v>
      </c>
      <c r="I2276" s="2" t="s">
        <v>75</v>
      </c>
      <c r="J2276" s="2" t="s">
        <v>97</v>
      </c>
      <c r="K2276" s="2" t="s">
        <v>77</v>
      </c>
      <c r="L2276" s="2" t="s">
        <v>325</v>
      </c>
      <c r="M2276" s="2" t="s">
        <v>326</v>
      </c>
      <c r="N2276" s="2" t="s">
        <v>1129</v>
      </c>
      <c r="O2276" s="2" t="s">
        <v>101</v>
      </c>
      <c r="P2276" s="2" t="str">
        <f>"2170604189                    "</f>
        <v xml:space="preserve">2170604189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6.43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1</v>
      </c>
      <c r="BJ2276" s="2">
        <v>0.2</v>
      </c>
      <c r="BK2276" s="2">
        <v>1</v>
      </c>
      <c r="BL2276" s="2">
        <v>45.93</v>
      </c>
      <c r="BM2276" s="2">
        <v>6.43</v>
      </c>
      <c r="BN2276" s="2">
        <v>52.36</v>
      </c>
      <c r="BO2276" s="2">
        <v>52.36</v>
      </c>
      <c r="BQ2276" s="2" t="s">
        <v>102</v>
      </c>
      <c r="BR2276" s="2" t="s">
        <v>103</v>
      </c>
      <c r="BS2276" s="2" t="s">
        <v>185</v>
      </c>
      <c r="BY2276" s="2">
        <v>1200</v>
      </c>
      <c r="CC2276" s="2" t="s">
        <v>326</v>
      </c>
      <c r="CD2276" s="2">
        <v>1939</v>
      </c>
      <c r="CE2276" s="2" t="s">
        <v>120</v>
      </c>
      <c r="CI2276" s="2">
        <v>1</v>
      </c>
      <c r="CJ2276" s="2" t="s">
        <v>185</v>
      </c>
      <c r="CK2276" s="2">
        <v>21</v>
      </c>
      <c r="CL2276" s="2" t="s">
        <v>89</v>
      </c>
    </row>
    <row r="2277" spans="1:90">
      <c r="A2277" s="2" t="s">
        <v>71</v>
      </c>
      <c r="B2277" s="2" t="s">
        <v>72</v>
      </c>
      <c r="C2277" s="2" t="s">
        <v>73</v>
      </c>
      <c r="E2277" s="2" t="str">
        <f>"FES1162595365"</f>
        <v>FES1162595365</v>
      </c>
      <c r="F2277" s="3">
        <v>43084</v>
      </c>
      <c r="G2277" s="2">
        <v>201806</v>
      </c>
      <c r="H2277" s="2" t="s">
        <v>74</v>
      </c>
      <c r="I2277" s="2" t="s">
        <v>75</v>
      </c>
      <c r="J2277" s="2" t="s">
        <v>97</v>
      </c>
      <c r="K2277" s="2" t="s">
        <v>77</v>
      </c>
      <c r="L2277" s="2" t="s">
        <v>131</v>
      </c>
      <c r="M2277" s="2" t="s">
        <v>132</v>
      </c>
      <c r="N2277" s="2" t="s">
        <v>133</v>
      </c>
      <c r="O2277" s="2" t="s">
        <v>101</v>
      </c>
      <c r="P2277" s="2" t="str">
        <f>"2170606856                    "</f>
        <v xml:space="preserve">2170606856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6.43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0.2</v>
      </c>
      <c r="BK2277" s="2">
        <v>1</v>
      </c>
      <c r="BL2277" s="2">
        <v>45.93</v>
      </c>
      <c r="BM2277" s="2">
        <v>6.43</v>
      </c>
      <c r="BN2277" s="2">
        <v>52.36</v>
      </c>
      <c r="BO2277" s="2">
        <v>52.36</v>
      </c>
      <c r="BQ2277" s="2" t="s">
        <v>102</v>
      </c>
      <c r="BR2277" s="2" t="s">
        <v>103</v>
      </c>
      <c r="BS2277" s="3">
        <v>43087</v>
      </c>
      <c r="BT2277" s="4">
        <v>0.33888888888888885</v>
      </c>
      <c r="BU2277" s="2" t="s">
        <v>2419</v>
      </c>
      <c r="BV2277" s="2" t="s">
        <v>85</v>
      </c>
      <c r="BY2277" s="2">
        <v>1200</v>
      </c>
      <c r="CA2277" s="2" t="s">
        <v>135</v>
      </c>
      <c r="CC2277" s="2" t="s">
        <v>132</v>
      </c>
      <c r="CD2277" s="2">
        <v>4302</v>
      </c>
      <c r="CE2277" s="2" t="s">
        <v>120</v>
      </c>
      <c r="CF2277" s="3">
        <v>43088</v>
      </c>
      <c r="CI2277" s="2">
        <v>1</v>
      </c>
      <c r="CJ2277" s="2">
        <v>1</v>
      </c>
      <c r="CK2277" s="2">
        <v>21</v>
      </c>
      <c r="CL2277" s="2" t="s">
        <v>89</v>
      </c>
    </row>
    <row r="2278" spans="1:90">
      <c r="A2278" s="2" t="s">
        <v>71</v>
      </c>
      <c r="B2278" s="2" t="s">
        <v>72</v>
      </c>
      <c r="C2278" s="2" t="s">
        <v>73</v>
      </c>
      <c r="E2278" s="2" t="str">
        <f>"FES1162596415"</f>
        <v>FES1162596415</v>
      </c>
      <c r="F2278" s="3">
        <v>43084</v>
      </c>
      <c r="G2278" s="2">
        <v>201806</v>
      </c>
      <c r="H2278" s="2" t="s">
        <v>74</v>
      </c>
      <c r="I2278" s="2" t="s">
        <v>75</v>
      </c>
      <c r="J2278" s="2" t="s">
        <v>97</v>
      </c>
      <c r="K2278" s="2" t="s">
        <v>77</v>
      </c>
      <c r="L2278" s="2" t="s">
        <v>106</v>
      </c>
      <c r="M2278" s="2" t="s">
        <v>107</v>
      </c>
      <c r="N2278" s="2" t="s">
        <v>108</v>
      </c>
      <c r="O2278" s="2" t="s">
        <v>101</v>
      </c>
      <c r="P2278" s="2" t="str">
        <f>"2170606862                    "</f>
        <v xml:space="preserve">2170606862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5.03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</v>
      </c>
      <c r="BJ2278" s="2">
        <v>0.2</v>
      </c>
      <c r="BK2278" s="2">
        <v>1</v>
      </c>
      <c r="BL2278" s="2">
        <v>35.89</v>
      </c>
      <c r="BM2278" s="2">
        <v>5.0199999999999996</v>
      </c>
      <c r="BN2278" s="2">
        <v>40.909999999999997</v>
      </c>
      <c r="BO2278" s="2">
        <v>40.909999999999997</v>
      </c>
      <c r="BQ2278" s="2" t="s">
        <v>82</v>
      </c>
      <c r="BR2278" s="2" t="s">
        <v>103</v>
      </c>
      <c r="BS2278" s="3">
        <v>43087</v>
      </c>
      <c r="BT2278" s="4">
        <v>0.40416666666666662</v>
      </c>
      <c r="BU2278" s="2" t="s">
        <v>1227</v>
      </c>
      <c r="BV2278" s="2" t="s">
        <v>85</v>
      </c>
      <c r="BY2278" s="2">
        <v>1200</v>
      </c>
      <c r="CA2278" s="2" t="s">
        <v>110</v>
      </c>
      <c r="CC2278" s="2" t="s">
        <v>107</v>
      </c>
      <c r="CD2278" s="2">
        <v>2094</v>
      </c>
      <c r="CE2278" s="2" t="s">
        <v>120</v>
      </c>
      <c r="CF2278" s="3">
        <v>43089</v>
      </c>
      <c r="CI2278" s="2">
        <v>1</v>
      </c>
      <c r="CJ2278" s="2">
        <v>1</v>
      </c>
      <c r="CK2278" s="2">
        <v>22</v>
      </c>
      <c r="CL2278" s="2" t="s">
        <v>89</v>
      </c>
    </row>
    <row r="2279" spans="1:90">
      <c r="A2279" s="2" t="s">
        <v>71</v>
      </c>
      <c r="B2279" s="2" t="s">
        <v>72</v>
      </c>
      <c r="C2279" s="2" t="s">
        <v>73</v>
      </c>
      <c r="E2279" s="2" t="str">
        <f>"FES1162596344"</f>
        <v>FES1162596344</v>
      </c>
      <c r="F2279" s="3">
        <v>43084</v>
      </c>
      <c r="G2279" s="2">
        <v>201806</v>
      </c>
      <c r="H2279" s="2" t="s">
        <v>74</v>
      </c>
      <c r="I2279" s="2" t="s">
        <v>75</v>
      </c>
      <c r="J2279" s="2" t="s">
        <v>97</v>
      </c>
      <c r="K2279" s="2" t="s">
        <v>77</v>
      </c>
      <c r="L2279" s="2" t="s">
        <v>106</v>
      </c>
      <c r="M2279" s="2" t="s">
        <v>107</v>
      </c>
      <c r="N2279" s="2" t="s">
        <v>108</v>
      </c>
      <c r="O2279" s="2" t="s">
        <v>101</v>
      </c>
      <c r="P2279" s="2" t="str">
        <f>"2170604002                    "</f>
        <v xml:space="preserve">2170604002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5.03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1</v>
      </c>
      <c r="BJ2279" s="2">
        <v>0.2</v>
      </c>
      <c r="BK2279" s="2">
        <v>1</v>
      </c>
      <c r="BL2279" s="2">
        <v>35.89</v>
      </c>
      <c r="BM2279" s="2">
        <v>5.0199999999999996</v>
      </c>
      <c r="BN2279" s="2">
        <v>40.909999999999997</v>
      </c>
      <c r="BO2279" s="2">
        <v>40.909999999999997</v>
      </c>
      <c r="BQ2279" s="2" t="s">
        <v>82</v>
      </c>
      <c r="BR2279" s="2" t="s">
        <v>103</v>
      </c>
      <c r="BS2279" s="3">
        <v>43087</v>
      </c>
      <c r="BT2279" s="4">
        <v>0.40416666666666662</v>
      </c>
      <c r="BU2279" s="2" t="s">
        <v>1227</v>
      </c>
      <c r="BV2279" s="2" t="s">
        <v>85</v>
      </c>
      <c r="BY2279" s="2">
        <v>1200</v>
      </c>
      <c r="CA2279" s="2" t="s">
        <v>110</v>
      </c>
      <c r="CC2279" s="2" t="s">
        <v>107</v>
      </c>
      <c r="CD2279" s="2">
        <v>2094</v>
      </c>
      <c r="CE2279" s="2" t="s">
        <v>120</v>
      </c>
      <c r="CF2279" s="3">
        <v>43089</v>
      </c>
      <c r="CI2279" s="2">
        <v>1</v>
      </c>
      <c r="CJ2279" s="2">
        <v>1</v>
      </c>
      <c r="CK2279" s="2">
        <v>22</v>
      </c>
      <c r="CL2279" s="2" t="s">
        <v>89</v>
      </c>
    </row>
    <row r="2280" spans="1:90">
      <c r="A2280" s="2" t="s">
        <v>71</v>
      </c>
      <c r="B2280" s="2" t="s">
        <v>72</v>
      </c>
      <c r="C2280" s="2" t="s">
        <v>73</v>
      </c>
      <c r="E2280" s="2" t="str">
        <f>"FES1162596395"</f>
        <v>FES1162596395</v>
      </c>
      <c r="F2280" s="3">
        <v>43084</v>
      </c>
      <c r="G2280" s="2">
        <v>201806</v>
      </c>
      <c r="H2280" s="2" t="s">
        <v>74</v>
      </c>
      <c r="I2280" s="2" t="s">
        <v>75</v>
      </c>
      <c r="J2280" s="2" t="s">
        <v>97</v>
      </c>
      <c r="K2280" s="2" t="s">
        <v>77</v>
      </c>
      <c r="L2280" s="2" t="s">
        <v>106</v>
      </c>
      <c r="M2280" s="2" t="s">
        <v>107</v>
      </c>
      <c r="N2280" s="2" t="s">
        <v>108</v>
      </c>
      <c r="O2280" s="2" t="s">
        <v>101</v>
      </c>
      <c r="P2280" s="2" t="str">
        <f>"21706093941                   "</f>
        <v xml:space="preserve">21706093941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5.03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1</v>
      </c>
      <c r="BJ2280" s="2">
        <v>0.2</v>
      </c>
      <c r="BK2280" s="2">
        <v>1</v>
      </c>
      <c r="BL2280" s="2">
        <v>35.89</v>
      </c>
      <c r="BM2280" s="2">
        <v>5.0199999999999996</v>
      </c>
      <c r="BN2280" s="2">
        <v>40.909999999999997</v>
      </c>
      <c r="BO2280" s="2">
        <v>40.909999999999997</v>
      </c>
      <c r="BQ2280" s="2" t="s">
        <v>82</v>
      </c>
      <c r="BR2280" s="2" t="s">
        <v>103</v>
      </c>
      <c r="BS2280" s="3">
        <v>43087</v>
      </c>
      <c r="BT2280" s="4">
        <v>0.40416666666666662</v>
      </c>
      <c r="BU2280" s="2" t="s">
        <v>1227</v>
      </c>
      <c r="BV2280" s="2" t="s">
        <v>85</v>
      </c>
      <c r="BY2280" s="2">
        <v>1200</v>
      </c>
      <c r="CA2280" s="2" t="s">
        <v>110</v>
      </c>
      <c r="CC2280" s="2" t="s">
        <v>107</v>
      </c>
      <c r="CD2280" s="2">
        <v>2094</v>
      </c>
      <c r="CE2280" s="2" t="s">
        <v>120</v>
      </c>
      <c r="CF2280" s="3">
        <v>43089</v>
      </c>
      <c r="CI2280" s="2">
        <v>1</v>
      </c>
      <c r="CJ2280" s="2">
        <v>1</v>
      </c>
      <c r="CK2280" s="2">
        <v>22</v>
      </c>
      <c r="CL2280" s="2" t="s">
        <v>89</v>
      </c>
    </row>
    <row r="2281" spans="1:90">
      <c r="A2281" s="2" t="s">
        <v>71</v>
      </c>
      <c r="B2281" s="2" t="s">
        <v>72</v>
      </c>
      <c r="C2281" s="2" t="s">
        <v>73</v>
      </c>
      <c r="E2281" s="2" t="str">
        <f>"FES1162596447"</f>
        <v>FES1162596447</v>
      </c>
      <c r="F2281" s="3">
        <v>43084</v>
      </c>
      <c r="G2281" s="2">
        <v>201806</v>
      </c>
      <c r="H2281" s="2" t="s">
        <v>74</v>
      </c>
      <c r="I2281" s="2" t="s">
        <v>75</v>
      </c>
      <c r="J2281" s="2" t="s">
        <v>97</v>
      </c>
      <c r="K2281" s="2" t="s">
        <v>77</v>
      </c>
      <c r="L2281" s="2" t="s">
        <v>526</v>
      </c>
      <c r="M2281" s="2" t="s">
        <v>527</v>
      </c>
      <c r="N2281" s="2" t="s">
        <v>1355</v>
      </c>
      <c r="O2281" s="2" t="s">
        <v>101</v>
      </c>
      <c r="P2281" s="2" t="str">
        <f>"2170608102                    "</f>
        <v xml:space="preserve">2170608102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6.43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1</v>
      </c>
      <c r="BJ2281" s="2">
        <v>0.2</v>
      </c>
      <c r="BK2281" s="2">
        <v>1</v>
      </c>
      <c r="BL2281" s="2">
        <v>45.93</v>
      </c>
      <c r="BM2281" s="2">
        <v>6.43</v>
      </c>
      <c r="BN2281" s="2">
        <v>52.36</v>
      </c>
      <c r="BO2281" s="2">
        <v>52.36</v>
      </c>
      <c r="BQ2281" s="2" t="s">
        <v>82</v>
      </c>
      <c r="BR2281" s="2" t="s">
        <v>103</v>
      </c>
      <c r="BS2281" s="3">
        <v>43087</v>
      </c>
      <c r="BT2281" s="4">
        <v>0.55208333333333337</v>
      </c>
      <c r="BU2281" s="2" t="s">
        <v>2512</v>
      </c>
      <c r="BV2281" s="2" t="s">
        <v>85</v>
      </c>
      <c r="BY2281" s="2">
        <v>1200</v>
      </c>
      <c r="CA2281" s="2" t="s">
        <v>530</v>
      </c>
      <c r="CC2281" s="2" t="s">
        <v>527</v>
      </c>
      <c r="CD2281" s="2">
        <v>6850</v>
      </c>
      <c r="CE2281" s="2" t="s">
        <v>120</v>
      </c>
      <c r="CF2281" s="3">
        <v>43088</v>
      </c>
      <c r="CI2281" s="2">
        <v>3</v>
      </c>
      <c r="CJ2281" s="2">
        <v>1</v>
      </c>
      <c r="CK2281" s="2">
        <v>21</v>
      </c>
      <c r="CL2281" s="2" t="s">
        <v>89</v>
      </c>
    </row>
    <row r="2282" spans="1:90">
      <c r="A2282" s="2" t="s">
        <v>71</v>
      </c>
      <c r="B2282" s="2" t="s">
        <v>72</v>
      </c>
      <c r="C2282" s="2" t="s">
        <v>73</v>
      </c>
      <c r="E2282" s="2" t="str">
        <f>"FES1162596462"</f>
        <v>FES1162596462</v>
      </c>
      <c r="F2282" s="3">
        <v>43084</v>
      </c>
      <c r="G2282" s="2">
        <v>201806</v>
      </c>
      <c r="H2282" s="2" t="s">
        <v>74</v>
      </c>
      <c r="I2282" s="2" t="s">
        <v>75</v>
      </c>
      <c r="J2282" s="2" t="s">
        <v>97</v>
      </c>
      <c r="K2282" s="2" t="s">
        <v>77</v>
      </c>
      <c r="L2282" s="2" t="s">
        <v>526</v>
      </c>
      <c r="M2282" s="2" t="s">
        <v>527</v>
      </c>
      <c r="N2282" s="2" t="s">
        <v>528</v>
      </c>
      <c r="O2282" s="2" t="s">
        <v>101</v>
      </c>
      <c r="P2282" s="2" t="str">
        <f>"2170608314                    "</f>
        <v xml:space="preserve">2170608314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6.43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1</v>
      </c>
      <c r="BJ2282" s="2">
        <v>0.2</v>
      </c>
      <c r="BK2282" s="2">
        <v>1</v>
      </c>
      <c r="BL2282" s="2">
        <v>45.93</v>
      </c>
      <c r="BM2282" s="2">
        <v>6.43</v>
      </c>
      <c r="BN2282" s="2">
        <v>52.36</v>
      </c>
      <c r="BO2282" s="2">
        <v>52.36</v>
      </c>
      <c r="BQ2282" s="2" t="s">
        <v>128</v>
      </c>
      <c r="BR2282" s="2" t="s">
        <v>103</v>
      </c>
      <c r="BS2282" s="3">
        <v>43087</v>
      </c>
      <c r="BT2282" s="4">
        <v>0.55138888888888882</v>
      </c>
      <c r="BU2282" s="2" t="s">
        <v>2513</v>
      </c>
      <c r="BV2282" s="2" t="s">
        <v>85</v>
      </c>
      <c r="BY2282" s="2">
        <v>1200</v>
      </c>
      <c r="CA2282" s="2" t="s">
        <v>530</v>
      </c>
      <c r="CC2282" s="2" t="s">
        <v>527</v>
      </c>
      <c r="CD2282" s="2">
        <v>6850</v>
      </c>
      <c r="CE2282" s="2" t="s">
        <v>120</v>
      </c>
      <c r="CF2282" s="3">
        <v>43088</v>
      </c>
      <c r="CI2282" s="2">
        <v>3</v>
      </c>
      <c r="CJ2282" s="2">
        <v>1</v>
      </c>
      <c r="CK2282" s="2">
        <v>21</v>
      </c>
      <c r="CL2282" s="2" t="s">
        <v>89</v>
      </c>
    </row>
    <row r="2283" spans="1:90">
      <c r="A2283" s="2" t="s">
        <v>71</v>
      </c>
      <c r="B2283" s="2" t="s">
        <v>72</v>
      </c>
      <c r="C2283" s="2" t="s">
        <v>73</v>
      </c>
      <c r="E2283" s="2" t="str">
        <f>"FES1162596455"</f>
        <v>FES1162596455</v>
      </c>
      <c r="F2283" s="3">
        <v>43084</v>
      </c>
      <c r="G2283" s="2">
        <v>201806</v>
      </c>
      <c r="H2283" s="2" t="s">
        <v>74</v>
      </c>
      <c r="I2283" s="2" t="s">
        <v>75</v>
      </c>
      <c r="J2283" s="2" t="s">
        <v>97</v>
      </c>
      <c r="K2283" s="2" t="s">
        <v>77</v>
      </c>
      <c r="L2283" s="2" t="s">
        <v>212</v>
      </c>
      <c r="M2283" s="2" t="s">
        <v>212</v>
      </c>
      <c r="N2283" s="2" t="s">
        <v>904</v>
      </c>
      <c r="O2283" s="2" t="s">
        <v>101</v>
      </c>
      <c r="P2283" s="2" t="str">
        <f>"2170608118                    "</f>
        <v xml:space="preserve">2170608118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6.43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</v>
      </c>
      <c r="BJ2283" s="2">
        <v>0.2</v>
      </c>
      <c r="BK2283" s="2">
        <v>1</v>
      </c>
      <c r="BL2283" s="2">
        <v>45.93</v>
      </c>
      <c r="BM2283" s="2">
        <v>6.43</v>
      </c>
      <c r="BN2283" s="2">
        <v>52.36</v>
      </c>
      <c r="BO2283" s="2">
        <v>52.36</v>
      </c>
      <c r="BQ2283" s="2" t="s">
        <v>187</v>
      </c>
      <c r="BR2283" s="2" t="s">
        <v>103</v>
      </c>
      <c r="BS2283" s="3">
        <v>43087</v>
      </c>
      <c r="BT2283" s="4">
        <v>5.347222222222222E-2</v>
      </c>
      <c r="BU2283" s="2" t="s">
        <v>2514</v>
      </c>
      <c r="BV2283" s="2" t="s">
        <v>85</v>
      </c>
      <c r="BY2283" s="2">
        <v>1200</v>
      </c>
      <c r="CC2283" s="2" t="s">
        <v>212</v>
      </c>
      <c r="CD2283" s="2">
        <v>7646</v>
      </c>
      <c r="CE2283" s="2" t="s">
        <v>120</v>
      </c>
      <c r="CF2283" s="3">
        <v>43088</v>
      </c>
      <c r="CI2283" s="2">
        <v>1</v>
      </c>
      <c r="CJ2283" s="2">
        <v>1</v>
      </c>
      <c r="CK2283" s="2">
        <v>21</v>
      </c>
      <c r="CL2283" s="2" t="s">
        <v>89</v>
      </c>
    </row>
    <row r="2284" spans="1:90">
      <c r="A2284" s="2" t="s">
        <v>71</v>
      </c>
      <c r="B2284" s="2" t="s">
        <v>72</v>
      </c>
      <c r="C2284" s="2" t="s">
        <v>73</v>
      </c>
      <c r="E2284" s="2" t="str">
        <f>"FES1162596448"</f>
        <v>FES1162596448</v>
      </c>
      <c r="F2284" s="3">
        <v>43084</v>
      </c>
      <c r="G2284" s="2">
        <v>201806</v>
      </c>
      <c r="H2284" s="2" t="s">
        <v>74</v>
      </c>
      <c r="I2284" s="2" t="s">
        <v>75</v>
      </c>
      <c r="J2284" s="2" t="s">
        <v>97</v>
      </c>
      <c r="K2284" s="2" t="s">
        <v>77</v>
      </c>
      <c r="L2284" s="2" t="s">
        <v>173</v>
      </c>
      <c r="M2284" s="2" t="s">
        <v>174</v>
      </c>
      <c r="N2284" s="2" t="s">
        <v>323</v>
      </c>
      <c r="O2284" s="2" t="s">
        <v>101</v>
      </c>
      <c r="P2284" s="2" t="str">
        <f>"2170608105                    "</f>
        <v xml:space="preserve">2170608105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6.43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1</v>
      </c>
      <c r="BJ2284" s="2">
        <v>0.2</v>
      </c>
      <c r="BK2284" s="2">
        <v>1</v>
      </c>
      <c r="BL2284" s="2">
        <v>45.93</v>
      </c>
      <c r="BM2284" s="2">
        <v>6.43</v>
      </c>
      <c r="BN2284" s="2">
        <v>52.36</v>
      </c>
      <c r="BO2284" s="2">
        <v>52.36</v>
      </c>
      <c r="BQ2284" s="2" t="s">
        <v>82</v>
      </c>
      <c r="BR2284" s="2" t="s">
        <v>103</v>
      </c>
      <c r="BS2284" s="3">
        <v>43087</v>
      </c>
      <c r="BT2284" s="4">
        <v>0.53055555555555556</v>
      </c>
      <c r="BU2284" s="2" t="s">
        <v>324</v>
      </c>
      <c r="BV2284" s="2" t="s">
        <v>89</v>
      </c>
      <c r="BW2284" s="2" t="s">
        <v>156</v>
      </c>
      <c r="BX2284" s="2" t="s">
        <v>839</v>
      </c>
      <c r="BY2284" s="2">
        <v>1200</v>
      </c>
      <c r="CA2284" s="2" t="s">
        <v>177</v>
      </c>
      <c r="CC2284" s="2" t="s">
        <v>174</v>
      </c>
      <c r="CD2284" s="2">
        <v>7405</v>
      </c>
      <c r="CE2284" s="2" t="s">
        <v>120</v>
      </c>
      <c r="CF2284" s="3">
        <v>43088</v>
      </c>
      <c r="CI2284" s="2">
        <v>1</v>
      </c>
      <c r="CJ2284" s="2">
        <v>1</v>
      </c>
      <c r="CK2284" s="2">
        <v>21</v>
      </c>
      <c r="CL2284" s="2" t="s">
        <v>89</v>
      </c>
    </row>
    <row r="2285" spans="1:90">
      <c r="A2285" s="2" t="s">
        <v>71</v>
      </c>
      <c r="B2285" s="2" t="s">
        <v>72</v>
      </c>
      <c r="C2285" s="2" t="s">
        <v>73</v>
      </c>
      <c r="E2285" s="2" t="str">
        <f>"FES1162596338"</f>
        <v>FES1162596338</v>
      </c>
      <c r="F2285" s="3">
        <v>43084</v>
      </c>
      <c r="G2285" s="2">
        <v>201806</v>
      </c>
      <c r="H2285" s="2" t="s">
        <v>74</v>
      </c>
      <c r="I2285" s="2" t="s">
        <v>75</v>
      </c>
      <c r="J2285" s="2" t="s">
        <v>97</v>
      </c>
      <c r="K2285" s="2" t="s">
        <v>77</v>
      </c>
      <c r="L2285" s="2" t="s">
        <v>74</v>
      </c>
      <c r="M2285" s="2" t="s">
        <v>75</v>
      </c>
      <c r="N2285" s="2" t="s">
        <v>2487</v>
      </c>
      <c r="O2285" s="2" t="s">
        <v>101</v>
      </c>
      <c r="P2285" s="2" t="str">
        <f>"2170603949                    "</f>
        <v xml:space="preserve">2170603949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5.03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1</v>
      </c>
      <c r="BJ2285" s="2">
        <v>0.2</v>
      </c>
      <c r="BK2285" s="2">
        <v>1</v>
      </c>
      <c r="BL2285" s="2">
        <v>35.89</v>
      </c>
      <c r="BM2285" s="2">
        <v>5.0199999999999996</v>
      </c>
      <c r="BN2285" s="2">
        <v>40.909999999999997</v>
      </c>
      <c r="BO2285" s="2">
        <v>40.909999999999997</v>
      </c>
      <c r="BQ2285" s="2" t="s">
        <v>128</v>
      </c>
      <c r="BR2285" s="2" t="s">
        <v>103</v>
      </c>
      <c r="BS2285" s="3">
        <v>43087</v>
      </c>
      <c r="BT2285" s="4">
        <v>0.33402777777777781</v>
      </c>
      <c r="BU2285" s="2" t="s">
        <v>2515</v>
      </c>
      <c r="BV2285" s="2" t="s">
        <v>85</v>
      </c>
      <c r="BY2285" s="2">
        <v>1200</v>
      </c>
      <c r="CA2285" s="2" t="s">
        <v>206</v>
      </c>
      <c r="CC2285" s="2" t="s">
        <v>75</v>
      </c>
      <c r="CD2285" s="2">
        <v>1645</v>
      </c>
      <c r="CE2285" s="2" t="s">
        <v>120</v>
      </c>
      <c r="CF2285" s="3">
        <v>43089</v>
      </c>
      <c r="CI2285" s="2">
        <v>1</v>
      </c>
      <c r="CJ2285" s="2">
        <v>1</v>
      </c>
      <c r="CK2285" s="2">
        <v>22</v>
      </c>
      <c r="CL2285" s="2" t="s">
        <v>89</v>
      </c>
    </row>
    <row r="2286" spans="1:90">
      <c r="A2286" s="2" t="s">
        <v>71</v>
      </c>
      <c r="B2286" s="2" t="s">
        <v>72</v>
      </c>
      <c r="C2286" s="2" t="s">
        <v>73</v>
      </c>
      <c r="E2286" s="2" t="str">
        <f>"FES1162596468"</f>
        <v>FES1162596468</v>
      </c>
      <c r="F2286" s="3">
        <v>43084</v>
      </c>
      <c r="G2286" s="2">
        <v>201806</v>
      </c>
      <c r="H2286" s="2" t="s">
        <v>74</v>
      </c>
      <c r="I2286" s="2" t="s">
        <v>75</v>
      </c>
      <c r="J2286" s="2" t="s">
        <v>97</v>
      </c>
      <c r="K2286" s="2" t="s">
        <v>77</v>
      </c>
      <c r="L2286" s="2" t="s">
        <v>173</v>
      </c>
      <c r="M2286" s="2" t="s">
        <v>174</v>
      </c>
      <c r="N2286" s="2" t="s">
        <v>876</v>
      </c>
      <c r="O2286" s="2" t="s">
        <v>101</v>
      </c>
      <c r="P2286" s="2" t="str">
        <f>"2170608144                    "</f>
        <v xml:space="preserve">2170608144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6.43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1</v>
      </c>
      <c r="BJ2286" s="2">
        <v>0.2</v>
      </c>
      <c r="BK2286" s="2">
        <v>1</v>
      </c>
      <c r="BL2286" s="2">
        <v>45.93</v>
      </c>
      <c r="BM2286" s="2">
        <v>6.43</v>
      </c>
      <c r="BN2286" s="2">
        <v>52.36</v>
      </c>
      <c r="BO2286" s="2">
        <v>52.36</v>
      </c>
      <c r="BQ2286" s="2" t="s">
        <v>128</v>
      </c>
      <c r="BR2286" s="2" t="s">
        <v>103</v>
      </c>
      <c r="BS2286" s="3">
        <v>43087</v>
      </c>
      <c r="BT2286" s="4">
        <v>0.38541666666666669</v>
      </c>
      <c r="BU2286" s="2" t="s">
        <v>2516</v>
      </c>
      <c r="BV2286" s="2" t="s">
        <v>85</v>
      </c>
      <c r="BY2286" s="2">
        <v>1200</v>
      </c>
      <c r="CC2286" s="2" t="s">
        <v>174</v>
      </c>
      <c r="CD2286" s="2">
        <v>7441</v>
      </c>
      <c r="CE2286" s="2" t="s">
        <v>120</v>
      </c>
      <c r="CF2286" s="3">
        <v>43088</v>
      </c>
      <c r="CI2286" s="2">
        <v>1</v>
      </c>
      <c r="CJ2286" s="2">
        <v>1</v>
      </c>
      <c r="CK2286" s="2">
        <v>21</v>
      </c>
      <c r="CL2286" s="2" t="s">
        <v>89</v>
      </c>
    </row>
    <row r="2287" spans="1:90">
      <c r="A2287" s="2" t="s">
        <v>71</v>
      </c>
      <c r="B2287" s="2" t="s">
        <v>72</v>
      </c>
      <c r="C2287" s="2" t="s">
        <v>73</v>
      </c>
      <c r="E2287" s="2" t="str">
        <f>"009935791591"</f>
        <v>009935791591</v>
      </c>
      <c r="F2287" s="3">
        <v>43084</v>
      </c>
      <c r="G2287" s="2">
        <v>201806</v>
      </c>
      <c r="H2287" s="2" t="s">
        <v>74</v>
      </c>
      <c r="I2287" s="2" t="s">
        <v>75</v>
      </c>
      <c r="J2287" s="2" t="s">
        <v>97</v>
      </c>
      <c r="K2287" s="2" t="s">
        <v>77</v>
      </c>
      <c r="L2287" s="2" t="s">
        <v>1789</v>
      </c>
      <c r="M2287" s="2" t="s">
        <v>1790</v>
      </c>
      <c r="N2287" s="2" t="s">
        <v>2517</v>
      </c>
      <c r="O2287" s="2" t="s">
        <v>101</v>
      </c>
      <c r="P2287" s="2" t="str">
        <f>"1162592038                    "</f>
        <v xml:space="preserve">1162592038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9.0500000000000007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1</v>
      </c>
      <c r="BJ2287" s="2">
        <v>0.2</v>
      </c>
      <c r="BK2287" s="2">
        <v>1</v>
      </c>
      <c r="BL2287" s="2">
        <v>64.599999999999994</v>
      </c>
      <c r="BM2287" s="2">
        <v>9.0399999999999991</v>
      </c>
      <c r="BN2287" s="2">
        <v>73.64</v>
      </c>
      <c r="BO2287" s="2">
        <v>73.64</v>
      </c>
      <c r="BQ2287" s="2" t="s">
        <v>2518</v>
      </c>
      <c r="BR2287" s="2" t="s">
        <v>103</v>
      </c>
      <c r="BS2287" s="2" t="s">
        <v>185</v>
      </c>
      <c r="BY2287" s="2">
        <v>1200</v>
      </c>
      <c r="CC2287" s="2" t="s">
        <v>1790</v>
      </c>
      <c r="CD2287" s="2">
        <v>1779</v>
      </c>
      <c r="CE2287" s="2" t="s">
        <v>120</v>
      </c>
      <c r="CI2287" s="2">
        <v>1</v>
      </c>
      <c r="CJ2287" s="2" t="s">
        <v>185</v>
      </c>
      <c r="CK2287" s="2">
        <v>24</v>
      </c>
      <c r="CL2287" s="2" t="s">
        <v>89</v>
      </c>
    </row>
    <row r="2288" spans="1:90">
      <c r="A2288" s="2" t="s">
        <v>71</v>
      </c>
      <c r="B2288" s="2" t="s">
        <v>72</v>
      </c>
      <c r="C2288" s="2" t="s">
        <v>73</v>
      </c>
      <c r="E2288" s="2" t="str">
        <f>"009935791590"</f>
        <v>009935791590</v>
      </c>
      <c r="F2288" s="3">
        <v>43084</v>
      </c>
      <c r="G2288" s="2">
        <v>201806</v>
      </c>
      <c r="H2288" s="2" t="s">
        <v>74</v>
      </c>
      <c r="I2288" s="2" t="s">
        <v>75</v>
      </c>
      <c r="J2288" s="2" t="s">
        <v>97</v>
      </c>
      <c r="K2288" s="2" t="s">
        <v>77</v>
      </c>
      <c r="L2288" s="2" t="s">
        <v>1487</v>
      </c>
      <c r="M2288" s="2" t="s">
        <v>1487</v>
      </c>
      <c r="N2288" s="2" t="s">
        <v>2519</v>
      </c>
      <c r="O2288" s="2" t="s">
        <v>101</v>
      </c>
      <c r="P2288" s="2" t="str">
        <f>"1162594515                    "</f>
        <v xml:space="preserve">1162594515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6.43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45.93</v>
      </c>
      <c r="BM2288" s="2">
        <v>6.43</v>
      </c>
      <c r="BN2288" s="2">
        <v>52.36</v>
      </c>
      <c r="BO2288" s="2">
        <v>52.36</v>
      </c>
      <c r="BR2288" s="2" t="s">
        <v>103</v>
      </c>
      <c r="BS2288" s="2" t="s">
        <v>185</v>
      </c>
      <c r="BY2288" s="2">
        <v>1200</v>
      </c>
      <c r="CC2288" s="2" t="s">
        <v>1487</v>
      </c>
      <c r="CD2288" s="2">
        <v>8446</v>
      </c>
      <c r="CE2288" s="2" t="s">
        <v>120</v>
      </c>
      <c r="CI2288" s="2">
        <v>3</v>
      </c>
      <c r="CJ2288" s="2" t="s">
        <v>185</v>
      </c>
      <c r="CK2288" s="2">
        <v>21</v>
      </c>
      <c r="CL2288" s="2" t="s">
        <v>89</v>
      </c>
    </row>
    <row r="2289" spans="1:90">
      <c r="A2289" s="2" t="s">
        <v>71</v>
      </c>
      <c r="B2289" s="2" t="s">
        <v>72</v>
      </c>
      <c r="C2289" s="2" t="s">
        <v>73</v>
      </c>
      <c r="E2289" s="2" t="str">
        <f>"FES1162596369"</f>
        <v>FES1162596369</v>
      </c>
      <c r="F2289" s="3">
        <v>43084</v>
      </c>
      <c r="G2289" s="2">
        <v>201806</v>
      </c>
      <c r="H2289" s="2" t="s">
        <v>74</v>
      </c>
      <c r="I2289" s="2" t="s">
        <v>75</v>
      </c>
      <c r="J2289" s="2" t="s">
        <v>97</v>
      </c>
      <c r="K2289" s="2" t="s">
        <v>77</v>
      </c>
      <c r="L2289" s="2" t="s">
        <v>74</v>
      </c>
      <c r="M2289" s="2" t="s">
        <v>75</v>
      </c>
      <c r="N2289" s="2" t="s">
        <v>204</v>
      </c>
      <c r="O2289" s="2" t="s">
        <v>101</v>
      </c>
      <c r="P2289" s="2" t="str">
        <f>"2170604432                    "</f>
        <v xml:space="preserve">2170604432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5.03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35.89</v>
      </c>
      <c r="BM2289" s="2">
        <v>5.0199999999999996</v>
      </c>
      <c r="BN2289" s="2">
        <v>40.909999999999997</v>
      </c>
      <c r="BO2289" s="2">
        <v>40.909999999999997</v>
      </c>
      <c r="BQ2289" s="2" t="s">
        <v>102</v>
      </c>
      <c r="BR2289" s="2" t="s">
        <v>103</v>
      </c>
      <c r="BS2289" s="3">
        <v>43088</v>
      </c>
      <c r="BT2289" s="4">
        <v>0.30138888888888887</v>
      </c>
      <c r="BU2289" s="2" t="s">
        <v>205</v>
      </c>
      <c r="BV2289" s="2" t="s">
        <v>89</v>
      </c>
      <c r="BW2289" s="2" t="s">
        <v>149</v>
      </c>
      <c r="BX2289" s="2" t="s">
        <v>157</v>
      </c>
      <c r="BY2289" s="2">
        <v>1200</v>
      </c>
      <c r="CC2289" s="2" t="s">
        <v>75</v>
      </c>
      <c r="CD2289" s="2">
        <v>1645</v>
      </c>
      <c r="CE2289" s="2" t="s">
        <v>120</v>
      </c>
      <c r="CF2289" s="3">
        <v>43089</v>
      </c>
      <c r="CI2289" s="2">
        <v>1</v>
      </c>
      <c r="CJ2289" s="2">
        <v>2</v>
      </c>
      <c r="CK2289" s="2">
        <v>22</v>
      </c>
      <c r="CL2289" s="2" t="s">
        <v>89</v>
      </c>
    </row>
    <row r="2290" spans="1:90">
      <c r="A2290" s="2" t="s">
        <v>71</v>
      </c>
      <c r="B2290" s="2" t="s">
        <v>72</v>
      </c>
      <c r="C2290" s="2" t="s">
        <v>73</v>
      </c>
      <c r="E2290" s="2" t="str">
        <f>"FES1162596368"</f>
        <v>FES1162596368</v>
      </c>
      <c r="F2290" s="3">
        <v>43084</v>
      </c>
      <c r="G2290" s="2">
        <v>201806</v>
      </c>
      <c r="H2290" s="2" t="s">
        <v>74</v>
      </c>
      <c r="I2290" s="2" t="s">
        <v>75</v>
      </c>
      <c r="J2290" s="2" t="s">
        <v>97</v>
      </c>
      <c r="K2290" s="2" t="s">
        <v>77</v>
      </c>
      <c r="L2290" s="2" t="s">
        <v>547</v>
      </c>
      <c r="M2290" s="2" t="s">
        <v>548</v>
      </c>
      <c r="N2290" s="2" t="s">
        <v>1546</v>
      </c>
      <c r="O2290" s="2" t="s">
        <v>101</v>
      </c>
      <c r="P2290" s="2" t="str">
        <f>"2170604406                    "</f>
        <v xml:space="preserve">2170604406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5.03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1</v>
      </c>
      <c r="BJ2290" s="2">
        <v>0.2</v>
      </c>
      <c r="BK2290" s="2">
        <v>1</v>
      </c>
      <c r="BL2290" s="2">
        <v>35.89</v>
      </c>
      <c r="BM2290" s="2">
        <v>5.0199999999999996</v>
      </c>
      <c r="BN2290" s="2">
        <v>40.909999999999997</v>
      </c>
      <c r="BO2290" s="2">
        <v>40.909999999999997</v>
      </c>
      <c r="BQ2290" s="2" t="s">
        <v>1804</v>
      </c>
      <c r="BR2290" s="2" t="s">
        <v>103</v>
      </c>
      <c r="BS2290" s="3">
        <v>43087</v>
      </c>
      <c r="BT2290" s="4">
        <v>0.33055555555555555</v>
      </c>
      <c r="BU2290" s="2" t="s">
        <v>1547</v>
      </c>
      <c r="BV2290" s="2" t="s">
        <v>85</v>
      </c>
      <c r="BY2290" s="2">
        <v>1200</v>
      </c>
      <c r="CA2290" s="2" t="s">
        <v>119</v>
      </c>
      <c r="CC2290" s="2" t="s">
        <v>548</v>
      </c>
      <c r="CD2290" s="2">
        <v>1501</v>
      </c>
      <c r="CE2290" s="2" t="s">
        <v>120</v>
      </c>
      <c r="CF2290" s="3">
        <v>43089</v>
      </c>
      <c r="CI2290" s="2">
        <v>1</v>
      </c>
      <c r="CJ2290" s="2">
        <v>1</v>
      </c>
      <c r="CK2290" s="2">
        <v>22</v>
      </c>
      <c r="CL2290" s="2" t="s">
        <v>89</v>
      </c>
    </row>
    <row r="2291" spans="1:90">
      <c r="A2291" s="2" t="s">
        <v>71</v>
      </c>
      <c r="B2291" s="2" t="s">
        <v>72</v>
      </c>
      <c r="C2291" s="2" t="s">
        <v>73</v>
      </c>
      <c r="E2291" s="2" t="str">
        <f>"FES1162596375"</f>
        <v>FES1162596375</v>
      </c>
      <c r="F2291" s="3">
        <v>43084</v>
      </c>
      <c r="G2291" s="2">
        <v>201806</v>
      </c>
      <c r="H2291" s="2" t="s">
        <v>74</v>
      </c>
      <c r="I2291" s="2" t="s">
        <v>75</v>
      </c>
      <c r="J2291" s="2" t="s">
        <v>97</v>
      </c>
      <c r="K2291" s="2" t="s">
        <v>77</v>
      </c>
      <c r="L2291" s="2" t="s">
        <v>90</v>
      </c>
      <c r="M2291" s="2" t="s">
        <v>91</v>
      </c>
      <c r="N2291" s="2" t="s">
        <v>2520</v>
      </c>
      <c r="O2291" s="2" t="s">
        <v>101</v>
      </c>
      <c r="P2291" s="2" t="str">
        <f>"2170604640                    "</f>
        <v xml:space="preserve">2170604640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5.03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</v>
      </c>
      <c r="BJ2291" s="2">
        <v>0.2</v>
      </c>
      <c r="BK2291" s="2">
        <v>1</v>
      </c>
      <c r="BL2291" s="2">
        <v>35.89</v>
      </c>
      <c r="BM2291" s="2">
        <v>5.0199999999999996</v>
      </c>
      <c r="BN2291" s="2">
        <v>40.909999999999997</v>
      </c>
      <c r="BO2291" s="2">
        <v>40.909999999999997</v>
      </c>
      <c r="BQ2291" s="2" t="s">
        <v>102</v>
      </c>
      <c r="BR2291" s="2" t="s">
        <v>103</v>
      </c>
      <c r="BS2291" s="3">
        <v>43087</v>
      </c>
      <c r="BT2291" s="4">
        <v>0.4375</v>
      </c>
      <c r="BU2291" s="2" t="s">
        <v>2521</v>
      </c>
      <c r="BV2291" s="2" t="s">
        <v>85</v>
      </c>
      <c r="BY2291" s="2">
        <v>1200</v>
      </c>
      <c r="CA2291" s="2" t="s">
        <v>347</v>
      </c>
      <c r="CC2291" s="2" t="s">
        <v>91</v>
      </c>
      <c r="CD2291" s="2">
        <v>1559</v>
      </c>
      <c r="CE2291" s="2" t="s">
        <v>120</v>
      </c>
      <c r="CF2291" s="3">
        <v>43089</v>
      </c>
      <c r="CI2291" s="2">
        <v>1</v>
      </c>
      <c r="CJ2291" s="2">
        <v>1</v>
      </c>
      <c r="CK2291" s="2">
        <v>22</v>
      </c>
      <c r="CL2291" s="2" t="s">
        <v>89</v>
      </c>
    </row>
    <row r="2292" spans="1:90">
      <c r="A2292" s="2" t="s">
        <v>71</v>
      </c>
      <c r="B2292" s="2" t="s">
        <v>72</v>
      </c>
      <c r="C2292" s="2" t="s">
        <v>73</v>
      </c>
      <c r="E2292" s="2" t="str">
        <f>"FES1162596409"</f>
        <v>FES1162596409</v>
      </c>
      <c r="F2292" s="3">
        <v>43084</v>
      </c>
      <c r="G2292" s="2">
        <v>201806</v>
      </c>
      <c r="H2292" s="2" t="s">
        <v>74</v>
      </c>
      <c r="I2292" s="2" t="s">
        <v>75</v>
      </c>
      <c r="J2292" s="2" t="s">
        <v>97</v>
      </c>
      <c r="K2292" s="2" t="s">
        <v>77</v>
      </c>
      <c r="L2292" s="2" t="s">
        <v>115</v>
      </c>
      <c r="M2292" s="2" t="s">
        <v>116</v>
      </c>
      <c r="N2292" s="2" t="s">
        <v>1341</v>
      </c>
      <c r="O2292" s="2" t="s">
        <v>101</v>
      </c>
      <c r="P2292" s="2" t="str">
        <f>"2170606105                    "</f>
        <v xml:space="preserve">2170606105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5.03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</v>
      </c>
      <c r="BJ2292" s="2">
        <v>0.2</v>
      </c>
      <c r="BK2292" s="2">
        <v>1</v>
      </c>
      <c r="BL2292" s="2">
        <v>35.89</v>
      </c>
      <c r="BM2292" s="2">
        <v>5.0199999999999996</v>
      </c>
      <c r="BN2292" s="2">
        <v>40.909999999999997</v>
      </c>
      <c r="BO2292" s="2">
        <v>40.909999999999997</v>
      </c>
      <c r="BQ2292" s="2" t="s">
        <v>1342</v>
      </c>
      <c r="BR2292" s="2" t="s">
        <v>103</v>
      </c>
      <c r="BS2292" s="3">
        <v>43087</v>
      </c>
      <c r="BT2292" s="4">
        <v>0.38472222222222219</v>
      </c>
      <c r="BU2292" s="2" t="s">
        <v>2351</v>
      </c>
      <c r="BV2292" s="2" t="s">
        <v>85</v>
      </c>
      <c r="BY2292" s="2">
        <v>1200</v>
      </c>
      <c r="CA2292" s="2" t="s">
        <v>386</v>
      </c>
      <c r="CC2292" s="2" t="s">
        <v>116</v>
      </c>
      <c r="CD2292" s="2">
        <v>1460</v>
      </c>
      <c r="CE2292" s="2" t="s">
        <v>120</v>
      </c>
      <c r="CF2292" s="3">
        <v>43088</v>
      </c>
      <c r="CI2292" s="2">
        <v>1</v>
      </c>
      <c r="CJ2292" s="2">
        <v>1</v>
      </c>
      <c r="CK2292" s="2">
        <v>22</v>
      </c>
      <c r="CL2292" s="2" t="s">
        <v>89</v>
      </c>
    </row>
    <row r="2293" spans="1:90">
      <c r="A2293" s="2" t="s">
        <v>71</v>
      </c>
      <c r="B2293" s="2" t="s">
        <v>72</v>
      </c>
      <c r="C2293" s="2" t="s">
        <v>73</v>
      </c>
      <c r="E2293" s="2" t="str">
        <f>"FES1162596401"</f>
        <v>FES1162596401</v>
      </c>
      <c r="F2293" s="3">
        <v>43084</v>
      </c>
      <c r="G2293" s="2">
        <v>201806</v>
      </c>
      <c r="H2293" s="2" t="s">
        <v>74</v>
      </c>
      <c r="I2293" s="2" t="s">
        <v>75</v>
      </c>
      <c r="J2293" s="2" t="s">
        <v>97</v>
      </c>
      <c r="K2293" s="2" t="s">
        <v>77</v>
      </c>
      <c r="L2293" s="2" t="s">
        <v>74</v>
      </c>
      <c r="M2293" s="2" t="s">
        <v>75</v>
      </c>
      <c r="N2293" s="2" t="s">
        <v>1094</v>
      </c>
      <c r="O2293" s="2" t="s">
        <v>101</v>
      </c>
      <c r="P2293" s="2" t="str">
        <f>"21706065325                   "</f>
        <v xml:space="preserve">21706065325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5.03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1</v>
      </c>
      <c r="BJ2293" s="2">
        <v>0.2</v>
      </c>
      <c r="BK2293" s="2">
        <v>1</v>
      </c>
      <c r="BL2293" s="2">
        <v>35.89</v>
      </c>
      <c r="BM2293" s="2">
        <v>5.0199999999999996</v>
      </c>
      <c r="BN2293" s="2">
        <v>40.909999999999997</v>
      </c>
      <c r="BO2293" s="2">
        <v>40.909999999999997</v>
      </c>
      <c r="BQ2293" s="2" t="s">
        <v>1247</v>
      </c>
      <c r="BR2293" s="2" t="s">
        <v>103</v>
      </c>
      <c r="BS2293" s="3">
        <v>43087</v>
      </c>
      <c r="BT2293" s="4">
        <v>0.47847222222222219</v>
      </c>
      <c r="BU2293" s="2" t="s">
        <v>2522</v>
      </c>
      <c r="BV2293" s="2" t="s">
        <v>85</v>
      </c>
      <c r="BY2293" s="2">
        <v>1200</v>
      </c>
      <c r="CA2293" s="2" t="s">
        <v>203</v>
      </c>
      <c r="CC2293" s="2" t="s">
        <v>75</v>
      </c>
      <c r="CD2293" s="2">
        <v>1666</v>
      </c>
      <c r="CE2293" s="2" t="s">
        <v>120</v>
      </c>
      <c r="CF2293" s="3">
        <v>43088</v>
      </c>
      <c r="CI2293" s="2">
        <v>1</v>
      </c>
      <c r="CJ2293" s="2">
        <v>1</v>
      </c>
      <c r="CK2293" s="2">
        <v>22</v>
      </c>
      <c r="CL2293" s="2" t="s">
        <v>89</v>
      </c>
    </row>
    <row r="2294" spans="1:90">
      <c r="A2294" s="2" t="s">
        <v>71</v>
      </c>
      <c r="B2294" s="2" t="s">
        <v>72</v>
      </c>
      <c r="C2294" s="2" t="s">
        <v>73</v>
      </c>
      <c r="E2294" s="2" t="str">
        <f>"FES1162596494"</f>
        <v>FES1162596494</v>
      </c>
      <c r="F2294" s="3">
        <v>43084</v>
      </c>
      <c r="G2294" s="2">
        <v>201806</v>
      </c>
      <c r="H2294" s="2" t="s">
        <v>74</v>
      </c>
      <c r="I2294" s="2" t="s">
        <v>75</v>
      </c>
      <c r="J2294" s="2" t="s">
        <v>97</v>
      </c>
      <c r="K2294" s="2" t="s">
        <v>77</v>
      </c>
      <c r="L2294" s="2" t="s">
        <v>173</v>
      </c>
      <c r="M2294" s="2" t="s">
        <v>174</v>
      </c>
      <c r="N2294" s="2" t="s">
        <v>175</v>
      </c>
      <c r="O2294" s="2" t="s">
        <v>101</v>
      </c>
      <c r="P2294" s="2" t="str">
        <f>"21706080197                   "</f>
        <v xml:space="preserve">21706080197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6.43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45.93</v>
      </c>
      <c r="BM2294" s="2">
        <v>6.43</v>
      </c>
      <c r="BN2294" s="2">
        <v>52.36</v>
      </c>
      <c r="BO2294" s="2">
        <v>52.36</v>
      </c>
      <c r="BQ2294" s="2" t="s">
        <v>102</v>
      </c>
      <c r="BR2294" s="2" t="s">
        <v>103</v>
      </c>
      <c r="BS2294" s="3">
        <v>43087</v>
      </c>
      <c r="BT2294" s="4">
        <v>0.53125</v>
      </c>
      <c r="BU2294" s="2" t="s">
        <v>2523</v>
      </c>
      <c r="BV2294" s="2" t="s">
        <v>89</v>
      </c>
      <c r="BW2294" s="2" t="s">
        <v>156</v>
      </c>
      <c r="BX2294" s="2" t="s">
        <v>839</v>
      </c>
      <c r="BY2294" s="2">
        <v>1200</v>
      </c>
      <c r="CA2294" s="2" t="s">
        <v>177</v>
      </c>
      <c r="CC2294" s="2" t="s">
        <v>174</v>
      </c>
      <c r="CD2294" s="2">
        <v>7405</v>
      </c>
      <c r="CE2294" s="2" t="s">
        <v>120</v>
      </c>
      <c r="CF2294" s="3">
        <v>43088</v>
      </c>
      <c r="CI2294" s="2">
        <v>1</v>
      </c>
      <c r="CJ2294" s="2">
        <v>1</v>
      </c>
      <c r="CK2294" s="2">
        <v>21</v>
      </c>
      <c r="CL2294" s="2" t="s">
        <v>89</v>
      </c>
    </row>
    <row r="2295" spans="1:90">
      <c r="A2295" s="2" t="s">
        <v>71</v>
      </c>
      <c r="B2295" s="2" t="s">
        <v>72</v>
      </c>
      <c r="C2295" s="2" t="s">
        <v>73</v>
      </c>
      <c r="E2295" s="2" t="str">
        <f>"FES1162596402"</f>
        <v>FES1162596402</v>
      </c>
      <c r="F2295" s="3">
        <v>43084</v>
      </c>
      <c r="G2295" s="2">
        <v>201806</v>
      </c>
      <c r="H2295" s="2" t="s">
        <v>74</v>
      </c>
      <c r="I2295" s="2" t="s">
        <v>75</v>
      </c>
      <c r="J2295" s="2" t="s">
        <v>97</v>
      </c>
      <c r="K2295" s="2" t="s">
        <v>77</v>
      </c>
      <c r="L2295" s="2" t="s">
        <v>162</v>
      </c>
      <c r="M2295" s="2" t="s">
        <v>163</v>
      </c>
      <c r="N2295" s="2" t="s">
        <v>398</v>
      </c>
      <c r="O2295" s="2" t="s">
        <v>101</v>
      </c>
      <c r="P2295" s="2" t="str">
        <f>"2170605379                    "</f>
        <v xml:space="preserve">2170605379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5.03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0.7</v>
      </c>
      <c r="BJ2295" s="2">
        <v>0.7</v>
      </c>
      <c r="BK2295" s="2">
        <v>1</v>
      </c>
      <c r="BL2295" s="2">
        <v>35.89</v>
      </c>
      <c r="BM2295" s="2">
        <v>5.0199999999999996</v>
      </c>
      <c r="BN2295" s="2">
        <v>40.909999999999997</v>
      </c>
      <c r="BO2295" s="2">
        <v>40.909999999999997</v>
      </c>
      <c r="BQ2295" s="2" t="s">
        <v>142</v>
      </c>
      <c r="BR2295" s="2" t="s">
        <v>103</v>
      </c>
      <c r="BS2295" s="3">
        <v>43087</v>
      </c>
      <c r="BT2295" s="4">
        <v>0.42152777777777778</v>
      </c>
      <c r="BU2295" s="2" t="s">
        <v>399</v>
      </c>
      <c r="BV2295" s="2" t="s">
        <v>85</v>
      </c>
      <c r="BY2295" s="2">
        <v>3494.92</v>
      </c>
      <c r="CA2295" s="2" t="s">
        <v>400</v>
      </c>
      <c r="CC2295" s="2" t="s">
        <v>163</v>
      </c>
      <c r="CD2295" s="2">
        <v>1449</v>
      </c>
      <c r="CE2295" s="2" t="s">
        <v>95</v>
      </c>
      <c r="CF2295" s="3">
        <v>43088</v>
      </c>
      <c r="CI2295" s="2">
        <v>1</v>
      </c>
      <c r="CJ2295" s="2">
        <v>1</v>
      </c>
      <c r="CK2295" s="2">
        <v>22</v>
      </c>
      <c r="CL2295" s="2" t="s">
        <v>89</v>
      </c>
    </row>
    <row r="2296" spans="1:90">
      <c r="A2296" s="2" t="s">
        <v>71</v>
      </c>
      <c r="B2296" s="2" t="s">
        <v>72</v>
      </c>
      <c r="C2296" s="2" t="s">
        <v>73</v>
      </c>
      <c r="E2296" s="2" t="str">
        <f>"FES1162596391"</f>
        <v>FES1162596391</v>
      </c>
      <c r="F2296" s="3">
        <v>43084</v>
      </c>
      <c r="G2296" s="2">
        <v>201806</v>
      </c>
      <c r="H2296" s="2" t="s">
        <v>74</v>
      </c>
      <c r="I2296" s="2" t="s">
        <v>75</v>
      </c>
      <c r="J2296" s="2" t="s">
        <v>97</v>
      </c>
      <c r="K2296" s="2" t="s">
        <v>77</v>
      </c>
      <c r="L2296" s="2" t="s">
        <v>74</v>
      </c>
      <c r="M2296" s="2" t="s">
        <v>75</v>
      </c>
      <c r="N2296" s="2" t="s">
        <v>1125</v>
      </c>
      <c r="O2296" s="2" t="s">
        <v>101</v>
      </c>
      <c r="P2296" s="2" t="str">
        <f>"2170604882                    "</f>
        <v xml:space="preserve">2170604882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5.03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4.3</v>
      </c>
      <c r="BJ2296" s="2">
        <v>1.7</v>
      </c>
      <c r="BK2296" s="2">
        <v>5</v>
      </c>
      <c r="BL2296" s="2">
        <v>35.89</v>
      </c>
      <c r="BM2296" s="2">
        <v>5.0199999999999996</v>
      </c>
      <c r="BN2296" s="2">
        <v>40.909999999999997</v>
      </c>
      <c r="BO2296" s="2">
        <v>40.909999999999997</v>
      </c>
      <c r="BQ2296" s="2" t="s">
        <v>142</v>
      </c>
      <c r="BR2296" s="2" t="s">
        <v>103</v>
      </c>
      <c r="BS2296" s="3">
        <v>43087</v>
      </c>
      <c r="BT2296" s="4">
        <v>0.32291666666666669</v>
      </c>
      <c r="BU2296" s="2" t="s">
        <v>1126</v>
      </c>
      <c r="BV2296" s="2" t="s">
        <v>85</v>
      </c>
      <c r="BY2296" s="2">
        <v>8515.58</v>
      </c>
      <c r="CA2296" s="2" t="s">
        <v>355</v>
      </c>
      <c r="CC2296" s="2" t="s">
        <v>75</v>
      </c>
      <c r="CD2296" s="2">
        <v>1624</v>
      </c>
      <c r="CE2296" s="2" t="s">
        <v>95</v>
      </c>
      <c r="CF2296" s="3">
        <v>43088</v>
      </c>
      <c r="CI2296" s="2">
        <v>1</v>
      </c>
      <c r="CJ2296" s="2">
        <v>1</v>
      </c>
      <c r="CK2296" s="2">
        <v>22</v>
      </c>
      <c r="CL2296" s="2" t="s">
        <v>89</v>
      </c>
    </row>
    <row r="2297" spans="1:90">
      <c r="A2297" s="2" t="s">
        <v>71</v>
      </c>
      <c r="B2297" s="2" t="s">
        <v>72</v>
      </c>
      <c r="C2297" s="2" t="s">
        <v>73</v>
      </c>
      <c r="E2297" s="2" t="str">
        <f>"FES1162596383"</f>
        <v>FES1162596383</v>
      </c>
      <c r="F2297" s="3">
        <v>43084</v>
      </c>
      <c r="G2297" s="2">
        <v>201806</v>
      </c>
      <c r="H2297" s="2" t="s">
        <v>74</v>
      </c>
      <c r="I2297" s="2" t="s">
        <v>75</v>
      </c>
      <c r="J2297" s="2" t="s">
        <v>97</v>
      </c>
      <c r="K2297" s="2" t="s">
        <v>77</v>
      </c>
      <c r="L2297" s="2" t="s">
        <v>173</v>
      </c>
      <c r="M2297" s="2" t="s">
        <v>174</v>
      </c>
      <c r="N2297" s="2" t="s">
        <v>1229</v>
      </c>
      <c r="O2297" s="2" t="s">
        <v>101</v>
      </c>
      <c r="P2297" s="2" t="str">
        <f>"2170604746                    "</f>
        <v xml:space="preserve">2170604746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11.26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3.2</v>
      </c>
      <c r="BJ2297" s="2">
        <v>2.4</v>
      </c>
      <c r="BK2297" s="2">
        <v>3.5</v>
      </c>
      <c r="BL2297" s="2">
        <v>80.37</v>
      </c>
      <c r="BM2297" s="2">
        <v>11.25</v>
      </c>
      <c r="BN2297" s="2">
        <v>91.62</v>
      </c>
      <c r="BO2297" s="2">
        <v>91.62</v>
      </c>
      <c r="BQ2297" s="2" t="s">
        <v>229</v>
      </c>
      <c r="BR2297" s="2" t="s">
        <v>103</v>
      </c>
      <c r="BS2297" s="3">
        <v>43087</v>
      </c>
      <c r="BT2297" s="4">
        <v>0.37638888888888888</v>
      </c>
      <c r="BU2297" s="2" t="s">
        <v>554</v>
      </c>
      <c r="BV2297" s="2" t="s">
        <v>85</v>
      </c>
      <c r="BY2297" s="2">
        <v>11893.07</v>
      </c>
      <c r="CA2297" s="2" t="s">
        <v>1389</v>
      </c>
      <c r="CC2297" s="2" t="s">
        <v>174</v>
      </c>
      <c r="CD2297" s="2">
        <v>7460</v>
      </c>
      <c r="CE2297" s="2" t="s">
        <v>87</v>
      </c>
      <c r="CF2297" s="3">
        <v>43088</v>
      </c>
      <c r="CI2297" s="2">
        <v>1</v>
      </c>
      <c r="CJ2297" s="2">
        <v>1</v>
      </c>
      <c r="CK2297" s="2">
        <v>21</v>
      </c>
      <c r="CL2297" s="2" t="s">
        <v>89</v>
      </c>
    </row>
    <row r="2298" spans="1:90">
      <c r="A2298" s="2" t="s">
        <v>71</v>
      </c>
      <c r="B2298" s="2" t="s">
        <v>72</v>
      </c>
      <c r="C2298" s="2" t="s">
        <v>73</v>
      </c>
      <c r="E2298" s="2" t="str">
        <f>"FES1162596278"</f>
        <v>FES1162596278</v>
      </c>
      <c r="F2298" s="3">
        <v>43084</v>
      </c>
      <c r="G2298" s="2">
        <v>201806</v>
      </c>
      <c r="H2298" s="2" t="s">
        <v>74</v>
      </c>
      <c r="I2298" s="2" t="s">
        <v>75</v>
      </c>
      <c r="J2298" s="2" t="s">
        <v>97</v>
      </c>
      <c r="K2298" s="2" t="s">
        <v>77</v>
      </c>
      <c r="L2298" s="2" t="s">
        <v>173</v>
      </c>
      <c r="M2298" s="2" t="s">
        <v>174</v>
      </c>
      <c r="N2298" s="2" t="s">
        <v>1208</v>
      </c>
      <c r="O2298" s="2" t="s">
        <v>101</v>
      </c>
      <c r="P2298" s="2" t="str">
        <f>"2170608032                    "</f>
        <v xml:space="preserve">2170608032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22.51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2.9</v>
      </c>
      <c r="BJ2298" s="2">
        <v>6.7</v>
      </c>
      <c r="BK2298" s="2">
        <v>7</v>
      </c>
      <c r="BL2298" s="2">
        <v>160.71</v>
      </c>
      <c r="BM2298" s="2">
        <v>22.5</v>
      </c>
      <c r="BN2298" s="2">
        <v>183.21</v>
      </c>
      <c r="BO2298" s="2">
        <v>183.21</v>
      </c>
      <c r="BQ2298" s="2" t="s">
        <v>102</v>
      </c>
      <c r="BR2298" s="2" t="s">
        <v>103</v>
      </c>
      <c r="BS2298" s="3">
        <v>43087</v>
      </c>
      <c r="BT2298" s="4">
        <v>0.41666666666666669</v>
      </c>
      <c r="BU2298" s="2" t="s">
        <v>114</v>
      </c>
      <c r="BV2298" s="2" t="s">
        <v>85</v>
      </c>
      <c r="BY2298" s="2">
        <v>33584.18</v>
      </c>
      <c r="CC2298" s="2" t="s">
        <v>174</v>
      </c>
      <c r="CD2298" s="2">
        <v>7925</v>
      </c>
      <c r="CE2298" s="2" t="s">
        <v>87</v>
      </c>
      <c r="CF2298" s="3">
        <v>43088</v>
      </c>
      <c r="CI2298" s="2">
        <v>1</v>
      </c>
      <c r="CJ2298" s="2">
        <v>1</v>
      </c>
      <c r="CK2298" s="2">
        <v>21</v>
      </c>
      <c r="CL2298" s="2" t="s">
        <v>89</v>
      </c>
    </row>
    <row r="2299" spans="1:90">
      <c r="A2299" s="2" t="s">
        <v>71</v>
      </c>
      <c r="B2299" s="2" t="s">
        <v>72</v>
      </c>
      <c r="C2299" s="2" t="s">
        <v>73</v>
      </c>
      <c r="E2299" s="2" t="str">
        <f>"FES1162596294"</f>
        <v>FES1162596294</v>
      </c>
      <c r="F2299" s="3">
        <v>43084</v>
      </c>
      <c r="G2299" s="2">
        <v>201806</v>
      </c>
      <c r="H2299" s="2" t="s">
        <v>74</v>
      </c>
      <c r="I2299" s="2" t="s">
        <v>75</v>
      </c>
      <c r="J2299" s="2" t="s">
        <v>97</v>
      </c>
      <c r="K2299" s="2" t="s">
        <v>77</v>
      </c>
      <c r="L2299" s="2" t="s">
        <v>2524</v>
      </c>
      <c r="M2299" s="2" t="s">
        <v>2525</v>
      </c>
      <c r="N2299" s="2" t="s">
        <v>2526</v>
      </c>
      <c r="O2299" s="2" t="s">
        <v>101</v>
      </c>
      <c r="P2299" s="2" t="str">
        <f>"2170608052                    "</f>
        <v xml:space="preserve">2170608052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12.47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89</v>
      </c>
      <c r="BM2299" s="2">
        <v>12.46</v>
      </c>
      <c r="BN2299" s="2">
        <v>101.46</v>
      </c>
      <c r="BO2299" s="2">
        <v>101.46</v>
      </c>
      <c r="BR2299" s="2" t="s">
        <v>103</v>
      </c>
      <c r="BS2299" s="3">
        <v>43087</v>
      </c>
      <c r="BT2299" s="4">
        <v>0.33333333333333331</v>
      </c>
      <c r="BU2299" s="2" t="s">
        <v>2527</v>
      </c>
      <c r="BV2299" s="2" t="s">
        <v>85</v>
      </c>
      <c r="BY2299" s="2">
        <v>1200</v>
      </c>
      <c r="CC2299" s="2" t="s">
        <v>2525</v>
      </c>
      <c r="CD2299" s="2">
        <v>4490</v>
      </c>
      <c r="CE2299" s="2" t="s">
        <v>120</v>
      </c>
      <c r="CF2299" s="3">
        <v>43089</v>
      </c>
      <c r="CI2299" s="2">
        <v>1</v>
      </c>
      <c r="CJ2299" s="2">
        <v>1</v>
      </c>
      <c r="CK2299" s="2">
        <v>23</v>
      </c>
      <c r="CL2299" s="2" t="s">
        <v>89</v>
      </c>
    </row>
    <row r="2300" spans="1:90">
      <c r="A2300" s="2" t="s">
        <v>71</v>
      </c>
      <c r="B2300" s="2" t="s">
        <v>72</v>
      </c>
      <c r="C2300" s="2" t="s">
        <v>73</v>
      </c>
      <c r="E2300" s="2" t="str">
        <f>"FES1162595261"</f>
        <v>FES1162595261</v>
      </c>
      <c r="F2300" s="3">
        <v>43084</v>
      </c>
      <c r="G2300" s="2">
        <v>201806</v>
      </c>
      <c r="H2300" s="2" t="s">
        <v>74</v>
      </c>
      <c r="I2300" s="2" t="s">
        <v>75</v>
      </c>
      <c r="J2300" s="2" t="s">
        <v>97</v>
      </c>
      <c r="K2300" s="2" t="s">
        <v>77</v>
      </c>
      <c r="L2300" s="2" t="s">
        <v>551</v>
      </c>
      <c r="M2300" s="2" t="s">
        <v>552</v>
      </c>
      <c r="N2300" s="2" t="s">
        <v>1002</v>
      </c>
      <c r="O2300" s="2" t="s">
        <v>101</v>
      </c>
      <c r="P2300" s="2" t="str">
        <f>"2170605116                    "</f>
        <v xml:space="preserve">2170605116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6.43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45.93</v>
      </c>
      <c r="BM2300" s="2">
        <v>6.43</v>
      </c>
      <c r="BN2300" s="2">
        <v>52.36</v>
      </c>
      <c r="BO2300" s="2">
        <v>52.36</v>
      </c>
      <c r="BQ2300" s="2" t="s">
        <v>102</v>
      </c>
      <c r="BR2300" s="2" t="s">
        <v>103</v>
      </c>
      <c r="BS2300" s="3">
        <v>43087</v>
      </c>
      <c r="BT2300" s="4">
        <v>0.50208333333333333</v>
      </c>
      <c r="BU2300" s="2" t="s">
        <v>1003</v>
      </c>
      <c r="BV2300" s="2" t="s">
        <v>85</v>
      </c>
      <c r="BY2300" s="2">
        <v>1200</v>
      </c>
      <c r="CA2300" s="2" t="s">
        <v>555</v>
      </c>
      <c r="CC2300" s="2" t="s">
        <v>552</v>
      </c>
      <c r="CD2300" s="2">
        <v>3310</v>
      </c>
      <c r="CE2300" s="2" t="s">
        <v>120</v>
      </c>
      <c r="CF2300" s="3">
        <v>43088</v>
      </c>
      <c r="CI2300" s="2">
        <v>1</v>
      </c>
      <c r="CJ2300" s="2">
        <v>1</v>
      </c>
      <c r="CK2300" s="2">
        <v>21</v>
      </c>
      <c r="CL2300" s="2" t="s">
        <v>89</v>
      </c>
    </row>
    <row r="2301" spans="1:90">
      <c r="A2301" s="2" t="s">
        <v>71</v>
      </c>
      <c r="B2301" s="2" t="s">
        <v>72</v>
      </c>
      <c r="C2301" s="2" t="s">
        <v>73</v>
      </c>
      <c r="E2301" s="2" t="str">
        <f>"FES1162596387"</f>
        <v>FES1162596387</v>
      </c>
      <c r="F2301" s="3">
        <v>43084</v>
      </c>
      <c r="G2301" s="2">
        <v>201806</v>
      </c>
      <c r="H2301" s="2" t="s">
        <v>74</v>
      </c>
      <c r="I2301" s="2" t="s">
        <v>75</v>
      </c>
      <c r="J2301" s="2" t="s">
        <v>97</v>
      </c>
      <c r="K2301" s="2" t="s">
        <v>77</v>
      </c>
      <c r="L2301" s="2" t="s">
        <v>158</v>
      </c>
      <c r="M2301" s="2" t="s">
        <v>159</v>
      </c>
      <c r="N2301" s="2" t="s">
        <v>475</v>
      </c>
      <c r="O2301" s="2" t="s">
        <v>101</v>
      </c>
      <c r="P2301" s="2" t="str">
        <f>"2170604797                    "</f>
        <v xml:space="preserve">2170604797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6.43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1</v>
      </c>
      <c r="BJ2301" s="2">
        <v>0.2</v>
      </c>
      <c r="BK2301" s="2">
        <v>1</v>
      </c>
      <c r="BL2301" s="2">
        <v>45.93</v>
      </c>
      <c r="BM2301" s="2">
        <v>6.43</v>
      </c>
      <c r="BN2301" s="2">
        <v>52.36</v>
      </c>
      <c r="BO2301" s="2">
        <v>52.36</v>
      </c>
      <c r="BQ2301" s="2" t="s">
        <v>1145</v>
      </c>
      <c r="BR2301" s="2" t="s">
        <v>103</v>
      </c>
      <c r="BS2301" s="3">
        <v>43087</v>
      </c>
      <c r="BT2301" s="4">
        <v>0.53819444444444442</v>
      </c>
      <c r="BU2301" s="2" t="s">
        <v>2528</v>
      </c>
      <c r="BV2301" s="2" t="s">
        <v>89</v>
      </c>
      <c r="BY2301" s="2">
        <v>1200</v>
      </c>
      <c r="CA2301" s="2" t="s">
        <v>678</v>
      </c>
      <c r="CC2301" s="2" t="s">
        <v>159</v>
      </c>
      <c r="CD2301" s="2">
        <v>184</v>
      </c>
      <c r="CE2301" s="2" t="s">
        <v>120</v>
      </c>
      <c r="CF2301" s="3">
        <v>43088</v>
      </c>
      <c r="CI2301" s="2">
        <v>1</v>
      </c>
      <c r="CJ2301" s="2">
        <v>1</v>
      </c>
      <c r="CK2301" s="2">
        <v>21</v>
      </c>
      <c r="CL2301" s="2" t="s">
        <v>89</v>
      </c>
    </row>
    <row r="2302" spans="1:90">
      <c r="A2302" s="2" t="s">
        <v>71</v>
      </c>
      <c r="B2302" s="2" t="s">
        <v>72</v>
      </c>
      <c r="C2302" s="2" t="s">
        <v>73</v>
      </c>
      <c r="E2302" s="2" t="str">
        <f>"FES1162596396"</f>
        <v>FES1162596396</v>
      </c>
      <c r="F2302" s="3">
        <v>43084</v>
      </c>
      <c r="G2302" s="2">
        <v>201806</v>
      </c>
      <c r="H2302" s="2" t="s">
        <v>74</v>
      </c>
      <c r="I2302" s="2" t="s">
        <v>75</v>
      </c>
      <c r="J2302" s="2" t="s">
        <v>97</v>
      </c>
      <c r="K2302" s="2" t="s">
        <v>77</v>
      </c>
      <c r="L2302" s="2" t="s">
        <v>136</v>
      </c>
      <c r="M2302" s="2" t="s">
        <v>137</v>
      </c>
      <c r="N2302" s="2" t="s">
        <v>974</v>
      </c>
      <c r="O2302" s="2" t="s">
        <v>101</v>
      </c>
      <c r="P2302" s="2" t="str">
        <f>"2170604944                    "</f>
        <v xml:space="preserve">2170604944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51.45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16</v>
      </c>
      <c r="BJ2302" s="2">
        <v>9.1999999999999993</v>
      </c>
      <c r="BK2302" s="2">
        <v>16</v>
      </c>
      <c r="BL2302" s="2">
        <v>367.31</v>
      </c>
      <c r="BM2302" s="2">
        <v>51.42</v>
      </c>
      <c r="BN2302" s="2">
        <v>418.73</v>
      </c>
      <c r="BO2302" s="2">
        <v>418.73</v>
      </c>
      <c r="BQ2302" s="2" t="s">
        <v>82</v>
      </c>
      <c r="BR2302" s="2" t="s">
        <v>103</v>
      </c>
      <c r="BS2302" s="3">
        <v>43087</v>
      </c>
      <c r="BT2302" s="4">
        <v>0.33055555555555555</v>
      </c>
      <c r="BU2302" s="2" t="s">
        <v>975</v>
      </c>
      <c r="BV2302" s="2" t="s">
        <v>85</v>
      </c>
      <c r="BY2302" s="2">
        <v>46121.18</v>
      </c>
      <c r="CA2302" s="2" t="s">
        <v>140</v>
      </c>
      <c r="CC2302" s="2" t="s">
        <v>137</v>
      </c>
      <c r="CD2302" s="2">
        <v>6001</v>
      </c>
      <c r="CE2302" s="2" t="s">
        <v>95</v>
      </c>
      <c r="CF2302" s="3">
        <v>43088</v>
      </c>
      <c r="CI2302" s="2">
        <v>1</v>
      </c>
      <c r="CJ2302" s="2">
        <v>1</v>
      </c>
      <c r="CK2302" s="2">
        <v>21</v>
      </c>
      <c r="CL2302" s="2" t="s">
        <v>89</v>
      </c>
    </row>
    <row r="2303" spans="1:90">
      <c r="A2303" s="2" t="s">
        <v>71</v>
      </c>
      <c r="B2303" s="2" t="s">
        <v>72</v>
      </c>
      <c r="C2303" s="2" t="s">
        <v>73</v>
      </c>
      <c r="E2303" s="2" t="str">
        <f>"FES1162596320"</f>
        <v>FES1162596320</v>
      </c>
      <c r="F2303" s="3">
        <v>43084</v>
      </c>
      <c r="G2303" s="2">
        <v>201806</v>
      </c>
      <c r="H2303" s="2" t="s">
        <v>74</v>
      </c>
      <c r="I2303" s="2" t="s">
        <v>75</v>
      </c>
      <c r="J2303" s="2" t="s">
        <v>97</v>
      </c>
      <c r="K2303" s="2" t="s">
        <v>77</v>
      </c>
      <c r="L2303" s="2" t="s">
        <v>136</v>
      </c>
      <c r="M2303" s="2" t="s">
        <v>137</v>
      </c>
      <c r="N2303" s="2" t="s">
        <v>138</v>
      </c>
      <c r="O2303" s="2" t="s">
        <v>101</v>
      </c>
      <c r="P2303" s="2" t="str">
        <f>"217065090018                  "</f>
        <v xml:space="preserve">217065090018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6.43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45.93</v>
      </c>
      <c r="BM2303" s="2">
        <v>6.43</v>
      </c>
      <c r="BN2303" s="2">
        <v>52.36</v>
      </c>
      <c r="BO2303" s="2">
        <v>52.36</v>
      </c>
      <c r="BQ2303" s="2" t="s">
        <v>82</v>
      </c>
      <c r="BR2303" s="2" t="s">
        <v>103</v>
      </c>
      <c r="BS2303" s="3">
        <v>43087</v>
      </c>
      <c r="BT2303" s="4">
        <v>0.33333333333333331</v>
      </c>
      <c r="BU2303" s="2" t="s">
        <v>139</v>
      </c>
      <c r="BV2303" s="2" t="s">
        <v>85</v>
      </c>
      <c r="BY2303" s="2">
        <v>1200</v>
      </c>
      <c r="CA2303" s="2" t="s">
        <v>140</v>
      </c>
      <c r="CC2303" s="2" t="s">
        <v>137</v>
      </c>
      <c r="CD2303" s="2">
        <v>6001</v>
      </c>
      <c r="CE2303" s="2" t="s">
        <v>120</v>
      </c>
      <c r="CF2303" s="3">
        <v>43088</v>
      </c>
      <c r="CI2303" s="2">
        <v>1</v>
      </c>
      <c r="CJ2303" s="2">
        <v>1</v>
      </c>
      <c r="CK2303" s="2">
        <v>21</v>
      </c>
      <c r="CL2303" s="2" t="s">
        <v>89</v>
      </c>
    </row>
    <row r="2304" spans="1:90">
      <c r="A2304" s="2" t="s">
        <v>71</v>
      </c>
      <c r="B2304" s="2" t="s">
        <v>72</v>
      </c>
      <c r="C2304" s="2" t="s">
        <v>73</v>
      </c>
      <c r="E2304" s="2" t="str">
        <f>"FES1162596475"</f>
        <v>FES1162596475</v>
      </c>
      <c r="F2304" s="3">
        <v>43084</v>
      </c>
      <c r="G2304" s="2">
        <v>201806</v>
      </c>
      <c r="H2304" s="2" t="s">
        <v>74</v>
      </c>
      <c r="I2304" s="2" t="s">
        <v>75</v>
      </c>
      <c r="J2304" s="2" t="s">
        <v>97</v>
      </c>
      <c r="K2304" s="2" t="s">
        <v>77</v>
      </c>
      <c r="L2304" s="2" t="s">
        <v>136</v>
      </c>
      <c r="M2304" s="2" t="s">
        <v>137</v>
      </c>
      <c r="N2304" s="2" t="s">
        <v>2529</v>
      </c>
      <c r="O2304" s="2" t="s">
        <v>101</v>
      </c>
      <c r="P2304" s="2" t="str">
        <f>"2170608147                    "</f>
        <v xml:space="preserve">2170608147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6.43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1</v>
      </c>
      <c r="BJ2304" s="2">
        <v>0.2</v>
      </c>
      <c r="BK2304" s="2">
        <v>1</v>
      </c>
      <c r="BL2304" s="2">
        <v>45.93</v>
      </c>
      <c r="BM2304" s="2">
        <v>6.43</v>
      </c>
      <c r="BN2304" s="2">
        <v>52.36</v>
      </c>
      <c r="BO2304" s="2">
        <v>52.36</v>
      </c>
      <c r="BQ2304" s="2" t="s">
        <v>82</v>
      </c>
      <c r="BR2304" s="2" t="s">
        <v>103</v>
      </c>
      <c r="BS2304" s="3">
        <v>43087</v>
      </c>
      <c r="BT2304" s="4">
        <v>0.3972222222222222</v>
      </c>
      <c r="BU2304" s="2" t="s">
        <v>2530</v>
      </c>
      <c r="BV2304" s="2" t="s">
        <v>85</v>
      </c>
      <c r="BY2304" s="2">
        <v>1200</v>
      </c>
      <c r="CA2304" s="2" t="s">
        <v>180</v>
      </c>
      <c r="CC2304" s="2" t="s">
        <v>137</v>
      </c>
      <c r="CD2304" s="2">
        <v>6001</v>
      </c>
      <c r="CE2304" s="2" t="s">
        <v>120</v>
      </c>
      <c r="CF2304" s="3">
        <v>43088</v>
      </c>
      <c r="CI2304" s="2">
        <v>1</v>
      </c>
      <c r="CJ2304" s="2">
        <v>1</v>
      </c>
      <c r="CK2304" s="2">
        <v>21</v>
      </c>
      <c r="CL2304" s="2" t="s">
        <v>89</v>
      </c>
    </row>
    <row r="2305" spans="1:90">
      <c r="A2305" s="2" t="s">
        <v>71</v>
      </c>
      <c r="B2305" s="2" t="s">
        <v>72</v>
      </c>
      <c r="C2305" s="2" t="s">
        <v>73</v>
      </c>
      <c r="E2305" s="2" t="str">
        <f>"FES1162596296"</f>
        <v>FES1162596296</v>
      </c>
      <c r="F2305" s="3">
        <v>43084</v>
      </c>
      <c r="G2305" s="2">
        <v>201806</v>
      </c>
      <c r="H2305" s="2" t="s">
        <v>74</v>
      </c>
      <c r="I2305" s="2" t="s">
        <v>75</v>
      </c>
      <c r="J2305" s="2" t="s">
        <v>97</v>
      </c>
      <c r="K2305" s="2" t="s">
        <v>77</v>
      </c>
      <c r="L2305" s="2" t="s">
        <v>547</v>
      </c>
      <c r="M2305" s="2" t="s">
        <v>548</v>
      </c>
      <c r="N2305" s="2" t="s">
        <v>1627</v>
      </c>
      <c r="O2305" s="2" t="s">
        <v>101</v>
      </c>
      <c r="P2305" s="2" t="str">
        <f>"2170608055                    "</f>
        <v xml:space="preserve">2170608055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5.03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35.89</v>
      </c>
      <c r="BM2305" s="2">
        <v>5.0199999999999996</v>
      </c>
      <c r="BN2305" s="2">
        <v>40.909999999999997</v>
      </c>
      <c r="BO2305" s="2">
        <v>40.909999999999997</v>
      </c>
      <c r="BQ2305" s="2" t="s">
        <v>102</v>
      </c>
      <c r="BR2305" s="2" t="s">
        <v>103</v>
      </c>
      <c r="BS2305" s="3">
        <v>43087</v>
      </c>
      <c r="BT2305" s="4">
        <v>0.41666666666666669</v>
      </c>
      <c r="BU2305" s="2" t="s">
        <v>2531</v>
      </c>
      <c r="BV2305" s="2" t="s">
        <v>85</v>
      </c>
      <c r="BY2305" s="2">
        <v>1200</v>
      </c>
      <c r="CA2305" s="2" t="s">
        <v>693</v>
      </c>
      <c r="CC2305" s="2" t="s">
        <v>548</v>
      </c>
      <c r="CD2305" s="2">
        <v>1501</v>
      </c>
      <c r="CE2305" s="2" t="s">
        <v>120</v>
      </c>
      <c r="CF2305" s="3">
        <v>43088</v>
      </c>
      <c r="CI2305" s="2">
        <v>1</v>
      </c>
      <c r="CJ2305" s="2">
        <v>1</v>
      </c>
      <c r="CK2305" s="2">
        <v>22</v>
      </c>
      <c r="CL2305" s="2" t="s">
        <v>89</v>
      </c>
    </row>
    <row r="2306" spans="1:90">
      <c r="A2306" s="2" t="s">
        <v>71</v>
      </c>
      <c r="B2306" s="2" t="s">
        <v>72</v>
      </c>
      <c r="C2306" s="2" t="s">
        <v>73</v>
      </c>
      <c r="E2306" s="2" t="str">
        <f>"FES1162596306"</f>
        <v>FES1162596306</v>
      </c>
      <c r="F2306" s="3">
        <v>43084</v>
      </c>
      <c r="G2306" s="2">
        <v>201806</v>
      </c>
      <c r="H2306" s="2" t="s">
        <v>74</v>
      </c>
      <c r="I2306" s="2" t="s">
        <v>75</v>
      </c>
      <c r="J2306" s="2" t="s">
        <v>97</v>
      </c>
      <c r="K2306" s="2" t="s">
        <v>77</v>
      </c>
      <c r="L2306" s="2" t="s">
        <v>74</v>
      </c>
      <c r="M2306" s="2" t="s">
        <v>75</v>
      </c>
      <c r="N2306" s="2" t="s">
        <v>1233</v>
      </c>
      <c r="O2306" s="2" t="s">
        <v>101</v>
      </c>
      <c r="P2306" s="2" t="str">
        <f>"2170608064                    "</f>
        <v xml:space="preserve">2170608064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5.03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</v>
      </c>
      <c r="BJ2306" s="2">
        <v>0.2</v>
      </c>
      <c r="BK2306" s="2">
        <v>1</v>
      </c>
      <c r="BL2306" s="2">
        <v>35.89</v>
      </c>
      <c r="BM2306" s="2">
        <v>5.0199999999999996</v>
      </c>
      <c r="BN2306" s="2">
        <v>40.909999999999997</v>
      </c>
      <c r="BO2306" s="2">
        <v>40.909999999999997</v>
      </c>
      <c r="BQ2306" s="2" t="s">
        <v>2532</v>
      </c>
      <c r="BR2306" s="2" t="s">
        <v>103</v>
      </c>
      <c r="BS2306" s="3">
        <v>43087</v>
      </c>
      <c r="BT2306" s="4">
        <v>0.77708333333333324</v>
      </c>
      <c r="BU2306" s="2" t="s">
        <v>2533</v>
      </c>
      <c r="BV2306" s="2" t="s">
        <v>89</v>
      </c>
      <c r="BY2306" s="2">
        <v>1200</v>
      </c>
      <c r="CA2306" s="2" t="s">
        <v>1411</v>
      </c>
      <c r="CC2306" s="2" t="s">
        <v>75</v>
      </c>
      <c r="CD2306" s="2">
        <v>1609</v>
      </c>
      <c r="CE2306" s="2" t="s">
        <v>120</v>
      </c>
      <c r="CF2306" s="3">
        <v>43089</v>
      </c>
      <c r="CI2306" s="2">
        <v>1</v>
      </c>
      <c r="CJ2306" s="2">
        <v>1</v>
      </c>
      <c r="CK2306" s="2">
        <v>22</v>
      </c>
      <c r="CL2306" s="2" t="s">
        <v>89</v>
      </c>
    </row>
    <row r="2307" spans="1:90">
      <c r="A2307" s="2" t="s">
        <v>71</v>
      </c>
      <c r="B2307" s="2" t="s">
        <v>72</v>
      </c>
      <c r="C2307" s="2" t="s">
        <v>73</v>
      </c>
      <c r="E2307" s="2" t="str">
        <f>"FES1162596376"</f>
        <v>FES1162596376</v>
      </c>
      <c r="F2307" s="3">
        <v>43084</v>
      </c>
      <c r="G2307" s="2">
        <v>201806</v>
      </c>
      <c r="H2307" s="2" t="s">
        <v>74</v>
      </c>
      <c r="I2307" s="2" t="s">
        <v>75</v>
      </c>
      <c r="J2307" s="2" t="s">
        <v>97</v>
      </c>
      <c r="K2307" s="2" t="s">
        <v>77</v>
      </c>
      <c r="L2307" s="2" t="s">
        <v>566</v>
      </c>
      <c r="M2307" s="2" t="s">
        <v>567</v>
      </c>
      <c r="N2307" s="2" t="s">
        <v>164</v>
      </c>
      <c r="O2307" s="2" t="s">
        <v>101</v>
      </c>
      <c r="P2307" s="2" t="str">
        <f>"2170604646                    "</f>
        <v xml:space="preserve">2170604646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9.0500000000000007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</v>
      </c>
      <c r="BJ2307" s="2">
        <v>0.2</v>
      </c>
      <c r="BK2307" s="2">
        <v>1</v>
      </c>
      <c r="BL2307" s="2">
        <v>64.599999999999994</v>
      </c>
      <c r="BM2307" s="2">
        <v>9.0399999999999991</v>
      </c>
      <c r="BN2307" s="2">
        <v>73.64</v>
      </c>
      <c r="BO2307" s="2">
        <v>73.64</v>
      </c>
      <c r="BQ2307" s="2" t="s">
        <v>102</v>
      </c>
      <c r="BR2307" s="2" t="s">
        <v>103</v>
      </c>
      <c r="BS2307" s="3">
        <v>43087</v>
      </c>
      <c r="BT2307" s="4">
        <v>0.41666666666666669</v>
      </c>
      <c r="BU2307" s="2" t="s">
        <v>641</v>
      </c>
      <c r="BV2307" s="2" t="s">
        <v>85</v>
      </c>
      <c r="BY2307" s="2">
        <v>1200</v>
      </c>
      <c r="CA2307" s="2" t="s">
        <v>2169</v>
      </c>
      <c r="CC2307" s="2" t="s">
        <v>567</v>
      </c>
      <c r="CD2307" s="2">
        <v>1754</v>
      </c>
      <c r="CE2307" s="2" t="s">
        <v>120</v>
      </c>
      <c r="CF2307" s="3">
        <v>43089</v>
      </c>
      <c r="CI2307" s="2">
        <v>1</v>
      </c>
      <c r="CJ2307" s="2">
        <v>1</v>
      </c>
      <c r="CK2307" s="2">
        <v>24</v>
      </c>
      <c r="CL2307" s="2" t="s">
        <v>89</v>
      </c>
    </row>
    <row r="2308" spans="1:90">
      <c r="A2308" s="2" t="s">
        <v>71</v>
      </c>
      <c r="B2308" s="2" t="s">
        <v>72</v>
      </c>
      <c r="C2308" s="2" t="s">
        <v>73</v>
      </c>
      <c r="E2308" s="2" t="str">
        <f>"FES1162596393"</f>
        <v>FES1162596393</v>
      </c>
      <c r="F2308" s="3">
        <v>43084</v>
      </c>
      <c r="G2308" s="2">
        <v>201806</v>
      </c>
      <c r="H2308" s="2" t="s">
        <v>74</v>
      </c>
      <c r="I2308" s="2" t="s">
        <v>75</v>
      </c>
      <c r="J2308" s="2" t="s">
        <v>97</v>
      </c>
      <c r="K2308" s="2" t="s">
        <v>77</v>
      </c>
      <c r="L2308" s="2" t="s">
        <v>136</v>
      </c>
      <c r="M2308" s="2" t="s">
        <v>137</v>
      </c>
      <c r="N2308" s="2" t="s">
        <v>662</v>
      </c>
      <c r="O2308" s="2" t="s">
        <v>101</v>
      </c>
      <c r="P2308" s="2" t="str">
        <f>"2170604920                    "</f>
        <v xml:space="preserve">2170604920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6.43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45.93</v>
      </c>
      <c r="BM2308" s="2">
        <v>6.43</v>
      </c>
      <c r="BN2308" s="2">
        <v>52.36</v>
      </c>
      <c r="BO2308" s="2">
        <v>52.36</v>
      </c>
      <c r="BQ2308" s="2" t="s">
        <v>128</v>
      </c>
      <c r="BR2308" s="2" t="s">
        <v>103</v>
      </c>
      <c r="BS2308" s="3">
        <v>43089</v>
      </c>
      <c r="BT2308" s="4">
        <v>0.45833333333333331</v>
      </c>
      <c r="BU2308" s="2" t="s">
        <v>2534</v>
      </c>
      <c r="BV2308" s="2" t="s">
        <v>89</v>
      </c>
      <c r="BW2308" s="2" t="s">
        <v>2433</v>
      </c>
      <c r="BX2308" s="2" t="s">
        <v>314</v>
      </c>
      <c r="BY2308" s="2">
        <v>1200</v>
      </c>
      <c r="CA2308" s="2" t="s">
        <v>1050</v>
      </c>
      <c r="CC2308" s="2" t="s">
        <v>137</v>
      </c>
      <c r="CD2308" s="2">
        <v>6012</v>
      </c>
      <c r="CE2308" s="2" t="s">
        <v>120</v>
      </c>
      <c r="CF2308" s="3">
        <v>43090</v>
      </c>
      <c r="CI2308" s="2">
        <v>1</v>
      </c>
      <c r="CJ2308" s="2">
        <v>3</v>
      </c>
      <c r="CK2308" s="2">
        <v>21</v>
      </c>
      <c r="CL2308" s="2" t="s">
        <v>89</v>
      </c>
    </row>
    <row r="2309" spans="1:90">
      <c r="A2309" s="2" t="s">
        <v>71</v>
      </c>
      <c r="B2309" s="2" t="s">
        <v>72</v>
      </c>
      <c r="C2309" s="2" t="s">
        <v>73</v>
      </c>
      <c r="E2309" s="2" t="str">
        <f>"FES1162596332"</f>
        <v>FES1162596332</v>
      </c>
      <c r="F2309" s="3">
        <v>43084</v>
      </c>
      <c r="G2309" s="2">
        <v>201806</v>
      </c>
      <c r="H2309" s="2" t="s">
        <v>74</v>
      </c>
      <c r="I2309" s="2" t="s">
        <v>75</v>
      </c>
      <c r="J2309" s="2" t="s">
        <v>97</v>
      </c>
      <c r="K2309" s="2" t="s">
        <v>77</v>
      </c>
      <c r="L2309" s="2" t="s">
        <v>115</v>
      </c>
      <c r="M2309" s="2" t="s">
        <v>116</v>
      </c>
      <c r="N2309" s="2" t="s">
        <v>2091</v>
      </c>
      <c r="O2309" s="2" t="s">
        <v>101</v>
      </c>
      <c r="P2309" s="2" t="str">
        <f>"2170603818                    "</f>
        <v xml:space="preserve">2170603818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5.03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1</v>
      </c>
      <c r="BJ2309" s="2">
        <v>0.2</v>
      </c>
      <c r="BK2309" s="2">
        <v>1</v>
      </c>
      <c r="BL2309" s="2">
        <v>35.89</v>
      </c>
      <c r="BM2309" s="2">
        <v>5.0199999999999996</v>
      </c>
      <c r="BN2309" s="2">
        <v>40.909999999999997</v>
      </c>
      <c r="BO2309" s="2">
        <v>40.909999999999997</v>
      </c>
      <c r="BQ2309" s="2" t="s">
        <v>2092</v>
      </c>
      <c r="BR2309" s="2" t="s">
        <v>103</v>
      </c>
      <c r="BS2309" s="3">
        <v>43087</v>
      </c>
      <c r="BT2309" s="4">
        <v>0.34722222222222227</v>
      </c>
      <c r="BU2309" s="2" t="s">
        <v>2466</v>
      </c>
      <c r="BV2309" s="2" t="s">
        <v>85</v>
      </c>
      <c r="BY2309" s="2">
        <v>1200</v>
      </c>
      <c r="CA2309" s="2" t="s">
        <v>119</v>
      </c>
      <c r="CC2309" s="2" t="s">
        <v>116</v>
      </c>
      <c r="CD2309" s="2">
        <v>1459</v>
      </c>
      <c r="CE2309" s="2" t="s">
        <v>120</v>
      </c>
      <c r="CF2309" s="3">
        <v>43089</v>
      </c>
      <c r="CI2309" s="2">
        <v>1</v>
      </c>
      <c r="CJ2309" s="2">
        <v>1</v>
      </c>
      <c r="CK2309" s="2">
        <v>22</v>
      </c>
      <c r="CL2309" s="2" t="s">
        <v>89</v>
      </c>
    </row>
    <row r="2310" spans="1:90">
      <c r="A2310" s="2" t="s">
        <v>71</v>
      </c>
      <c r="B2310" s="2" t="s">
        <v>72</v>
      </c>
      <c r="C2310" s="2" t="s">
        <v>73</v>
      </c>
      <c r="E2310" s="2" t="str">
        <f>"FES1162596371"</f>
        <v>FES1162596371</v>
      </c>
      <c r="F2310" s="3">
        <v>43084</v>
      </c>
      <c r="G2310" s="2">
        <v>201806</v>
      </c>
      <c r="H2310" s="2" t="s">
        <v>74</v>
      </c>
      <c r="I2310" s="2" t="s">
        <v>75</v>
      </c>
      <c r="J2310" s="2" t="s">
        <v>97</v>
      </c>
      <c r="K2310" s="2" t="s">
        <v>77</v>
      </c>
      <c r="L2310" s="2" t="s">
        <v>152</v>
      </c>
      <c r="M2310" s="2" t="s">
        <v>153</v>
      </c>
      <c r="N2310" s="2" t="s">
        <v>2302</v>
      </c>
      <c r="O2310" s="2" t="s">
        <v>101</v>
      </c>
      <c r="P2310" s="2" t="str">
        <f>"2170604541                    "</f>
        <v xml:space="preserve">2170604541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5.03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1</v>
      </c>
      <c r="BJ2310" s="2">
        <v>0.2</v>
      </c>
      <c r="BK2310" s="2">
        <v>1</v>
      </c>
      <c r="BL2310" s="2">
        <v>35.89</v>
      </c>
      <c r="BM2310" s="2">
        <v>5.0199999999999996</v>
      </c>
      <c r="BN2310" s="2">
        <v>40.909999999999997</v>
      </c>
      <c r="BO2310" s="2">
        <v>40.909999999999997</v>
      </c>
      <c r="BQ2310" s="2" t="s">
        <v>2303</v>
      </c>
      <c r="BR2310" s="2" t="s">
        <v>103</v>
      </c>
      <c r="BS2310" s="3">
        <v>43087</v>
      </c>
      <c r="BT2310" s="4">
        <v>0.40625</v>
      </c>
      <c r="BU2310" s="2" t="s">
        <v>2304</v>
      </c>
      <c r="BV2310" s="2" t="s">
        <v>85</v>
      </c>
      <c r="BY2310" s="2">
        <v>1200</v>
      </c>
      <c r="CA2310" s="2" t="s">
        <v>392</v>
      </c>
      <c r="CC2310" s="2" t="s">
        <v>153</v>
      </c>
      <c r="CD2310" s="2">
        <v>1406</v>
      </c>
      <c r="CE2310" s="2" t="s">
        <v>120</v>
      </c>
      <c r="CF2310" s="3">
        <v>43089</v>
      </c>
      <c r="CI2310" s="2">
        <v>1</v>
      </c>
      <c r="CJ2310" s="2">
        <v>1</v>
      </c>
      <c r="CK2310" s="2">
        <v>22</v>
      </c>
      <c r="CL2310" s="2" t="s">
        <v>89</v>
      </c>
    </row>
    <row r="2311" spans="1:90">
      <c r="A2311" s="2" t="s">
        <v>71</v>
      </c>
      <c r="B2311" s="2" t="s">
        <v>72</v>
      </c>
      <c r="C2311" s="2" t="s">
        <v>73</v>
      </c>
      <c r="E2311" s="2" t="str">
        <f>"FES1162596334"</f>
        <v>FES1162596334</v>
      </c>
      <c r="F2311" s="3">
        <v>43084</v>
      </c>
      <c r="G2311" s="2">
        <v>201806</v>
      </c>
      <c r="H2311" s="2" t="s">
        <v>74</v>
      </c>
      <c r="I2311" s="2" t="s">
        <v>75</v>
      </c>
      <c r="J2311" s="2" t="s">
        <v>97</v>
      </c>
      <c r="K2311" s="2" t="s">
        <v>77</v>
      </c>
      <c r="L2311" s="2" t="s">
        <v>325</v>
      </c>
      <c r="M2311" s="2" t="s">
        <v>326</v>
      </c>
      <c r="N2311" s="2" t="s">
        <v>1782</v>
      </c>
      <c r="O2311" s="2" t="s">
        <v>101</v>
      </c>
      <c r="P2311" s="2" t="str">
        <f>"2170603889                    "</f>
        <v xml:space="preserve">2170603889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6.43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1</v>
      </c>
      <c r="BJ2311" s="2">
        <v>0.2</v>
      </c>
      <c r="BK2311" s="2">
        <v>1</v>
      </c>
      <c r="BL2311" s="2">
        <v>45.93</v>
      </c>
      <c r="BM2311" s="2">
        <v>6.43</v>
      </c>
      <c r="BN2311" s="2">
        <v>52.36</v>
      </c>
      <c r="BO2311" s="2">
        <v>52.36</v>
      </c>
      <c r="BR2311" s="2" t="s">
        <v>103</v>
      </c>
      <c r="BS2311" s="3">
        <v>43088</v>
      </c>
      <c r="BT2311" s="4">
        <v>0.50347222222222221</v>
      </c>
      <c r="BU2311" s="2" t="s">
        <v>2535</v>
      </c>
      <c r="BV2311" s="2" t="s">
        <v>89</v>
      </c>
      <c r="BY2311" s="2">
        <v>1200</v>
      </c>
      <c r="CA2311" s="2" t="s">
        <v>2536</v>
      </c>
      <c r="CC2311" s="2" t="s">
        <v>326</v>
      </c>
      <c r="CD2311" s="2">
        <v>1939</v>
      </c>
      <c r="CE2311" s="2" t="s">
        <v>120</v>
      </c>
      <c r="CF2311" s="3">
        <v>43090</v>
      </c>
      <c r="CI2311" s="2">
        <v>1</v>
      </c>
      <c r="CJ2311" s="2">
        <v>2</v>
      </c>
      <c r="CK2311" s="2">
        <v>21</v>
      </c>
      <c r="CL2311" s="2" t="s">
        <v>89</v>
      </c>
    </row>
    <row r="2312" spans="1:90">
      <c r="A2312" s="2" t="s">
        <v>71</v>
      </c>
      <c r="B2312" s="2" t="s">
        <v>72</v>
      </c>
      <c r="C2312" s="2" t="s">
        <v>73</v>
      </c>
      <c r="E2312" s="2" t="str">
        <f>"FES1162596437"</f>
        <v>FES1162596437</v>
      </c>
      <c r="F2312" s="3">
        <v>43084</v>
      </c>
      <c r="G2312" s="2">
        <v>201806</v>
      </c>
      <c r="H2312" s="2" t="s">
        <v>74</v>
      </c>
      <c r="I2312" s="2" t="s">
        <v>75</v>
      </c>
      <c r="J2312" s="2" t="s">
        <v>97</v>
      </c>
      <c r="K2312" s="2" t="s">
        <v>77</v>
      </c>
      <c r="L2312" s="2" t="s">
        <v>173</v>
      </c>
      <c r="M2312" s="2" t="s">
        <v>174</v>
      </c>
      <c r="N2312" s="2" t="s">
        <v>2371</v>
      </c>
      <c r="O2312" s="2" t="s">
        <v>101</v>
      </c>
      <c r="P2312" s="2" t="str">
        <f>"2170608087                    "</f>
        <v xml:space="preserve">2170608087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6.43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1</v>
      </c>
      <c r="BJ2312" s="2">
        <v>0.2</v>
      </c>
      <c r="BK2312" s="2">
        <v>1</v>
      </c>
      <c r="BL2312" s="2">
        <v>45.93</v>
      </c>
      <c r="BM2312" s="2">
        <v>6.43</v>
      </c>
      <c r="BN2312" s="2">
        <v>52.36</v>
      </c>
      <c r="BO2312" s="2">
        <v>52.36</v>
      </c>
      <c r="BQ2312" s="2" t="s">
        <v>102</v>
      </c>
      <c r="BR2312" s="2" t="s">
        <v>103</v>
      </c>
      <c r="BS2312" s="3">
        <v>43088</v>
      </c>
      <c r="BT2312" s="4">
        <v>0.43124999999999997</v>
      </c>
      <c r="BU2312" s="2" t="s">
        <v>2372</v>
      </c>
      <c r="BV2312" s="2" t="s">
        <v>89</v>
      </c>
      <c r="BW2312" s="2" t="s">
        <v>313</v>
      </c>
      <c r="BX2312" s="2" t="s">
        <v>368</v>
      </c>
      <c r="BY2312" s="2">
        <v>1200</v>
      </c>
      <c r="CA2312" s="2" t="s">
        <v>1682</v>
      </c>
      <c r="CC2312" s="2" t="s">
        <v>174</v>
      </c>
      <c r="CD2312" s="2">
        <v>7441</v>
      </c>
      <c r="CE2312" s="2" t="s">
        <v>120</v>
      </c>
      <c r="CF2312" s="3">
        <v>43089</v>
      </c>
      <c r="CI2312" s="2">
        <v>1</v>
      </c>
      <c r="CJ2312" s="2">
        <v>2</v>
      </c>
      <c r="CK2312" s="2">
        <v>21</v>
      </c>
      <c r="CL2312" s="2" t="s">
        <v>89</v>
      </c>
    </row>
    <row r="2313" spans="1:90">
      <c r="A2313" s="2" t="s">
        <v>71</v>
      </c>
      <c r="B2313" s="2" t="s">
        <v>72</v>
      </c>
      <c r="C2313" s="2" t="s">
        <v>73</v>
      </c>
      <c r="E2313" s="2" t="str">
        <f>"FES1162596428"</f>
        <v>FES1162596428</v>
      </c>
      <c r="F2313" s="3">
        <v>43084</v>
      </c>
      <c r="G2313" s="2">
        <v>201806</v>
      </c>
      <c r="H2313" s="2" t="s">
        <v>74</v>
      </c>
      <c r="I2313" s="2" t="s">
        <v>75</v>
      </c>
      <c r="J2313" s="2" t="s">
        <v>97</v>
      </c>
      <c r="K2313" s="2" t="s">
        <v>77</v>
      </c>
      <c r="L2313" s="2" t="s">
        <v>158</v>
      </c>
      <c r="M2313" s="2" t="s">
        <v>159</v>
      </c>
      <c r="N2313" s="2" t="s">
        <v>966</v>
      </c>
      <c r="O2313" s="2" t="s">
        <v>101</v>
      </c>
      <c r="P2313" s="2" t="str">
        <f>"2170608058                    "</f>
        <v xml:space="preserve">2170608058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6.43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1</v>
      </c>
      <c r="BJ2313" s="2">
        <v>0.2</v>
      </c>
      <c r="BK2313" s="2">
        <v>1</v>
      </c>
      <c r="BL2313" s="2">
        <v>45.93</v>
      </c>
      <c r="BM2313" s="2">
        <v>6.43</v>
      </c>
      <c r="BN2313" s="2">
        <v>52.36</v>
      </c>
      <c r="BO2313" s="2">
        <v>52.36</v>
      </c>
      <c r="BQ2313" s="2" t="s">
        <v>102</v>
      </c>
      <c r="BR2313" s="2" t="s">
        <v>103</v>
      </c>
      <c r="BS2313" s="2" t="s">
        <v>185</v>
      </c>
      <c r="BY2313" s="2">
        <v>1200</v>
      </c>
      <c r="CC2313" s="2" t="s">
        <v>159</v>
      </c>
      <c r="CD2313" s="2">
        <v>200</v>
      </c>
      <c r="CE2313" s="2" t="s">
        <v>120</v>
      </c>
      <c r="CI2313" s="2">
        <v>1</v>
      </c>
      <c r="CJ2313" s="2" t="s">
        <v>185</v>
      </c>
      <c r="CK2313" s="2">
        <v>21</v>
      </c>
      <c r="CL2313" s="2" t="s">
        <v>89</v>
      </c>
    </row>
    <row r="2314" spans="1:90">
      <c r="A2314" s="2" t="s">
        <v>71</v>
      </c>
      <c r="B2314" s="2" t="s">
        <v>72</v>
      </c>
      <c r="C2314" s="2" t="s">
        <v>73</v>
      </c>
      <c r="E2314" s="2" t="str">
        <f>"FES1162596411"</f>
        <v>FES1162596411</v>
      </c>
      <c r="F2314" s="3">
        <v>43084</v>
      </c>
      <c r="G2314" s="2">
        <v>201806</v>
      </c>
      <c r="H2314" s="2" t="s">
        <v>74</v>
      </c>
      <c r="I2314" s="2" t="s">
        <v>75</v>
      </c>
      <c r="J2314" s="2" t="s">
        <v>97</v>
      </c>
      <c r="K2314" s="2" t="s">
        <v>77</v>
      </c>
      <c r="L2314" s="2" t="s">
        <v>145</v>
      </c>
      <c r="M2314" s="2" t="s">
        <v>146</v>
      </c>
      <c r="N2314" s="2" t="s">
        <v>1533</v>
      </c>
      <c r="O2314" s="2" t="s">
        <v>101</v>
      </c>
      <c r="P2314" s="2" t="str">
        <f>"2170606365                    "</f>
        <v xml:space="preserve">2170606365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6.43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1</v>
      </c>
      <c r="BJ2314" s="2">
        <v>0.2</v>
      </c>
      <c r="BK2314" s="2">
        <v>1</v>
      </c>
      <c r="BL2314" s="2">
        <v>45.93</v>
      </c>
      <c r="BM2314" s="2">
        <v>6.43</v>
      </c>
      <c r="BN2314" s="2">
        <v>52.36</v>
      </c>
      <c r="BO2314" s="2">
        <v>52.36</v>
      </c>
      <c r="BQ2314" s="2" t="s">
        <v>1534</v>
      </c>
      <c r="BR2314" s="2" t="s">
        <v>103</v>
      </c>
      <c r="BS2314" s="2" t="s">
        <v>185</v>
      </c>
      <c r="BY2314" s="2">
        <v>1200</v>
      </c>
      <c r="CC2314" s="2" t="s">
        <v>146</v>
      </c>
      <c r="CD2314" s="2">
        <v>5201</v>
      </c>
      <c r="CE2314" s="2" t="s">
        <v>120</v>
      </c>
      <c r="CI2314" s="2">
        <v>1</v>
      </c>
      <c r="CJ2314" s="2" t="s">
        <v>185</v>
      </c>
      <c r="CK2314" s="2">
        <v>21</v>
      </c>
      <c r="CL2314" s="2" t="s">
        <v>89</v>
      </c>
    </row>
    <row r="2315" spans="1:90">
      <c r="A2315" s="2" t="s">
        <v>71</v>
      </c>
      <c r="B2315" s="2" t="s">
        <v>72</v>
      </c>
      <c r="C2315" s="2" t="s">
        <v>73</v>
      </c>
      <c r="E2315" s="2" t="str">
        <f>"FES1162596288"</f>
        <v>FES1162596288</v>
      </c>
      <c r="F2315" s="3">
        <v>43084</v>
      </c>
      <c r="G2315" s="2">
        <v>201806</v>
      </c>
      <c r="H2315" s="2" t="s">
        <v>74</v>
      </c>
      <c r="I2315" s="2" t="s">
        <v>75</v>
      </c>
      <c r="J2315" s="2" t="s">
        <v>97</v>
      </c>
      <c r="K2315" s="2" t="s">
        <v>77</v>
      </c>
      <c r="L2315" s="2" t="s">
        <v>238</v>
      </c>
      <c r="M2315" s="2" t="s">
        <v>239</v>
      </c>
      <c r="N2315" s="2" t="s">
        <v>240</v>
      </c>
      <c r="O2315" s="2" t="s">
        <v>101</v>
      </c>
      <c r="P2315" s="2" t="str">
        <f>"2170608045                    "</f>
        <v xml:space="preserve">2170608045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9.0500000000000007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1</v>
      </c>
      <c r="BJ2315" s="2">
        <v>0.2</v>
      </c>
      <c r="BK2315" s="2">
        <v>1</v>
      </c>
      <c r="BL2315" s="2">
        <v>64.599999999999994</v>
      </c>
      <c r="BM2315" s="2">
        <v>9.0399999999999991</v>
      </c>
      <c r="BN2315" s="2">
        <v>73.64</v>
      </c>
      <c r="BO2315" s="2">
        <v>73.64</v>
      </c>
      <c r="BQ2315" s="2" t="s">
        <v>1337</v>
      </c>
      <c r="BR2315" s="2" t="s">
        <v>103</v>
      </c>
      <c r="BS2315" s="3">
        <v>43087</v>
      </c>
      <c r="BT2315" s="4">
        <v>0.60069444444444442</v>
      </c>
      <c r="BU2315" s="2" t="s">
        <v>2537</v>
      </c>
      <c r="BV2315" s="2" t="s">
        <v>89</v>
      </c>
      <c r="BW2315" s="2" t="s">
        <v>149</v>
      </c>
      <c r="BX2315" s="2" t="s">
        <v>2538</v>
      </c>
      <c r="BY2315" s="2">
        <v>1200</v>
      </c>
      <c r="CA2315" s="2" t="s">
        <v>2163</v>
      </c>
      <c r="CC2315" s="2" t="s">
        <v>239</v>
      </c>
      <c r="CD2315" s="2">
        <v>299</v>
      </c>
      <c r="CE2315" s="2" t="s">
        <v>120</v>
      </c>
      <c r="CF2315" s="3">
        <v>43089</v>
      </c>
      <c r="CI2315" s="2">
        <v>1</v>
      </c>
      <c r="CJ2315" s="2">
        <v>1</v>
      </c>
      <c r="CK2315" s="2">
        <v>24</v>
      </c>
      <c r="CL2315" s="2" t="s">
        <v>89</v>
      </c>
    </row>
    <row r="2316" spans="1:90">
      <c r="A2316" s="2" t="s">
        <v>71</v>
      </c>
      <c r="B2316" s="2" t="s">
        <v>72</v>
      </c>
      <c r="C2316" s="2" t="s">
        <v>73</v>
      </c>
      <c r="E2316" s="2" t="str">
        <f>"FES1162596486"</f>
        <v>FES1162596486</v>
      </c>
      <c r="F2316" s="3">
        <v>43084</v>
      </c>
      <c r="G2316" s="2">
        <v>201806</v>
      </c>
      <c r="H2316" s="2" t="s">
        <v>74</v>
      </c>
      <c r="I2316" s="2" t="s">
        <v>75</v>
      </c>
      <c r="J2316" s="2" t="s">
        <v>97</v>
      </c>
      <c r="K2316" s="2" t="s">
        <v>77</v>
      </c>
      <c r="L2316" s="2" t="s">
        <v>158</v>
      </c>
      <c r="M2316" s="2" t="s">
        <v>159</v>
      </c>
      <c r="N2316" s="2" t="s">
        <v>186</v>
      </c>
      <c r="O2316" s="2" t="s">
        <v>101</v>
      </c>
      <c r="P2316" s="2" t="str">
        <f>"2170608170                    "</f>
        <v xml:space="preserve">2170608170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6.43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1</v>
      </c>
      <c r="BJ2316" s="2">
        <v>0.2</v>
      </c>
      <c r="BK2316" s="2">
        <v>1</v>
      </c>
      <c r="BL2316" s="2">
        <v>45.93</v>
      </c>
      <c r="BM2316" s="2">
        <v>6.43</v>
      </c>
      <c r="BN2316" s="2">
        <v>52.36</v>
      </c>
      <c r="BO2316" s="2">
        <v>52.36</v>
      </c>
      <c r="BQ2316" s="2" t="s">
        <v>187</v>
      </c>
      <c r="BR2316" s="2" t="s">
        <v>103</v>
      </c>
      <c r="BS2316" s="3">
        <v>43087</v>
      </c>
      <c r="BT2316" s="4">
        <v>0.625</v>
      </c>
      <c r="BU2316" s="2" t="s">
        <v>1132</v>
      </c>
      <c r="BV2316" s="2" t="s">
        <v>89</v>
      </c>
      <c r="BW2316" s="2" t="s">
        <v>149</v>
      </c>
      <c r="BX2316" s="2" t="s">
        <v>2429</v>
      </c>
      <c r="BY2316" s="2">
        <v>1200</v>
      </c>
      <c r="CA2316" s="2" t="s">
        <v>322</v>
      </c>
      <c r="CC2316" s="2" t="s">
        <v>159</v>
      </c>
      <c r="CD2316" s="2">
        <v>159</v>
      </c>
      <c r="CE2316" s="2" t="s">
        <v>120</v>
      </c>
      <c r="CF2316" s="3">
        <v>43088</v>
      </c>
      <c r="CI2316" s="2">
        <v>1</v>
      </c>
      <c r="CJ2316" s="2">
        <v>1</v>
      </c>
      <c r="CK2316" s="2">
        <v>21</v>
      </c>
      <c r="CL2316" s="2" t="s">
        <v>89</v>
      </c>
    </row>
    <row r="2317" spans="1:90">
      <c r="A2317" s="2" t="s">
        <v>71</v>
      </c>
      <c r="B2317" s="2" t="s">
        <v>72</v>
      </c>
      <c r="C2317" s="2" t="s">
        <v>73</v>
      </c>
      <c r="E2317" s="2" t="str">
        <f>"FES1162596244"</f>
        <v>FES1162596244</v>
      </c>
      <c r="F2317" s="3">
        <v>43084</v>
      </c>
      <c r="G2317" s="2">
        <v>201806</v>
      </c>
      <c r="H2317" s="2" t="s">
        <v>74</v>
      </c>
      <c r="I2317" s="2" t="s">
        <v>75</v>
      </c>
      <c r="J2317" s="2" t="s">
        <v>97</v>
      </c>
      <c r="K2317" s="2" t="s">
        <v>77</v>
      </c>
      <c r="L2317" s="2" t="s">
        <v>136</v>
      </c>
      <c r="M2317" s="2" t="s">
        <v>137</v>
      </c>
      <c r="N2317" s="2" t="s">
        <v>2539</v>
      </c>
      <c r="O2317" s="2" t="s">
        <v>101</v>
      </c>
      <c r="P2317" s="2" t="str">
        <f>"2170608011                    "</f>
        <v xml:space="preserve">2170608011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9.65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3</v>
      </c>
      <c r="BJ2317" s="2">
        <v>0.2</v>
      </c>
      <c r="BK2317" s="2">
        <v>3</v>
      </c>
      <c r="BL2317" s="2">
        <v>68.89</v>
      </c>
      <c r="BM2317" s="2">
        <v>9.64</v>
      </c>
      <c r="BN2317" s="2">
        <v>78.53</v>
      </c>
      <c r="BO2317" s="2">
        <v>78.53</v>
      </c>
      <c r="BQ2317" s="2" t="s">
        <v>187</v>
      </c>
      <c r="BR2317" s="2" t="s">
        <v>103</v>
      </c>
      <c r="BS2317" s="3">
        <v>43087</v>
      </c>
      <c r="BT2317" s="4">
        <v>0.39305555555555555</v>
      </c>
      <c r="BU2317" s="2" t="s">
        <v>2334</v>
      </c>
      <c r="BV2317" s="2" t="s">
        <v>85</v>
      </c>
      <c r="BY2317" s="2">
        <v>1200</v>
      </c>
      <c r="CA2317" s="2" t="s">
        <v>140</v>
      </c>
      <c r="CC2317" s="2" t="s">
        <v>137</v>
      </c>
      <c r="CD2317" s="2">
        <v>6001</v>
      </c>
      <c r="CE2317" s="2" t="s">
        <v>120</v>
      </c>
      <c r="CF2317" s="3">
        <v>43088</v>
      </c>
      <c r="CI2317" s="2">
        <v>1</v>
      </c>
      <c r="CJ2317" s="2">
        <v>1</v>
      </c>
      <c r="CK2317" s="2">
        <v>21</v>
      </c>
      <c r="CL2317" s="2" t="s">
        <v>89</v>
      </c>
    </row>
    <row r="2318" spans="1:90">
      <c r="A2318" s="2" t="s">
        <v>71</v>
      </c>
      <c r="B2318" s="2" t="s">
        <v>72</v>
      </c>
      <c r="C2318" s="2" t="s">
        <v>73</v>
      </c>
      <c r="E2318" s="2" t="str">
        <f>"FES1162596477"</f>
        <v>FES1162596477</v>
      </c>
      <c r="F2318" s="3">
        <v>43084</v>
      </c>
      <c r="G2318" s="2">
        <v>201806</v>
      </c>
      <c r="H2318" s="2" t="s">
        <v>74</v>
      </c>
      <c r="I2318" s="2" t="s">
        <v>75</v>
      </c>
      <c r="J2318" s="2" t="s">
        <v>97</v>
      </c>
      <c r="K2318" s="2" t="s">
        <v>77</v>
      </c>
      <c r="L2318" s="2" t="s">
        <v>1976</v>
      </c>
      <c r="M2318" s="2" t="s">
        <v>1977</v>
      </c>
      <c r="N2318" s="2" t="s">
        <v>2217</v>
      </c>
      <c r="O2318" s="2" t="s">
        <v>101</v>
      </c>
      <c r="P2318" s="2" t="str">
        <f>"2170608149                    "</f>
        <v xml:space="preserve">2170608149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12.47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1</v>
      </c>
      <c r="BJ2318" s="2">
        <v>0.2</v>
      </c>
      <c r="BK2318" s="2">
        <v>1</v>
      </c>
      <c r="BL2318" s="2">
        <v>89</v>
      </c>
      <c r="BM2318" s="2">
        <v>12.46</v>
      </c>
      <c r="BN2318" s="2">
        <v>101.46</v>
      </c>
      <c r="BO2318" s="2">
        <v>101.46</v>
      </c>
      <c r="BQ2318" s="2" t="s">
        <v>2540</v>
      </c>
      <c r="BR2318" s="2" t="s">
        <v>103</v>
      </c>
      <c r="BS2318" s="3">
        <v>43087</v>
      </c>
      <c r="BT2318" s="4">
        <v>0.33333333333333331</v>
      </c>
      <c r="BU2318" s="2" t="s">
        <v>114</v>
      </c>
      <c r="BV2318" s="2" t="s">
        <v>85</v>
      </c>
      <c r="BY2318" s="2">
        <v>1200</v>
      </c>
      <c r="CC2318" s="2" t="s">
        <v>1977</v>
      </c>
      <c r="CD2318" s="2">
        <v>4339</v>
      </c>
      <c r="CE2318" s="2" t="s">
        <v>120</v>
      </c>
      <c r="CF2318" s="3">
        <v>43089</v>
      </c>
      <c r="CI2318" s="2">
        <v>1</v>
      </c>
      <c r="CJ2318" s="2">
        <v>1</v>
      </c>
      <c r="CK2318" s="2">
        <v>23</v>
      </c>
      <c r="CL2318" s="2" t="s">
        <v>89</v>
      </c>
    </row>
    <row r="2319" spans="1:90">
      <c r="A2319" s="2" t="s">
        <v>71</v>
      </c>
      <c r="B2319" s="2" t="s">
        <v>72</v>
      </c>
      <c r="C2319" s="2" t="s">
        <v>73</v>
      </c>
      <c r="E2319" s="2" t="str">
        <f>"FES1162596192"</f>
        <v>FES1162596192</v>
      </c>
      <c r="F2319" s="3">
        <v>43084</v>
      </c>
      <c r="G2319" s="2">
        <v>201806</v>
      </c>
      <c r="H2319" s="2" t="s">
        <v>74</v>
      </c>
      <c r="I2319" s="2" t="s">
        <v>75</v>
      </c>
      <c r="J2319" s="2" t="s">
        <v>97</v>
      </c>
      <c r="K2319" s="2" t="s">
        <v>77</v>
      </c>
      <c r="L2319" s="2" t="s">
        <v>173</v>
      </c>
      <c r="M2319" s="2" t="s">
        <v>174</v>
      </c>
      <c r="N2319" s="2" t="s">
        <v>802</v>
      </c>
      <c r="O2319" s="2" t="s">
        <v>101</v>
      </c>
      <c r="P2319" s="2" t="str">
        <f>"2170607943                    "</f>
        <v xml:space="preserve">2170607943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8.0399999999999991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2</v>
      </c>
      <c r="BJ2319" s="2">
        <v>2.5</v>
      </c>
      <c r="BK2319" s="2">
        <v>2.5</v>
      </c>
      <c r="BL2319" s="2">
        <v>57.41</v>
      </c>
      <c r="BM2319" s="2">
        <v>8.0399999999999991</v>
      </c>
      <c r="BN2319" s="2">
        <v>65.45</v>
      </c>
      <c r="BO2319" s="2">
        <v>65.45</v>
      </c>
      <c r="BQ2319" s="2" t="s">
        <v>102</v>
      </c>
      <c r="BR2319" s="2" t="s">
        <v>103</v>
      </c>
      <c r="BS2319" s="3">
        <v>43087</v>
      </c>
      <c r="BT2319" s="4">
        <v>0.49652777777777773</v>
      </c>
      <c r="BU2319" s="2" t="s">
        <v>1787</v>
      </c>
      <c r="BV2319" s="2" t="s">
        <v>89</v>
      </c>
      <c r="BW2319" s="2" t="s">
        <v>313</v>
      </c>
      <c r="BX2319" s="2" t="s">
        <v>368</v>
      </c>
      <c r="BY2319" s="2">
        <v>12540</v>
      </c>
      <c r="CA2319" s="2" t="s">
        <v>395</v>
      </c>
      <c r="CC2319" s="2" t="s">
        <v>174</v>
      </c>
      <c r="CD2319" s="2">
        <v>7441</v>
      </c>
      <c r="CE2319" s="2" t="s">
        <v>95</v>
      </c>
      <c r="CF2319" s="3">
        <v>43088</v>
      </c>
      <c r="CI2319" s="2">
        <v>1</v>
      </c>
      <c r="CJ2319" s="2">
        <v>1</v>
      </c>
      <c r="CK2319" s="2">
        <v>21</v>
      </c>
      <c r="CL2319" s="2" t="s">
        <v>89</v>
      </c>
    </row>
    <row r="2320" spans="1:90">
      <c r="A2320" s="2" t="s">
        <v>71</v>
      </c>
      <c r="B2320" s="2" t="s">
        <v>72</v>
      </c>
      <c r="C2320" s="2" t="s">
        <v>73</v>
      </c>
      <c r="E2320" s="2" t="str">
        <f>"FES1162596254"</f>
        <v>FES1162596254</v>
      </c>
      <c r="F2320" s="3">
        <v>43084</v>
      </c>
      <c r="G2320" s="2">
        <v>201806</v>
      </c>
      <c r="H2320" s="2" t="s">
        <v>74</v>
      </c>
      <c r="I2320" s="2" t="s">
        <v>75</v>
      </c>
      <c r="J2320" s="2" t="s">
        <v>97</v>
      </c>
      <c r="K2320" s="2" t="s">
        <v>77</v>
      </c>
      <c r="L2320" s="2" t="s">
        <v>145</v>
      </c>
      <c r="M2320" s="2" t="s">
        <v>146</v>
      </c>
      <c r="N2320" s="2" t="s">
        <v>753</v>
      </c>
      <c r="O2320" s="2" t="s">
        <v>101</v>
      </c>
      <c r="P2320" s="2" t="str">
        <f>"2170606519                    "</f>
        <v xml:space="preserve">2170606519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11.26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3.4</v>
      </c>
      <c r="BJ2320" s="2">
        <v>1.5</v>
      </c>
      <c r="BK2320" s="2">
        <v>3.5</v>
      </c>
      <c r="BL2320" s="2">
        <v>80.37</v>
      </c>
      <c r="BM2320" s="2">
        <v>11.25</v>
      </c>
      <c r="BN2320" s="2">
        <v>91.62</v>
      </c>
      <c r="BO2320" s="2">
        <v>91.62</v>
      </c>
      <c r="BQ2320" s="2" t="s">
        <v>82</v>
      </c>
      <c r="BR2320" s="2" t="s">
        <v>103</v>
      </c>
      <c r="BS2320" s="3">
        <v>43087</v>
      </c>
      <c r="BT2320" s="4">
        <v>0.40902777777777777</v>
      </c>
      <c r="BU2320" s="2" t="s">
        <v>901</v>
      </c>
      <c r="BV2320" s="2" t="s">
        <v>85</v>
      </c>
      <c r="BY2320" s="2">
        <v>7503.41</v>
      </c>
      <c r="CA2320" s="2" t="s">
        <v>754</v>
      </c>
      <c r="CC2320" s="2" t="s">
        <v>146</v>
      </c>
      <c r="CD2320" s="2">
        <v>5201</v>
      </c>
      <c r="CE2320" s="2" t="s">
        <v>95</v>
      </c>
      <c r="CF2320" s="3">
        <v>43088</v>
      </c>
      <c r="CI2320" s="2">
        <v>1</v>
      </c>
      <c r="CJ2320" s="2">
        <v>1</v>
      </c>
      <c r="CK2320" s="2">
        <v>21</v>
      </c>
      <c r="CL2320" s="2" t="s">
        <v>89</v>
      </c>
    </row>
    <row r="2321" spans="1:90">
      <c r="A2321" s="2" t="s">
        <v>71</v>
      </c>
      <c r="B2321" s="2" t="s">
        <v>72</v>
      </c>
      <c r="C2321" s="2" t="s">
        <v>73</v>
      </c>
      <c r="E2321" s="2" t="str">
        <f>"FES1162596214"</f>
        <v>FES1162596214</v>
      </c>
      <c r="F2321" s="3">
        <v>43084</v>
      </c>
      <c r="G2321" s="2">
        <v>201806</v>
      </c>
      <c r="H2321" s="2" t="s">
        <v>74</v>
      </c>
      <c r="I2321" s="2" t="s">
        <v>75</v>
      </c>
      <c r="J2321" s="2" t="s">
        <v>97</v>
      </c>
      <c r="K2321" s="2" t="s">
        <v>77</v>
      </c>
      <c r="L2321" s="2" t="s">
        <v>74</v>
      </c>
      <c r="M2321" s="2" t="s">
        <v>75</v>
      </c>
      <c r="N2321" s="2" t="s">
        <v>204</v>
      </c>
      <c r="O2321" s="2" t="s">
        <v>101</v>
      </c>
      <c r="P2321" s="2" t="str">
        <f>"2170607963                    "</f>
        <v xml:space="preserve">2170607963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5.03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5.8</v>
      </c>
      <c r="BJ2321" s="2">
        <v>3.2</v>
      </c>
      <c r="BK2321" s="2">
        <v>6</v>
      </c>
      <c r="BL2321" s="2">
        <v>35.89</v>
      </c>
      <c r="BM2321" s="2">
        <v>5.0199999999999996</v>
      </c>
      <c r="BN2321" s="2">
        <v>40.909999999999997</v>
      </c>
      <c r="BO2321" s="2">
        <v>40.909999999999997</v>
      </c>
      <c r="BQ2321" s="2" t="s">
        <v>102</v>
      </c>
      <c r="BR2321" s="2" t="s">
        <v>103</v>
      </c>
      <c r="BS2321" s="3">
        <v>43088</v>
      </c>
      <c r="BT2321" s="4">
        <v>0.30138888888888887</v>
      </c>
      <c r="BU2321" s="2" t="s">
        <v>205</v>
      </c>
      <c r="BV2321" s="2" t="s">
        <v>89</v>
      </c>
      <c r="BW2321" s="2" t="s">
        <v>149</v>
      </c>
      <c r="BX2321" s="2" t="s">
        <v>157</v>
      </c>
      <c r="BY2321" s="2">
        <v>16212.42</v>
      </c>
      <c r="CC2321" s="2" t="s">
        <v>75</v>
      </c>
      <c r="CD2321" s="2">
        <v>1645</v>
      </c>
      <c r="CE2321" s="2" t="s">
        <v>95</v>
      </c>
      <c r="CF2321" s="3">
        <v>43089</v>
      </c>
      <c r="CI2321" s="2">
        <v>1</v>
      </c>
      <c r="CJ2321" s="2">
        <v>2</v>
      </c>
      <c r="CK2321" s="2">
        <v>22</v>
      </c>
      <c r="CL2321" s="2" t="s">
        <v>89</v>
      </c>
    </row>
    <row r="2322" spans="1:90">
      <c r="A2322" s="2" t="s">
        <v>71</v>
      </c>
      <c r="B2322" s="2" t="s">
        <v>72</v>
      </c>
      <c r="C2322" s="2" t="s">
        <v>73</v>
      </c>
      <c r="E2322" s="2" t="str">
        <f>"FES1162596120"</f>
        <v>FES1162596120</v>
      </c>
      <c r="F2322" s="3">
        <v>43084</v>
      </c>
      <c r="G2322" s="2">
        <v>201806</v>
      </c>
      <c r="H2322" s="2" t="s">
        <v>74</v>
      </c>
      <c r="I2322" s="2" t="s">
        <v>75</v>
      </c>
      <c r="J2322" s="2" t="s">
        <v>97</v>
      </c>
      <c r="K2322" s="2" t="s">
        <v>77</v>
      </c>
      <c r="L2322" s="2" t="s">
        <v>272</v>
      </c>
      <c r="M2322" s="2" t="s">
        <v>272</v>
      </c>
      <c r="N2322" s="2" t="s">
        <v>596</v>
      </c>
      <c r="O2322" s="2" t="s">
        <v>101</v>
      </c>
      <c r="P2322" s="2" t="str">
        <f>"2170601270                    "</f>
        <v xml:space="preserve">2170601270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9.0500000000000007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1</v>
      </c>
      <c r="BJ2322" s="2">
        <v>0.6</v>
      </c>
      <c r="BK2322" s="2">
        <v>1</v>
      </c>
      <c r="BL2322" s="2">
        <v>64.599999999999994</v>
      </c>
      <c r="BM2322" s="2">
        <v>9.0399999999999991</v>
      </c>
      <c r="BN2322" s="2">
        <v>73.64</v>
      </c>
      <c r="BO2322" s="2">
        <v>73.64</v>
      </c>
      <c r="BQ2322" s="2" t="s">
        <v>102</v>
      </c>
      <c r="BR2322" s="2" t="s">
        <v>103</v>
      </c>
      <c r="BS2322" s="3">
        <v>43087</v>
      </c>
      <c r="BT2322" s="4">
        <v>0.4375</v>
      </c>
      <c r="BU2322" s="2" t="s">
        <v>1638</v>
      </c>
      <c r="BV2322" s="2" t="s">
        <v>85</v>
      </c>
      <c r="BY2322" s="2">
        <v>2877.44</v>
      </c>
      <c r="CC2322" s="2" t="s">
        <v>272</v>
      </c>
      <c r="CD2322" s="2">
        <v>1491</v>
      </c>
      <c r="CE2322" s="2" t="s">
        <v>95</v>
      </c>
      <c r="CF2322" s="3">
        <v>43089</v>
      </c>
      <c r="CI2322" s="2">
        <v>1</v>
      </c>
      <c r="CJ2322" s="2">
        <v>1</v>
      </c>
      <c r="CK2322" s="2">
        <v>24</v>
      </c>
      <c r="CL2322" s="2" t="s">
        <v>89</v>
      </c>
    </row>
    <row r="2323" spans="1:90">
      <c r="A2323" s="2" t="s">
        <v>71</v>
      </c>
      <c r="B2323" s="2" t="s">
        <v>72</v>
      </c>
      <c r="C2323" s="2" t="s">
        <v>73</v>
      </c>
      <c r="E2323" s="2" t="str">
        <f>"FES1162596001"</f>
        <v>FES1162596001</v>
      </c>
      <c r="F2323" s="3">
        <v>43084</v>
      </c>
      <c r="G2323" s="2">
        <v>201806</v>
      </c>
      <c r="H2323" s="2" t="s">
        <v>74</v>
      </c>
      <c r="I2323" s="2" t="s">
        <v>75</v>
      </c>
      <c r="J2323" s="2" t="s">
        <v>97</v>
      </c>
      <c r="K2323" s="2" t="s">
        <v>77</v>
      </c>
      <c r="L2323" s="2" t="s">
        <v>173</v>
      </c>
      <c r="M2323" s="2" t="s">
        <v>174</v>
      </c>
      <c r="N2323" s="2" t="s">
        <v>2541</v>
      </c>
      <c r="O2323" s="2" t="s">
        <v>101</v>
      </c>
      <c r="P2323" s="2" t="str">
        <f>"2170604685                    "</f>
        <v xml:space="preserve">2170604685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12.87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4</v>
      </c>
      <c r="BJ2323" s="2">
        <v>3.4</v>
      </c>
      <c r="BK2323" s="2">
        <v>4</v>
      </c>
      <c r="BL2323" s="2">
        <v>91.85</v>
      </c>
      <c r="BM2323" s="2">
        <v>12.86</v>
      </c>
      <c r="BN2323" s="2">
        <v>104.71</v>
      </c>
      <c r="BO2323" s="2">
        <v>104.71</v>
      </c>
      <c r="BQ2323" s="2" t="s">
        <v>128</v>
      </c>
      <c r="BR2323" s="2" t="s">
        <v>103</v>
      </c>
      <c r="BS2323" s="3">
        <v>43087</v>
      </c>
      <c r="BT2323" s="4">
        <v>0.375</v>
      </c>
      <c r="BU2323" s="2" t="s">
        <v>2542</v>
      </c>
      <c r="BV2323" s="2" t="s">
        <v>85</v>
      </c>
      <c r="BY2323" s="2">
        <v>17248</v>
      </c>
      <c r="CA2323" s="2" t="s">
        <v>2543</v>
      </c>
      <c r="CC2323" s="2" t="s">
        <v>174</v>
      </c>
      <c r="CD2323" s="2">
        <v>7490</v>
      </c>
      <c r="CE2323" s="2" t="s">
        <v>95</v>
      </c>
      <c r="CF2323" s="3">
        <v>43088</v>
      </c>
      <c r="CI2323" s="2">
        <v>1</v>
      </c>
      <c r="CJ2323" s="2">
        <v>1</v>
      </c>
      <c r="CK2323" s="2">
        <v>21</v>
      </c>
      <c r="CL2323" s="2" t="s">
        <v>89</v>
      </c>
    </row>
    <row r="2324" spans="1:90">
      <c r="A2324" s="2" t="s">
        <v>71</v>
      </c>
      <c r="B2324" s="2" t="s">
        <v>72</v>
      </c>
      <c r="C2324" s="2" t="s">
        <v>73</v>
      </c>
      <c r="E2324" s="2" t="str">
        <f>"FES1162596224"</f>
        <v>FES1162596224</v>
      </c>
      <c r="F2324" s="3">
        <v>43084</v>
      </c>
      <c r="G2324" s="2">
        <v>201806</v>
      </c>
      <c r="H2324" s="2" t="s">
        <v>74</v>
      </c>
      <c r="I2324" s="2" t="s">
        <v>75</v>
      </c>
      <c r="J2324" s="2" t="s">
        <v>97</v>
      </c>
      <c r="K2324" s="2" t="s">
        <v>77</v>
      </c>
      <c r="L2324" s="2" t="s">
        <v>106</v>
      </c>
      <c r="M2324" s="2" t="s">
        <v>107</v>
      </c>
      <c r="N2324" s="2" t="s">
        <v>1572</v>
      </c>
      <c r="O2324" s="2" t="s">
        <v>101</v>
      </c>
      <c r="P2324" s="2" t="str">
        <f>"2170607619                    "</f>
        <v xml:space="preserve">2170607619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5.03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0.6</v>
      </c>
      <c r="BK2324" s="2">
        <v>1</v>
      </c>
      <c r="BL2324" s="2">
        <v>35.89</v>
      </c>
      <c r="BM2324" s="2">
        <v>5.0199999999999996</v>
      </c>
      <c r="BN2324" s="2">
        <v>40.909999999999997</v>
      </c>
      <c r="BO2324" s="2">
        <v>40.909999999999997</v>
      </c>
      <c r="BQ2324" s="2" t="s">
        <v>128</v>
      </c>
      <c r="BR2324" s="2" t="s">
        <v>103</v>
      </c>
      <c r="BS2324" s="3">
        <v>43087</v>
      </c>
      <c r="BT2324" s="4">
        <v>0.375</v>
      </c>
      <c r="BU2324" s="2" t="s">
        <v>2544</v>
      </c>
      <c r="BV2324" s="2" t="s">
        <v>85</v>
      </c>
      <c r="BY2324" s="2">
        <v>2905.73</v>
      </c>
      <c r="CA2324" s="2" t="s">
        <v>453</v>
      </c>
      <c r="CC2324" s="2" t="s">
        <v>107</v>
      </c>
      <c r="CD2324" s="2">
        <v>2093</v>
      </c>
      <c r="CE2324" s="2" t="s">
        <v>95</v>
      </c>
      <c r="CF2324" s="3">
        <v>43089</v>
      </c>
      <c r="CI2324" s="2">
        <v>1</v>
      </c>
      <c r="CJ2324" s="2">
        <v>1</v>
      </c>
      <c r="CK2324" s="2">
        <v>22</v>
      </c>
      <c r="CL2324" s="2" t="s">
        <v>89</v>
      </c>
    </row>
    <row r="2325" spans="1:90">
      <c r="A2325" s="2" t="s">
        <v>71</v>
      </c>
      <c r="B2325" s="2" t="s">
        <v>72</v>
      </c>
      <c r="C2325" s="2" t="s">
        <v>73</v>
      </c>
      <c r="E2325" s="2" t="str">
        <f>"FES1162596491"</f>
        <v>FES1162596491</v>
      </c>
      <c r="F2325" s="3">
        <v>43084</v>
      </c>
      <c r="G2325" s="2">
        <v>201806</v>
      </c>
      <c r="H2325" s="2" t="s">
        <v>74</v>
      </c>
      <c r="I2325" s="2" t="s">
        <v>75</v>
      </c>
      <c r="J2325" s="2" t="s">
        <v>97</v>
      </c>
      <c r="K2325" s="2" t="s">
        <v>77</v>
      </c>
      <c r="L2325" s="2" t="s">
        <v>98</v>
      </c>
      <c r="M2325" s="2" t="s">
        <v>99</v>
      </c>
      <c r="N2325" s="2" t="s">
        <v>1182</v>
      </c>
      <c r="O2325" s="2" t="s">
        <v>101</v>
      </c>
      <c r="P2325" s="2" t="str">
        <f>"2170608189                    "</f>
        <v xml:space="preserve">2170608189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6.43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45.93</v>
      </c>
      <c r="BM2325" s="2">
        <v>6.43</v>
      </c>
      <c r="BN2325" s="2">
        <v>52.36</v>
      </c>
      <c r="BO2325" s="2">
        <v>52.36</v>
      </c>
      <c r="BQ2325" s="2" t="s">
        <v>82</v>
      </c>
      <c r="BR2325" s="2" t="s">
        <v>103</v>
      </c>
      <c r="BS2325" s="3">
        <v>43087</v>
      </c>
      <c r="BT2325" s="4">
        <v>0.34652777777777777</v>
      </c>
      <c r="BU2325" s="2" t="s">
        <v>1183</v>
      </c>
      <c r="BV2325" s="2" t="s">
        <v>85</v>
      </c>
      <c r="BY2325" s="2">
        <v>1200</v>
      </c>
      <c r="CA2325" s="2" t="s">
        <v>1184</v>
      </c>
      <c r="CC2325" s="2" t="s">
        <v>99</v>
      </c>
      <c r="CD2325" s="2">
        <v>3201</v>
      </c>
      <c r="CE2325" s="2" t="s">
        <v>120</v>
      </c>
      <c r="CF2325" s="3">
        <v>43088</v>
      </c>
      <c r="CI2325" s="2">
        <v>1</v>
      </c>
      <c r="CJ2325" s="2">
        <v>1</v>
      </c>
      <c r="CK2325" s="2">
        <v>21</v>
      </c>
      <c r="CL2325" s="2" t="s">
        <v>89</v>
      </c>
    </row>
    <row r="2326" spans="1:90">
      <c r="A2326" s="2" t="s">
        <v>71</v>
      </c>
      <c r="B2326" s="2" t="s">
        <v>72</v>
      </c>
      <c r="C2326" s="2" t="s">
        <v>73</v>
      </c>
      <c r="E2326" s="2" t="str">
        <f>"FES1162596145"</f>
        <v>FES1162596145</v>
      </c>
      <c r="F2326" s="3">
        <v>43084</v>
      </c>
      <c r="G2326" s="2">
        <v>201806</v>
      </c>
      <c r="H2326" s="2" t="s">
        <v>74</v>
      </c>
      <c r="I2326" s="2" t="s">
        <v>75</v>
      </c>
      <c r="J2326" s="2" t="s">
        <v>97</v>
      </c>
      <c r="K2326" s="2" t="s">
        <v>77</v>
      </c>
      <c r="L2326" s="2" t="s">
        <v>152</v>
      </c>
      <c r="M2326" s="2" t="s">
        <v>153</v>
      </c>
      <c r="N2326" s="2" t="s">
        <v>2002</v>
      </c>
      <c r="O2326" s="2" t="s">
        <v>101</v>
      </c>
      <c r="P2326" s="2" t="str">
        <f>"2170607895                    "</f>
        <v xml:space="preserve">2170607895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5.03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</v>
      </c>
      <c r="BJ2326" s="2">
        <v>0.4</v>
      </c>
      <c r="BK2326" s="2">
        <v>1</v>
      </c>
      <c r="BL2326" s="2">
        <v>35.89</v>
      </c>
      <c r="BM2326" s="2">
        <v>5.0199999999999996</v>
      </c>
      <c r="BN2326" s="2">
        <v>40.909999999999997</v>
      </c>
      <c r="BO2326" s="2">
        <v>40.909999999999997</v>
      </c>
      <c r="BQ2326" s="2" t="s">
        <v>128</v>
      </c>
      <c r="BR2326" s="2" t="s">
        <v>103</v>
      </c>
      <c r="BS2326" s="3">
        <v>43087</v>
      </c>
      <c r="BT2326" s="4">
        <v>0.40625</v>
      </c>
      <c r="BU2326" s="2" t="s">
        <v>2545</v>
      </c>
      <c r="BV2326" s="2" t="s">
        <v>85</v>
      </c>
      <c r="BY2326" s="2">
        <v>2070</v>
      </c>
      <c r="CA2326" s="2" t="s">
        <v>439</v>
      </c>
      <c r="CC2326" s="2" t="s">
        <v>153</v>
      </c>
      <c r="CD2326" s="2">
        <v>1422</v>
      </c>
      <c r="CE2326" s="2" t="s">
        <v>95</v>
      </c>
      <c r="CF2326" s="3">
        <v>43089</v>
      </c>
      <c r="CI2326" s="2">
        <v>1</v>
      </c>
      <c r="CJ2326" s="2">
        <v>1</v>
      </c>
      <c r="CK2326" s="2">
        <v>22</v>
      </c>
      <c r="CL2326" s="2" t="s">
        <v>89</v>
      </c>
    </row>
    <row r="2327" spans="1:90">
      <c r="A2327" s="2" t="s">
        <v>71</v>
      </c>
      <c r="B2327" s="2" t="s">
        <v>72</v>
      </c>
      <c r="C2327" s="2" t="s">
        <v>73</v>
      </c>
      <c r="E2327" s="2" t="str">
        <f>"FES1162596150"</f>
        <v>FES1162596150</v>
      </c>
      <c r="F2327" s="3">
        <v>43084</v>
      </c>
      <c r="G2327" s="2">
        <v>201806</v>
      </c>
      <c r="H2327" s="2" t="s">
        <v>74</v>
      </c>
      <c r="I2327" s="2" t="s">
        <v>75</v>
      </c>
      <c r="J2327" s="2" t="s">
        <v>97</v>
      </c>
      <c r="K2327" s="2" t="s">
        <v>77</v>
      </c>
      <c r="L2327" s="2" t="s">
        <v>152</v>
      </c>
      <c r="M2327" s="2" t="s">
        <v>153</v>
      </c>
      <c r="N2327" s="2" t="s">
        <v>2002</v>
      </c>
      <c r="O2327" s="2" t="s">
        <v>101</v>
      </c>
      <c r="P2327" s="2" t="str">
        <f>"2170607901                    "</f>
        <v xml:space="preserve">2170607901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5.03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4.9000000000000004</v>
      </c>
      <c r="BJ2327" s="2">
        <v>2.5</v>
      </c>
      <c r="BK2327" s="2">
        <v>5</v>
      </c>
      <c r="BL2327" s="2">
        <v>35.89</v>
      </c>
      <c r="BM2327" s="2">
        <v>5.0199999999999996</v>
      </c>
      <c r="BN2327" s="2">
        <v>40.909999999999997</v>
      </c>
      <c r="BO2327" s="2">
        <v>40.909999999999997</v>
      </c>
      <c r="BQ2327" s="2" t="s">
        <v>128</v>
      </c>
      <c r="BR2327" s="2" t="s">
        <v>103</v>
      </c>
      <c r="BS2327" s="3">
        <v>43087</v>
      </c>
      <c r="BT2327" s="4">
        <v>0.40625</v>
      </c>
      <c r="BU2327" s="2" t="s">
        <v>2545</v>
      </c>
      <c r="BV2327" s="2" t="s">
        <v>85</v>
      </c>
      <c r="BY2327" s="2">
        <v>12660.24</v>
      </c>
      <c r="CA2327" s="2" t="s">
        <v>439</v>
      </c>
      <c r="CC2327" s="2" t="s">
        <v>153</v>
      </c>
      <c r="CD2327" s="2">
        <v>1422</v>
      </c>
      <c r="CE2327" s="2" t="s">
        <v>95</v>
      </c>
      <c r="CF2327" s="3">
        <v>43089</v>
      </c>
      <c r="CI2327" s="2">
        <v>1</v>
      </c>
      <c r="CJ2327" s="2">
        <v>1</v>
      </c>
      <c r="CK2327" s="2">
        <v>22</v>
      </c>
      <c r="CL2327" s="2" t="s">
        <v>89</v>
      </c>
    </row>
    <row r="2328" spans="1:90">
      <c r="A2328" s="2" t="s">
        <v>71</v>
      </c>
      <c r="B2328" s="2" t="s">
        <v>72</v>
      </c>
      <c r="C2328" s="2" t="s">
        <v>73</v>
      </c>
      <c r="E2328" s="2" t="str">
        <f>"FES1162596482"</f>
        <v>FES1162596482</v>
      </c>
      <c r="F2328" s="3">
        <v>43084</v>
      </c>
      <c r="G2328" s="2">
        <v>201806</v>
      </c>
      <c r="H2328" s="2" t="s">
        <v>74</v>
      </c>
      <c r="I2328" s="2" t="s">
        <v>75</v>
      </c>
      <c r="J2328" s="2" t="s">
        <v>97</v>
      </c>
      <c r="K2328" s="2" t="s">
        <v>77</v>
      </c>
      <c r="L2328" s="2" t="s">
        <v>759</v>
      </c>
      <c r="M2328" s="2" t="s">
        <v>760</v>
      </c>
      <c r="N2328" s="2" t="s">
        <v>2546</v>
      </c>
      <c r="O2328" s="2" t="s">
        <v>101</v>
      </c>
      <c r="P2328" s="2" t="str">
        <f>"2170608159                    "</f>
        <v xml:space="preserve">2170608159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11.26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2.2000000000000002</v>
      </c>
      <c r="BJ2328" s="2">
        <v>3.4</v>
      </c>
      <c r="BK2328" s="2">
        <v>3.5</v>
      </c>
      <c r="BL2328" s="2">
        <v>80.37</v>
      </c>
      <c r="BM2328" s="2">
        <v>11.25</v>
      </c>
      <c r="BN2328" s="2">
        <v>91.62</v>
      </c>
      <c r="BO2328" s="2">
        <v>91.62</v>
      </c>
      <c r="BQ2328" s="2" t="s">
        <v>2547</v>
      </c>
      <c r="BR2328" s="2" t="s">
        <v>103</v>
      </c>
      <c r="BS2328" s="3">
        <v>43087</v>
      </c>
      <c r="BT2328" s="4">
        <v>0.3888888888888889</v>
      </c>
      <c r="BU2328" s="2" t="s">
        <v>2548</v>
      </c>
      <c r="BV2328" s="2" t="s">
        <v>85</v>
      </c>
      <c r="BY2328" s="2">
        <v>16937.75</v>
      </c>
      <c r="CA2328" s="2" t="s">
        <v>578</v>
      </c>
      <c r="CC2328" s="2" t="s">
        <v>760</v>
      </c>
      <c r="CD2328" s="2">
        <v>4026</v>
      </c>
      <c r="CE2328" s="2" t="s">
        <v>95</v>
      </c>
      <c r="CF2328" s="3">
        <v>43088</v>
      </c>
      <c r="CI2328" s="2">
        <v>1</v>
      </c>
      <c r="CJ2328" s="2">
        <v>1</v>
      </c>
      <c r="CK2328" s="2">
        <v>21</v>
      </c>
      <c r="CL2328" s="2" t="s">
        <v>89</v>
      </c>
    </row>
    <row r="2329" spans="1:90">
      <c r="A2329" s="2" t="s">
        <v>71</v>
      </c>
      <c r="B2329" s="2" t="s">
        <v>72</v>
      </c>
      <c r="C2329" s="2" t="s">
        <v>73</v>
      </c>
      <c r="E2329" s="2" t="str">
        <f>"FES1162596249"</f>
        <v>FES1162596249</v>
      </c>
      <c r="F2329" s="3">
        <v>43084</v>
      </c>
      <c r="G2329" s="2">
        <v>201806</v>
      </c>
      <c r="H2329" s="2" t="s">
        <v>74</v>
      </c>
      <c r="I2329" s="2" t="s">
        <v>75</v>
      </c>
      <c r="J2329" s="2" t="s">
        <v>97</v>
      </c>
      <c r="K2329" s="2" t="s">
        <v>77</v>
      </c>
      <c r="L2329" s="2" t="s">
        <v>162</v>
      </c>
      <c r="M2329" s="2" t="s">
        <v>163</v>
      </c>
      <c r="N2329" s="2" t="s">
        <v>1635</v>
      </c>
      <c r="O2329" s="2" t="s">
        <v>101</v>
      </c>
      <c r="P2329" s="2" t="str">
        <f>"2170606253                    "</f>
        <v xml:space="preserve">2170606253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5.03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1</v>
      </c>
      <c r="BJ2329" s="2">
        <v>0.2</v>
      </c>
      <c r="BK2329" s="2">
        <v>1</v>
      </c>
      <c r="BL2329" s="2">
        <v>35.89</v>
      </c>
      <c r="BM2329" s="2">
        <v>5.0199999999999996</v>
      </c>
      <c r="BN2329" s="2">
        <v>40.909999999999997</v>
      </c>
      <c r="BO2329" s="2">
        <v>40.909999999999997</v>
      </c>
      <c r="BQ2329" s="2" t="s">
        <v>1636</v>
      </c>
      <c r="BR2329" s="2" t="s">
        <v>103</v>
      </c>
      <c r="BS2329" s="3">
        <v>43087</v>
      </c>
      <c r="BT2329" s="4">
        <v>0.41666666666666669</v>
      </c>
      <c r="BU2329" s="2" t="s">
        <v>1636</v>
      </c>
      <c r="BV2329" s="2" t="s">
        <v>85</v>
      </c>
      <c r="BY2329" s="2">
        <v>1200</v>
      </c>
      <c r="CA2329" s="2" t="s">
        <v>400</v>
      </c>
      <c r="CC2329" s="2" t="s">
        <v>163</v>
      </c>
      <c r="CD2329" s="2">
        <v>1449</v>
      </c>
      <c r="CE2329" s="2" t="s">
        <v>120</v>
      </c>
      <c r="CF2329" s="3">
        <v>43088</v>
      </c>
      <c r="CI2329" s="2">
        <v>1</v>
      </c>
      <c r="CJ2329" s="2">
        <v>1</v>
      </c>
      <c r="CK2329" s="2">
        <v>22</v>
      </c>
      <c r="CL2329" s="2" t="s">
        <v>89</v>
      </c>
    </row>
    <row r="2330" spans="1:90">
      <c r="A2330" s="2" t="s">
        <v>71</v>
      </c>
      <c r="B2330" s="2" t="s">
        <v>72</v>
      </c>
      <c r="C2330" s="2" t="s">
        <v>73</v>
      </c>
      <c r="E2330" s="2" t="str">
        <f>"FES1162596289"</f>
        <v>FES1162596289</v>
      </c>
      <c r="F2330" s="3">
        <v>43084</v>
      </c>
      <c r="G2330" s="2">
        <v>201806</v>
      </c>
      <c r="H2330" s="2" t="s">
        <v>74</v>
      </c>
      <c r="I2330" s="2" t="s">
        <v>75</v>
      </c>
      <c r="J2330" s="2" t="s">
        <v>97</v>
      </c>
      <c r="K2330" s="2" t="s">
        <v>77</v>
      </c>
      <c r="L2330" s="2" t="s">
        <v>162</v>
      </c>
      <c r="M2330" s="2" t="s">
        <v>163</v>
      </c>
      <c r="N2330" s="2" t="s">
        <v>164</v>
      </c>
      <c r="O2330" s="2" t="s">
        <v>101</v>
      </c>
      <c r="P2330" s="2" t="str">
        <f>"2170608046                    "</f>
        <v xml:space="preserve">2170608046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5.03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35.89</v>
      </c>
      <c r="BM2330" s="2">
        <v>5.0199999999999996</v>
      </c>
      <c r="BN2330" s="2">
        <v>40.909999999999997</v>
      </c>
      <c r="BO2330" s="2">
        <v>40.909999999999997</v>
      </c>
      <c r="BQ2330" s="2" t="s">
        <v>102</v>
      </c>
      <c r="BR2330" s="2" t="s">
        <v>103</v>
      </c>
      <c r="BS2330" s="3">
        <v>43087</v>
      </c>
      <c r="BT2330" s="4">
        <v>0.4375</v>
      </c>
      <c r="BU2330" s="2" t="s">
        <v>2549</v>
      </c>
      <c r="BV2330" s="2" t="s">
        <v>85</v>
      </c>
      <c r="BY2330" s="2">
        <v>1200</v>
      </c>
      <c r="CC2330" s="2" t="s">
        <v>163</v>
      </c>
      <c r="CD2330" s="2">
        <v>1451</v>
      </c>
      <c r="CE2330" s="2" t="s">
        <v>120</v>
      </c>
      <c r="CF2330" s="3">
        <v>43089</v>
      </c>
      <c r="CI2330" s="2">
        <v>1</v>
      </c>
      <c r="CJ2330" s="2">
        <v>1</v>
      </c>
      <c r="CK2330" s="2">
        <v>22</v>
      </c>
      <c r="CL2330" s="2" t="s">
        <v>89</v>
      </c>
    </row>
    <row r="2331" spans="1:90">
      <c r="A2331" s="2" t="s">
        <v>71</v>
      </c>
      <c r="B2331" s="2" t="s">
        <v>72</v>
      </c>
      <c r="C2331" s="2" t="s">
        <v>73</v>
      </c>
      <c r="E2331" s="2" t="str">
        <f>"FES1162596240"</f>
        <v>FES1162596240</v>
      </c>
      <c r="F2331" s="3">
        <v>43084</v>
      </c>
      <c r="G2331" s="2">
        <v>201806</v>
      </c>
      <c r="H2331" s="2" t="s">
        <v>74</v>
      </c>
      <c r="I2331" s="2" t="s">
        <v>75</v>
      </c>
      <c r="J2331" s="2" t="s">
        <v>97</v>
      </c>
      <c r="K2331" s="2" t="s">
        <v>77</v>
      </c>
      <c r="L2331" s="2" t="s">
        <v>74</v>
      </c>
      <c r="M2331" s="2" t="s">
        <v>75</v>
      </c>
      <c r="N2331" s="2" t="s">
        <v>1233</v>
      </c>
      <c r="O2331" s="2" t="s">
        <v>101</v>
      </c>
      <c r="P2331" s="2" t="str">
        <f>"2170608007                    "</f>
        <v xml:space="preserve">2170608007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5.03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35.89</v>
      </c>
      <c r="BM2331" s="2">
        <v>5.0199999999999996</v>
      </c>
      <c r="BN2331" s="2">
        <v>40.909999999999997</v>
      </c>
      <c r="BO2331" s="2">
        <v>40.909999999999997</v>
      </c>
      <c r="BQ2331" s="2" t="s">
        <v>2532</v>
      </c>
      <c r="BR2331" s="2" t="s">
        <v>103</v>
      </c>
      <c r="BS2331" s="3">
        <v>43087</v>
      </c>
      <c r="BT2331" s="4">
        <v>0.76736111111111116</v>
      </c>
      <c r="BU2331" s="2" t="s">
        <v>2533</v>
      </c>
      <c r="BV2331" s="2" t="s">
        <v>89</v>
      </c>
      <c r="BY2331" s="2">
        <v>1200</v>
      </c>
      <c r="CA2331" s="2" t="s">
        <v>1411</v>
      </c>
      <c r="CC2331" s="2" t="s">
        <v>75</v>
      </c>
      <c r="CD2331" s="2">
        <v>1609</v>
      </c>
      <c r="CE2331" s="2" t="s">
        <v>120</v>
      </c>
      <c r="CF2331" s="3">
        <v>43089</v>
      </c>
      <c r="CI2331" s="2">
        <v>1</v>
      </c>
      <c r="CJ2331" s="2">
        <v>1</v>
      </c>
      <c r="CK2331" s="2">
        <v>22</v>
      </c>
      <c r="CL2331" s="2" t="s">
        <v>89</v>
      </c>
    </row>
    <row r="2332" spans="1:90">
      <c r="A2332" s="2" t="s">
        <v>71</v>
      </c>
      <c r="B2332" s="2" t="s">
        <v>72</v>
      </c>
      <c r="C2332" s="2" t="s">
        <v>73</v>
      </c>
      <c r="E2332" s="2" t="str">
        <f>"FES1162596232"</f>
        <v>FES1162596232</v>
      </c>
      <c r="F2332" s="3">
        <v>43084</v>
      </c>
      <c r="G2332" s="2">
        <v>201806</v>
      </c>
      <c r="H2332" s="2" t="s">
        <v>74</v>
      </c>
      <c r="I2332" s="2" t="s">
        <v>75</v>
      </c>
      <c r="J2332" s="2" t="s">
        <v>97</v>
      </c>
      <c r="K2332" s="2" t="s">
        <v>77</v>
      </c>
      <c r="L2332" s="2" t="s">
        <v>106</v>
      </c>
      <c r="M2332" s="2" t="s">
        <v>107</v>
      </c>
      <c r="N2332" s="2" t="s">
        <v>472</v>
      </c>
      <c r="O2332" s="2" t="s">
        <v>101</v>
      </c>
      <c r="P2332" s="2" t="str">
        <f>"2170607992                    "</f>
        <v xml:space="preserve">2170607992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5.03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</v>
      </c>
      <c r="BJ2332" s="2">
        <v>0.2</v>
      </c>
      <c r="BK2332" s="2">
        <v>1</v>
      </c>
      <c r="BL2332" s="2">
        <v>35.89</v>
      </c>
      <c r="BM2332" s="2">
        <v>5.0199999999999996</v>
      </c>
      <c r="BN2332" s="2">
        <v>40.909999999999997</v>
      </c>
      <c r="BO2332" s="2">
        <v>40.909999999999997</v>
      </c>
      <c r="BQ2332" s="2" t="s">
        <v>102</v>
      </c>
      <c r="BR2332" s="2" t="s">
        <v>103</v>
      </c>
      <c r="BS2332" s="2" t="s">
        <v>185</v>
      </c>
      <c r="BY2332" s="2">
        <v>1200</v>
      </c>
      <c r="CC2332" s="2" t="s">
        <v>107</v>
      </c>
      <c r="CD2332" s="2">
        <v>2197</v>
      </c>
      <c r="CE2332" s="2" t="s">
        <v>120</v>
      </c>
      <c r="CI2332" s="2">
        <v>1</v>
      </c>
      <c r="CJ2332" s="2" t="s">
        <v>185</v>
      </c>
      <c r="CK2332" s="2">
        <v>22</v>
      </c>
      <c r="CL2332" s="2" t="s">
        <v>89</v>
      </c>
    </row>
    <row r="2333" spans="1:90">
      <c r="A2333" s="2" t="s">
        <v>71</v>
      </c>
      <c r="B2333" s="2" t="s">
        <v>72</v>
      </c>
      <c r="C2333" s="2" t="s">
        <v>73</v>
      </c>
      <c r="E2333" s="2" t="str">
        <f>"FES1162596169"</f>
        <v>FES1162596169</v>
      </c>
      <c r="F2333" s="3">
        <v>43084</v>
      </c>
      <c r="G2333" s="2">
        <v>201806</v>
      </c>
      <c r="H2333" s="2" t="s">
        <v>74</v>
      </c>
      <c r="I2333" s="2" t="s">
        <v>75</v>
      </c>
      <c r="J2333" s="2" t="s">
        <v>97</v>
      </c>
      <c r="K2333" s="2" t="s">
        <v>77</v>
      </c>
      <c r="L2333" s="2" t="s">
        <v>325</v>
      </c>
      <c r="M2333" s="2" t="s">
        <v>326</v>
      </c>
      <c r="N2333" s="2" t="s">
        <v>1531</v>
      </c>
      <c r="O2333" s="2" t="s">
        <v>101</v>
      </c>
      <c r="P2333" s="2" t="str">
        <f>"2170607869                    "</f>
        <v xml:space="preserve">2170607869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6.43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45.93</v>
      </c>
      <c r="BM2333" s="2">
        <v>6.43</v>
      </c>
      <c r="BN2333" s="2">
        <v>52.36</v>
      </c>
      <c r="BO2333" s="2">
        <v>52.36</v>
      </c>
      <c r="BQ2333" s="2" t="s">
        <v>128</v>
      </c>
      <c r="BR2333" s="2" t="s">
        <v>103</v>
      </c>
      <c r="BS2333" s="3">
        <v>43087</v>
      </c>
      <c r="BT2333" s="4">
        <v>0.5</v>
      </c>
      <c r="BU2333" s="2" t="s">
        <v>1532</v>
      </c>
      <c r="BV2333" s="2" t="s">
        <v>89</v>
      </c>
      <c r="BY2333" s="2">
        <v>1200</v>
      </c>
      <c r="CC2333" s="2" t="s">
        <v>326</v>
      </c>
      <c r="CD2333" s="2">
        <v>1961</v>
      </c>
      <c r="CE2333" s="2" t="s">
        <v>120</v>
      </c>
      <c r="CF2333" s="3">
        <v>43089</v>
      </c>
      <c r="CI2333" s="2">
        <v>1</v>
      </c>
      <c r="CJ2333" s="2">
        <v>1</v>
      </c>
      <c r="CK2333" s="2">
        <v>21</v>
      </c>
      <c r="CL2333" s="2" t="s">
        <v>89</v>
      </c>
    </row>
    <row r="2334" spans="1:90">
      <c r="A2334" s="2" t="s">
        <v>71</v>
      </c>
      <c r="B2334" s="2" t="s">
        <v>72</v>
      </c>
      <c r="C2334" s="2" t="s">
        <v>73</v>
      </c>
      <c r="E2334" s="2" t="str">
        <f>"FES1162596172"</f>
        <v>FES1162596172</v>
      </c>
      <c r="F2334" s="3">
        <v>43084</v>
      </c>
      <c r="G2334" s="2">
        <v>201806</v>
      </c>
      <c r="H2334" s="2" t="s">
        <v>74</v>
      </c>
      <c r="I2334" s="2" t="s">
        <v>75</v>
      </c>
      <c r="J2334" s="2" t="s">
        <v>97</v>
      </c>
      <c r="K2334" s="2" t="s">
        <v>77</v>
      </c>
      <c r="L2334" s="2" t="s">
        <v>74</v>
      </c>
      <c r="M2334" s="2" t="s">
        <v>75</v>
      </c>
      <c r="N2334" s="2" t="s">
        <v>204</v>
      </c>
      <c r="O2334" s="2" t="s">
        <v>101</v>
      </c>
      <c r="P2334" s="2" t="str">
        <f>"2170607914                    "</f>
        <v xml:space="preserve">2170607914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5.03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35.89</v>
      </c>
      <c r="BM2334" s="2">
        <v>5.0199999999999996</v>
      </c>
      <c r="BN2334" s="2">
        <v>40.909999999999997</v>
      </c>
      <c r="BO2334" s="2">
        <v>40.909999999999997</v>
      </c>
      <c r="BQ2334" s="2" t="s">
        <v>102</v>
      </c>
      <c r="BR2334" s="2" t="s">
        <v>103</v>
      </c>
      <c r="BS2334" s="3">
        <v>43088</v>
      </c>
      <c r="BT2334" s="4">
        <v>0.30069444444444443</v>
      </c>
      <c r="BU2334" s="2" t="s">
        <v>205</v>
      </c>
      <c r="BV2334" s="2" t="s">
        <v>89</v>
      </c>
      <c r="BW2334" s="2" t="s">
        <v>149</v>
      </c>
      <c r="BX2334" s="2" t="s">
        <v>157</v>
      </c>
      <c r="BY2334" s="2">
        <v>1200</v>
      </c>
      <c r="CC2334" s="2" t="s">
        <v>75</v>
      </c>
      <c r="CD2334" s="2">
        <v>1645</v>
      </c>
      <c r="CE2334" s="2" t="s">
        <v>120</v>
      </c>
      <c r="CF2334" s="3">
        <v>43089</v>
      </c>
      <c r="CI2334" s="2">
        <v>1</v>
      </c>
      <c r="CJ2334" s="2">
        <v>2</v>
      </c>
      <c r="CK2334" s="2">
        <v>22</v>
      </c>
      <c r="CL2334" s="2" t="s">
        <v>89</v>
      </c>
    </row>
    <row r="2335" spans="1:90">
      <c r="A2335" s="2" t="s">
        <v>71</v>
      </c>
      <c r="B2335" s="2" t="s">
        <v>72</v>
      </c>
      <c r="C2335" s="2" t="s">
        <v>73</v>
      </c>
      <c r="E2335" s="2" t="str">
        <f>"FES1162596257"</f>
        <v>FES1162596257</v>
      </c>
      <c r="F2335" s="3">
        <v>43084</v>
      </c>
      <c r="G2335" s="2">
        <v>201806</v>
      </c>
      <c r="H2335" s="2" t="s">
        <v>74</v>
      </c>
      <c r="I2335" s="2" t="s">
        <v>75</v>
      </c>
      <c r="J2335" s="2" t="s">
        <v>97</v>
      </c>
      <c r="K2335" s="2" t="s">
        <v>77</v>
      </c>
      <c r="L2335" s="2" t="s">
        <v>106</v>
      </c>
      <c r="M2335" s="2" t="s">
        <v>107</v>
      </c>
      <c r="N2335" s="2" t="s">
        <v>108</v>
      </c>
      <c r="O2335" s="2" t="s">
        <v>101</v>
      </c>
      <c r="P2335" s="2" t="str">
        <f>"2170606862                    "</f>
        <v xml:space="preserve">2170606862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5.03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1</v>
      </c>
      <c r="BJ2335" s="2">
        <v>0.2</v>
      </c>
      <c r="BK2335" s="2">
        <v>1</v>
      </c>
      <c r="BL2335" s="2">
        <v>35.89</v>
      </c>
      <c r="BM2335" s="2">
        <v>5.0199999999999996</v>
      </c>
      <c r="BN2335" s="2">
        <v>40.909999999999997</v>
      </c>
      <c r="BO2335" s="2">
        <v>40.909999999999997</v>
      </c>
      <c r="BQ2335" s="2" t="s">
        <v>82</v>
      </c>
      <c r="BR2335" s="2" t="s">
        <v>103</v>
      </c>
      <c r="BS2335" s="3">
        <v>43087</v>
      </c>
      <c r="BT2335" s="4">
        <v>0.40416666666666662</v>
      </c>
      <c r="BU2335" s="2" t="s">
        <v>1227</v>
      </c>
      <c r="BV2335" s="2" t="s">
        <v>85</v>
      </c>
      <c r="BY2335" s="2">
        <v>1200</v>
      </c>
      <c r="CA2335" s="2" t="s">
        <v>110</v>
      </c>
      <c r="CC2335" s="2" t="s">
        <v>107</v>
      </c>
      <c r="CD2335" s="2">
        <v>2094</v>
      </c>
      <c r="CE2335" s="2" t="s">
        <v>120</v>
      </c>
      <c r="CF2335" s="3">
        <v>43089</v>
      </c>
      <c r="CI2335" s="2">
        <v>1</v>
      </c>
      <c r="CJ2335" s="2">
        <v>1</v>
      </c>
      <c r="CK2335" s="2">
        <v>22</v>
      </c>
      <c r="CL2335" s="2" t="s">
        <v>89</v>
      </c>
    </row>
    <row r="2336" spans="1:90">
      <c r="A2336" s="2" t="s">
        <v>71</v>
      </c>
      <c r="B2336" s="2" t="s">
        <v>72</v>
      </c>
      <c r="C2336" s="2" t="s">
        <v>73</v>
      </c>
      <c r="E2336" s="2" t="str">
        <f>"FES1162596285"</f>
        <v>FES1162596285</v>
      </c>
      <c r="F2336" s="3">
        <v>43084</v>
      </c>
      <c r="G2336" s="2">
        <v>201806</v>
      </c>
      <c r="H2336" s="2" t="s">
        <v>74</v>
      </c>
      <c r="I2336" s="2" t="s">
        <v>75</v>
      </c>
      <c r="J2336" s="2" t="s">
        <v>97</v>
      </c>
      <c r="K2336" s="2" t="s">
        <v>77</v>
      </c>
      <c r="L2336" s="2" t="s">
        <v>449</v>
      </c>
      <c r="M2336" s="2" t="s">
        <v>450</v>
      </c>
      <c r="N2336" s="2" t="s">
        <v>451</v>
      </c>
      <c r="O2336" s="2" t="s">
        <v>101</v>
      </c>
      <c r="P2336" s="2" t="str">
        <f>"2170607559                    "</f>
        <v xml:space="preserve">2170607559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5.03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0.2</v>
      </c>
      <c r="BK2336" s="2">
        <v>1</v>
      </c>
      <c r="BL2336" s="2">
        <v>35.89</v>
      </c>
      <c r="BM2336" s="2">
        <v>5.0199999999999996</v>
      </c>
      <c r="BN2336" s="2">
        <v>40.909999999999997</v>
      </c>
      <c r="BO2336" s="2">
        <v>40.909999999999997</v>
      </c>
      <c r="BQ2336" s="2" t="s">
        <v>128</v>
      </c>
      <c r="BR2336" s="2" t="s">
        <v>103</v>
      </c>
      <c r="BS2336" s="3">
        <v>43087</v>
      </c>
      <c r="BT2336" s="4">
        <v>0.36180555555555555</v>
      </c>
      <c r="BU2336" s="2" t="s">
        <v>452</v>
      </c>
      <c r="BV2336" s="2" t="s">
        <v>85</v>
      </c>
      <c r="BY2336" s="2">
        <v>1200</v>
      </c>
      <c r="CA2336" s="2" t="s">
        <v>453</v>
      </c>
      <c r="CC2336" s="2" t="s">
        <v>450</v>
      </c>
      <c r="CD2336" s="2">
        <v>1700</v>
      </c>
      <c r="CE2336" s="2" t="s">
        <v>120</v>
      </c>
      <c r="CF2336" s="3">
        <v>43089</v>
      </c>
      <c r="CI2336" s="2">
        <v>1</v>
      </c>
      <c r="CJ2336" s="2">
        <v>1</v>
      </c>
      <c r="CK2336" s="2">
        <v>22</v>
      </c>
      <c r="CL2336" s="2" t="s">
        <v>89</v>
      </c>
    </row>
    <row r="2337" spans="1:90">
      <c r="A2337" s="2" t="s">
        <v>71</v>
      </c>
      <c r="B2337" s="2" t="s">
        <v>72</v>
      </c>
      <c r="C2337" s="2" t="s">
        <v>73</v>
      </c>
      <c r="E2337" s="2" t="str">
        <f>"FES1162596256"</f>
        <v>FES1162596256</v>
      </c>
      <c r="F2337" s="3">
        <v>43084</v>
      </c>
      <c r="G2337" s="2">
        <v>201806</v>
      </c>
      <c r="H2337" s="2" t="s">
        <v>74</v>
      </c>
      <c r="I2337" s="2" t="s">
        <v>75</v>
      </c>
      <c r="J2337" s="2" t="s">
        <v>97</v>
      </c>
      <c r="K2337" s="2" t="s">
        <v>77</v>
      </c>
      <c r="L2337" s="2" t="s">
        <v>152</v>
      </c>
      <c r="M2337" s="2" t="s">
        <v>153</v>
      </c>
      <c r="N2337" s="2" t="s">
        <v>336</v>
      </c>
      <c r="O2337" s="2" t="s">
        <v>101</v>
      </c>
      <c r="P2337" s="2" t="str">
        <f>"2170606690                    "</f>
        <v xml:space="preserve">2170606690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5.03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1</v>
      </c>
      <c r="BJ2337" s="2">
        <v>0.2</v>
      </c>
      <c r="BK2337" s="2">
        <v>1</v>
      </c>
      <c r="BL2337" s="2">
        <v>35.89</v>
      </c>
      <c r="BM2337" s="2">
        <v>5.0199999999999996</v>
      </c>
      <c r="BN2337" s="2">
        <v>40.909999999999997</v>
      </c>
      <c r="BO2337" s="2">
        <v>40.909999999999997</v>
      </c>
      <c r="BQ2337" s="2" t="s">
        <v>128</v>
      </c>
      <c r="BR2337" s="2" t="s">
        <v>103</v>
      </c>
      <c r="BS2337" s="3">
        <v>43087</v>
      </c>
      <c r="BT2337" s="4">
        <v>0.53819444444444442</v>
      </c>
      <c r="BU2337" s="2" t="s">
        <v>2550</v>
      </c>
      <c r="BV2337" s="2" t="s">
        <v>89</v>
      </c>
      <c r="BY2337" s="2">
        <v>1200</v>
      </c>
      <c r="CA2337" s="2" t="s">
        <v>1511</v>
      </c>
      <c r="CC2337" s="2" t="s">
        <v>153</v>
      </c>
      <c r="CD2337" s="2">
        <v>1400</v>
      </c>
      <c r="CE2337" s="2" t="s">
        <v>120</v>
      </c>
      <c r="CI2337" s="2">
        <v>1</v>
      </c>
      <c r="CJ2337" s="2">
        <v>1</v>
      </c>
      <c r="CK2337" s="2">
        <v>22</v>
      </c>
      <c r="CL2337" s="2" t="s">
        <v>89</v>
      </c>
    </row>
    <row r="2338" spans="1:90">
      <c r="A2338" s="2" t="s">
        <v>71</v>
      </c>
      <c r="B2338" s="2" t="s">
        <v>72</v>
      </c>
      <c r="C2338" s="2" t="s">
        <v>73</v>
      </c>
      <c r="E2338" s="2" t="str">
        <f>"FES1162596231"</f>
        <v>FES1162596231</v>
      </c>
      <c r="F2338" s="3">
        <v>43084</v>
      </c>
      <c r="G2338" s="2">
        <v>201806</v>
      </c>
      <c r="H2338" s="2" t="s">
        <v>74</v>
      </c>
      <c r="I2338" s="2" t="s">
        <v>75</v>
      </c>
      <c r="J2338" s="2" t="s">
        <v>97</v>
      </c>
      <c r="K2338" s="2" t="s">
        <v>77</v>
      </c>
      <c r="L2338" s="2" t="s">
        <v>158</v>
      </c>
      <c r="M2338" s="2" t="s">
        <v>159</v>
      </c>
      <c r="N2338" s="2" t="s">
        <v>2551</v>
      </c>
      <c r="O2338" s="2" t="s">
        <v>101</v>
      </c>
      <c r="P2338" s="2" t="str">
        <f>"2170607986                    "</f>
        <v xml:space="preserve">2170607986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6.43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1</v>
      </c>
      <c r="BJ2338" s="2">
        <v>0.2</v>
      </c>
      <c r="BK2338" s="2">
        <v>1</v>
      </c>
      <c r="BL2338" s="2">
        <v>45.93</v>
      </c>
      <c r="BM2338" s="2">
        <v>6.43</v>
      </c>
      <c r="BN2338" s="2">
        <v>52.36</v>
      </c>
      <c r="BO2338" s="2">
        <v>52.36</v>
      </c>
      <c r="BQ2338" s="2" t="s">
        <v>128</v>
      </c>
      <c r="BR2338" s="2" t="s">
        <v>103</v>
      </c>
      <c r="BS2338" s="2" t="s">
        <v>185</v>
      </c>
      <c r="BY2338" s="2">
        <v>1200</v>
      </c>
      <c r="CC2338" s="2" t="s">
        <v>159</v>
      </c>
      <c r="CD2338" s="2">
        <v>127</v>
      </c>
      <c r="CE2338" s="2" t="s">
        <v>120</v>
      </c>
      <c r="CI2338" s="2">
        <v>1</v>
      </c>
      <c r="CJ2338" s="2" t="s">
        <v>185</v>
      </c>
      <c r="CK2338" s="2">
        <v>21</v>
      </c>
      <c r="CL2338" s="2" t="s">
        <v>89</v>
      </c>
    </row>
    <row r="2339" spans="1:90">
      <c r="A2339" s="2" t="s">
        <v>71</v>
      </c>
      <c r="B2339" s="2" t="s">
        <v>72</v>
      </c>
      <c r="C2339" s="2" t="s">
        <v>73</v>
      </c>
      <c r="E2339" s="2" t="str">
        <f>"FES1162596406"</f>
        <v>FES1162596406</v>
      </c>
      <c r="F2339" s="3">
        <v>43084</v>
      </c>
      <c r="G2339" s="2">
        <v>201806</v>
      </c>
      <c r="H2339" s="2" t="s">
        <v>74</v>
      </c>
      <c r="I2339" s="2" t="s">
        <v>75</v>
      </c>
      <c r="J2339" s="2" t="s">
        <v>97</v>
      </c>
      <c r="K2339" s="2" t="s">
        <v>77</v>
      </c>
      <c r="L2339" s="2" t="s">
        <v>173</v>
      </c>
      <c r="M2339" s="2" t="s">
        <v>174</v>
      </c>
      <c r="N2339" s="2" t="s">
        <v>349</v>
      </c>
      <c r="O2339" s="2" t="s">
        <v>101</v>
      </c>
      <c r="P2339" s="2" t="str">
        <f>"2170605876                    "</f>
        <v xml:space="preserve">2170605876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6.43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0.5</v>
      </c>
      <c r="BJ2339" s="2">
        <v>1.6</v>
      </c>
      <c r="BK2339" s="2">
        <v>2</v>
      </c>
      <c r="BL2339" s="2">
        <v>45.93</v>
      </c>
      <c r="BM2339" s="2">
        <v>6.43</v>
      </c>
      <c r="BN2339" s="2">
        <v>52.36</v>
      </c>
      <c r="BO2339" s="2">
        <v>52.36</v>
      </c>
      <c r="BQ2339" s="2" t="s">
        <v>879</v>
      </c>
      <c r="BR2339" s="2" t="s">
        <v>103</v>
      </c>
      <c r="BS2339" s="3">
        <v>43087</v>
      </c>
      <c r="BT2339" s="4">
        <v>0.51736111111111105</v>
      </c>
      <c r="BU2339" s="2" t="s">
        <v>350</v>
      </c>
      <c r="BV2339" s="2" t="s">
        <v>89</v>
      </c>
      <c r="BW2339" s="2" t="s">
        <v>313</v>
      </c>
      <c r="BX2339" s="2" t="s">
        <v>246</v>
      </c>
      <c r="BY2339" s="2">
        <v>8025.26</v>
      </c>
      <c r="CA2339" s="2" t="s">
        <v>1713</v>
      </c>
      <c r="CC2339" s="2" t="s">
        <v>174</v>
      </c>
      <c r="CD2339" s="2">
        <v>7800</v>
      </c>
      <c r="CE2339" s="2" t="s">
        <v>95</v>
      </c>
      <c r="CF2339" s="3">
        <v>43088</v>
      </c>
      <c r="CI2339" s="2">
        <v>1</v>
      </c>
      <c r="CJ2339" s="2">
        <v>1</v>
      </c>
      <c r="CK2339" s="2">
        <v>21</v>
      </c>
      <c r="CL2339" s="2" t="s">
        <v>89</v>
      </c>
    </row>
    <row r="2340" spans="1:90">
      <c r="A2340" s="2" t="s">
        <v>71</v>
      </c>
      <c r="B2340" s="2" t="s">
        <v>72</v>
      </c>
      <c r="C2340" s="2" t="s">
        <v>73</v>
      </c>
      <c r="E2340" s="2" t="str">
        <f>"FES1162596355"</f>
        <v>FES1162596355</v>
      </c>
      <c r="F2340" s="3">
        <v>43084</v>
      </c>
      <c r="G2340" s="2">
        <v>201806</v>
      </c>
      <c r="H2340" s="2" t="s">
        <v>74</v>
      </c>
      <c r="I2340" s="2" t="s">
        <v>75</v>
      </c>
      <c r="J2340" s="2" t="s">
        <v>97</v>
      </c>
      <c r="K2340" s="2" t="s">
        <v>77</v>
      </c>
      <c r="L2340" s="2" t="s">
        <v>526</v>
      </c>
      <c r="M2340" s="2" t="s">
        <v>527</v>
      </c>
      <c r="N2340" s="2" t="s">
        <v>797</v>
      </c>
      <c r="O2340" s="2" t="s">
        <v>101</v>
      </c>
      <c r="P2340" s="2" t="str">
        <f>"2170604210                    "</f>
        <v xml:space="preserve">2170604210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11.26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3.3</v>
      </c>
      <c r="BJ2340" s="2">
        <v>1.4</v>
      </c>
      <c r="BK2340" s="2">
        <v>3.5</v>
      </c>
      <c r="BL2340" s="2">
        <v>80.37</v>
      </c>
      <c r="BM2340" s="2">
        <v>11.25</v>
      </c>
      <c r="BN2340" s="2">
        <v>91.62</v>
      </c>
      <c r="BO2340" s="2">
        <v>91.62</v>
      </c>
      <c r="BQ2340" s="2" t="s">
        <v>798</v>
      </c>
      <c r="BR2340" s="2" t="s">
        <v>103</v>
      </c>
      <c r="BS2340" s="3">
        <v>43087</v>
      </c>
      <c r="BT2340" s="4">
        <v>0.55138888888888882</v>
      </c>
      <c r="BU2340" s="2" t="s">
        <v>2427</v>
      </c>
      <c r="BV2340" s="2" t="s">
        <v>85</v>
      </c>
      <c r="BY2340" s="2">
        <v>6993.6</v>
      </c>
      <c r="CA2340" s="2" t="s">
        <v>530</v>
      </c>
      <c r="CC2340" s="2" t="s">
        <v>527</v>
      </c>
      <c r="CD2340" s="2">
        <v>6850</v>
      </c>
      <c r="CE2340" s="2" t="s">
        <v>95</v>
      </c>
      <c r="CF2340" s="3">
        <v>43088</v>
      </c>
      <c r="CI2340" s="2">
        <v>3</v>
      </c>
      <c r="CJ2340" s="2">
        <v>1</v>
      </c>
      <c r="CK2340" s="2">
        <v>21</v>
      </c>
      <c r="CL2340" s="2" t="s">
        <v>89</v>
      </c>
    </row>
    <row r="2341" spans="1:90">
      <c r="A2341" s="2" t="s">
        <v>71</v>
      </c>
      <c r="B2341" s="2" t="s">
        <v>72</v>
      </c>
      <c r="C2341" s="2" t="s">
        <v>73</v>
      </c>
      <c r="E2341" s="2" t="str">
        <f>"FES1162596388"</f>
        <v>FES1162596388</v>
      </c>
      <c r="F2341" s="3">
        <v>43084</v>
      </c>
      <c r="G2341" s="2">
        <v>201806</v>
      </c>
      <c r="H2341" s="2" t="s">
        <v>74</v>
      </c>
      <c r="I2341" s="2" t="s">
        <v>75</v>
      </c>
      <c r="J2341" s="2" t="s">
        <v>97</v>
      </c>
      <c r="K2341" s="2" t="s">
        <v>77</v>
      </c>
      <c r="L2341" s="2" t="s">
        <v>173</v>
      </c>
      <c r="M2341" s="2" t="s">
        <v>174</v>
      </c>
      <c r="N2341" s="2" t="s">
        <v>1208</v>
      </c>
      <c r="O2341" s="2" t="s">
        <v>101</v>
      </c>
      <c r="P2341" s="2" t="str">
        <f>"2170604811                    "</f>
        <v xml:space="preserve">2170604811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6.43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0.4</v>
      </c>
      <c r="BJ2341" s="2">
        <v>0.7</v>
      </c>
      <c r="BK2341" s="2">
        <v>1</v>
      </c>
      <c r="BL2341" s="2">
        <v>45.93</v>
      </c>
      <c r="BM2341" s="2">
        <v>6.43</v>
      </c>
      <c r="BN2341" s="2">
        <v>52.36</v>
      </c>
      <c r="BO2341" s="2">
        <v>52.36</v>
      </c>
      <c r="BQ2341" s="2" t="s">
        <v>102</v>
      </c>
      <c r="BR2341" s="2" t="s">
        <v>103</v>
      </c>
      <c r="BS2341" s="3">
        <v>43087</v>
      </c>
      <c r="BT2341" s="4">
        <v>0.41666666666666669</v>
      </c>
      <c r="BU2341" s="2" t="s">
        <v>114</v>
      </c>
      <c r="BV2341" s="2" t="s">
        <v>85</v>
      </c>
      <c r="BY2341" s="2">
        <v>3351.35</v>
      </c>
      <c r="CC2341" s="2" t="s">
        <v>174</v>
      </c>
      <c r="CD2341" s="2">
        <v>7925</v>
      </c>
      <c r="CE2341" s="2" t="s">
        <v>95</v>
      </c>
      <c r="CF2341" s="3">
        <v>43088</v>
      </c>
      <c r="CI2341" s="2">
        <v>1</v>
      </c>
      <c r="CJ2341" s="2">
        <v>1</v>
      </c>
      <c r="CK2341" s="2">
        <v>21</v>
      </c>
      <c r="CL2341" s="2" t="s">
        <v>89</v>
      </c>
    </row>
    <row r="2342" spans="1:90">
      <c r="A2342" s="2" t="s">
        <v>71</v>
      </c>
      <c r="B2342" s="2" t="s">
        <v>72</v>
      </c>
      <c r="C2342" s="2" t="s">
        <v>73</v>
      </c>
      <c r="E2342" s="2" t="str">
        <f>"FES1162596315"</f>
        <v>FES1162596315</v>
      </c>
      <c r="F2342" s="3">
        <v>43084</v>
      </c>
      <c r="G2342" s="2">
        <v>201806</v>
      </c>
      <c r="H2342" s="2" t="s">
        <v>74</v>
      </c>
      <c r="I2342" s="2" t="s">
        <v>75</v>
      </c>
      <c r="J2342" s="2" t="s">
        <v>97</v>
      </c>
      <c r="K2342" s="2" t="s">
        <v>77</v>
      </c>
      <c r="L2342" s="2" t="s">
        <v>212</v>
      </c>
      <c r="M2342" s="2" t="s">
        <v>212</v>
      </c>
      <c r="N2342" s="2" t="s">
        <v>370</v>
      </c>
      <c r="O2342" s="2" t="s">
        <v>101</v>
      </c>
      <c r="P2342" s="2" t="str">
        <f>"21706057868                   "</f>
        <v xml:space="preserve">21706057868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6.43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1</v>
      </c>
      <c r="BJ2342" s="2">
        <v>0.2</v>
      </c>
      <c r="BK2342" s="2">
        <v>1</v>
      </c>
      <c r="BL2342" s="2">
        <v>45.93</v>
      </c>
      <c r="BM2342" s="2">
        <v>6.43</v>
      </c>
      <c r="BN2342" s="2">
        <v>52.36</v>
      </c>
      <c r="BO2342" s="2">
        <v>52.36</v>
      </c>
      <c r="BQ2342" s="2" t="s">
        <v>102</v>
      </c>
      <c r="BR2342" s="2" t="s">
        <v>103</v>
      </c>
      <c r="BS2342" s="3">
        <v>43087</v>
      </c>
      <c r="BT2342" s="4">
        <v>0.41666666666666669</v>
      </c>
      <c r="BU2342" s="2" t="s">
        <v>2552</v>
      </c>
      <c r="BV2342" s="2" t="s">
        <v>85</v>
      </c>
      <c r="BY2342" s="2">
        <v>1200</v>
      </c>
      <c r="CC2342" s="2" t="s">
        <v>212</v>
      </c>
      <c r="CD2342" s="2">
        <v>7646</v>
      </c>
      <c r="CE2342" s="2" t="s">
        <v>120</v>
      </c>
      <c r="CF2342" s="3">
        <v>43088</v>
      </c>
      <c r="CI2342" s="2">
        <v>1</v>
      </c>
      <c r="CJ2342" s="2">
        <v>1</v>
      </c>
      <c r="CK2342" s="2">
        <v>21</v>
      </c>
      <c r="CL2342" s="2" t="s">
        <v>89</v>
      </c>
    </row>
    <row r="2343" spans="1:90">
      <c r="A2343" s="2" t="s">
        <v>71</v>
      </c>
      <c r="B2343" s="2" t="s">
        <v>72</v>
      </c>
      <c r="C2343" s="2" t="s">
        <v>73</v>
      </c>
      <c r="E2343" s="2" t="str">
        <f>"FES1162596312"</f>
        <v>FES1162596312</v>
      </c>
      <c r="F2343" s="3">
        <v>43084</v>
      </c>
      <c r="G2343" s="2">
        <v>201806</v>
      </c>
      <c r="H2343" s="2" t="s">
        <v>74</v>
      </c>
      <c r="I2343" s="2" t="s">
        <v>75</v>
      </c>
      <c r="J2343" s="2" t="s">
        <v>97</v>
      </c>
      <c r="K2343" s="2" t="s">
        <v>77</v>
      </c>
      <c r="L2343" s="2" t="s">
        <v>173</v>
      </c>
      <c r="M2343" s="2" t="s">
        <v>174</v>
      </c>
      <c r="N2343" s="2" t="s">
        <v>376</v>
      </c>
      <c r="O2343" s="2" t="s">
        <v>101</v>
      </c>
      <c r="P2343" s="2" t="str">
        <f>"21706093129                   "</f>
        <v xml:space="preserve">21706093129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6.43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1</v>
      </c>
      <c r="BJ2343" s="2">
        <v>0.2</v>
      </c>
      <c r="BK2343" s="2">
        <v>1</v>
      </c>
      <c r="BL2343" s="2">
        <v>45.93</v>
      </c>
      <c r="BM2343" s="2">
        <v>6.43</v>
      </c>
      <c r="BN2343" s="2">
        <v>52.36</v>
      </c>
      <c r="BO2343" s="2">
        <v>52.36</v>
      </c>
      <c r="BQ2343" s="2" t="s">
        <v>102</v>
      </c>
      <c r="BR2343" s="2" t="s">
        <v>103</v>
      </c>
      <c r="BS2343" s="3">
        <v>43087</v>
      </c>
      <c r="BT2343" s="4">
        <v>0.39583333333333331</v>
      </c>
      <c r="BU2343" s="2" t="s">
        <v>2553</v>
      </c>
      <c r="BV2343" s="2" t="s">
        <v>85</v>
      </c>
      <c r="BY2343" s="2">
        <v>1200</v>
      </c>
      <c r="CA2343" s="2" t="s">
        <v>2543</v>
      </c>
      <c r="CC2343" s="2" t="s">
        <v>174</v>
      </c>
      <c r="CD2343" s="2">
        <v>7490</v>
      </c>
      <c r="CE2343" s="2" t="s">
        <v>120</v>
      </c>
      <c r="CF2343" s="3">
        <v>43088</v>
      </c>
      <c r="CI2343" s="2">
        <v>1</v>
      </c>
      <c r="CJ2343" s="2">
        <v>1</v>
      </c>
      <c r="CK2343" s="2">
        <v>21</v>
      </c>
      <c r="CL2343" s="2" t="s">
        <v>89</v>
      </c>
    </row>
    <row r="2344" spans="1:90">
      <c r="A2344" s="2" t="s">
        <v>71</v>
      </c>
      <c r="B2344" s="2" t="s">
        <v>72</v>
      </c>
      <c r="C2344" s="2" t="s">
        <v>73</v>
      </c>
      <c r="E2344" s="2" t="str">
        <f>"FES1162596434"</f>
        <v>FES1162596434</v>
      </c>
      <c r="F2344" s="3">
        <v>43084</v>
      </c>
      <c r="G2344" s="2">
        <v>201806</v>
      </c>
      <c r="H2344" s="2" t="s">
        <v>74</v>
      </c>
      <c r="I2344" s="2" t="s">
        <v>75</v>
      </c>
      <c r="J2344" s="2" t="s">
        <v>97</v>
      </c>
      <c r="K2344" s="2" t="s">
        <v>77</v>
      </c>
      <c r="L2344" s="2" t="s">
        <v>521</v>
      </c>
      <c r="M2344" s="2" t="s">
        <v>522</v>
      </c>
      <c r="N2344" s="2" t="s">
        <v>2554</v>
      </c>
      <c r="O2344" s="2" t="s">
        <v>101</v>
      </c>
      <c r="P2344" s="2" t="str">
        <f>"2170608082                    "</f>
        <v xml:space="preserve">2170608082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6.43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</v>
      </c>
      <c r="BJ2344" s="2">
        <v>0.2</v>
      </c>
      <c r="BK2344" s="2">
        <v>1</v>
      </c>
      <c r="BL2344" s="2">
        <v>45.93</v>
      </c>
      <c r="BM2344" s="2">
        <v>6.43</v>
      </c>
      <c r="BN2344" s="2">
        <v>52.36</v>
      </c>
      <c r="BO2344" s="2">
        <v>52.36</v>
      </c>
      <c r="BR2344" s="2" t="s">
        <v>103</v>
      </c>
      <c r="BS2344" s="3">
        <v>43087</v>
      </c>
      <c r="BT2344" s="4">
        <v>0.40416666666666662</v>
      </c>
      <c r="BU2344" s="2" t="s">
        <v>2555</v>
      </c>
      <c r="BV2344" s="2" t="s">
        <v>85</v>
      </c>
      <c r="BY2344" s="2">
        <v>1200</v>
      </c>
      <c r="CA2344" s="2" t="s">
        <v>525</v>
      </c>
      <c r="CC2344" s="2" t="s">
        <v>522</v>
      </c>
      <c r="CD2344" s="2">
        <v>6529</v>
      </c>
      <c r="CE2344" s="2" t="s">
        <v>120</v>
      </c>
      <c r="CF2344" s="3">
        <v>43089</v>
      </c>
      <c r="CI2344" s="2">
        <v>1</v>
      </c>
      <c r="CJ2344" s="2">
        <v>1</v>
      </c>
      <c r="CK2344" s="2">
        <v>21</v>
      </c>
      <c r="CL2344" s="2" t="s">
        <v>89</v>
      </c>
    </row>
    <row r="2345" spans="1:90">
      <c r="A2345" s="2" t="s">
        <v>71</v>
      </c>
      <c r="B2345" s="2" t="s">
        <v>72</v>
      </c>
      <c r="C2345" s="2" t="s">
        <v>73</v>
      </c>
      <c r="E2345" s="2" t="str">
        <f>"FES1162596310"</f>
        <v>FES1162596310</v>
      </c>
      <c r="F2345" s="3">
        <v>43084</v>
      </c>
      <c r="G2345" s="2">
        <v>201806</v>
      </c>
      <c r="H2345" s="2" t="s">
        <v>74</v>
      </c>
      <c r="I2345" s="2" t="s">
        <v>75</v>
      </c>
      <c r="J2345" s="2" t="s">
        <v>97</v>
      </c>
      <c r="K2345" s="2" t="s">
        <v>77</v>
      </c>
      <c r="L2345" s="2" t="s">
        <v>173</v>
      </c>
      <c r="M2345" s="2" t="s">
        <v>174</v>
      </c>
      <c r="N2345" s="2" t="s">
        <v>349</v>
      </c>
      <c r="O2345" s="2" t="s">
        <v>101</v>
      </c>
      <c r="P2345" s="2" t="str">
        <f>"21706091953                   "</f>
        <v xml:space="preserve">21706091953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6.43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1</v>
      </c>
      <c r="BJ2345" s="2">
        <v>0.2</v>
      </c>
      <c r="BK2345" s="2">
        <v>1</v>
      </c>
      <c r="BL2345" s="2">
        <v>45.93</v>
      </c>
      <c r="BM2345" s="2">
        <v>6.43</v>
      </c>
      <c r="BN2345" s="2">
        <v>52.36</v>
      </c>
      <c r="BO2345" s="2">
        <v>52.36</v>
      </c>
      <c r="BQ2345" s="2" t="s">
        <v>879</v>
      </c>
      <c r="BR2345" s="2" t="s">
        <v>103</v>
      </c>
      <c r="BS2345" s="3">
        <v>43087</v>
      </c>
      <c r="BT2345" s="4">
        <v>0.51736111111111105</v>
      </c>
      <c r="BU2345" s="2" t="s">
        <v>350</v>
      </c>
      <c r="BV2345" s="2" t="s">
        <v>89</v>
      </c>
      <c r="BW2345" s="2" t="s">
        <v>313</v>
      </c>
      <c r="BX2345" s="2" t="s">
        <v>246</v>
      </c>
      <c r="BY2345" s="2">
        <v>1200</v>
      </c>
      <c r="CA2345" s="2" t="s">
        <v>1713</v>
      </c>
      <c r="CC2345" s="2" t="s">
        <v>174</v>
      </c>
      <c r="CD2345" s="2">
        <v>7800</v>
      </c>
      <c r="CE2345" s="2" t="s">
        <v>120</v>
      </c>
      <c r="CF2345" s="3">
        <v>43088</v>
      </c>
      <c r="CI2345" s="2">
        <v>1</v>
      </c>
      <c r="CJ2345" s="2">
        <v>1</v>
      </c>
      <c r="CK2345" s="2">
        <v>21</v>
      </c>
      <c r="CL2345" s="2" t="s">
        <v>89</v>
      </c>
    </row>
    <row r="2346" spans="1:90">
      <c r="A2346" s="2" t="s">
        <v>71</v>
      </c>
      <c r="B2346" s="2" t="s">
        <v>72</v>
      </c>
      <c r="C2346" s="2" t="s">
        <v>73</v>
      </c>
      <c r="E2346" s="2" t="str">
        <f>"FES1162596422"</f>
        <v>FES1162596422</v>
      </c>
      <c r="F2346" s="3">
        <v>43084</v>
      </c>
      <c r="G2346" s="2">
        <v>201806</v>
      </c>
      <c r="H2346" s="2" t="s">
        <v>74</v>
      </c>
      <c r="I2346" s="2" t="s">
        <v>75</v>
      </c>
      <c r="J2346" s="2" t="s">
        <v>97</v>
      </c>
      <c r="K2346" s="2" t="s">
        <v>77</v>
      </c>
      <c r="L2346" s="2" t="s">
        <v>173</v>
      </c>
      <c r="M2346" s="2" t="s">
        <v>174</v>
      </c>
      <c r="N2346" s="2" t="s">
        <v>1188</v>
      </c>
      <c r="O2346" s="2" t="s">
        <v>101</v>
      </c>
      <c r="P2346" s="2" t="str">
        <f>"2170607581                    "</f>
        <v xml:space="preserve">2170607581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6.43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0.2</v>
      </c>
      <c r="BK2346" s="2">
        <v>1</v>
      </c>
      <c r="BL2346" s="2">
        <v>45.93</v>
      </c>
      <c r="BM2346" s="2">
        <v>6.43</v>
      </c>
      <c r="BN2346" s="2">
        <v>52.36</v>
      </c>
      <c r="BO2346" s="2">
        <v>52.36</v>
      </c>
      <c r="BQ2346" s="2" t="s">
        <v>128</v>
      </c>
      <c r="BR2346" s="2" t="s">
        <v>103</v>
      </c>
      <c r="BS2346" s="3">
        <v>43087</v>
      </c>
      <c r="BT2346" s="4">
        <v>0.51250000000000007</v>
      </c>
      <c r="BU2346" s="2" t="s">
        <v>2556</v>
      </c>
      <c r="BV2346" s="2" t="s">
        <v>89</v>
      </c>
      <c r="BW2346" s="2" t="s">
        <v>313</v>
      </c>
      <c r="BX2346" s="2" t="s">
        <v>246</v>
      </c>
      <c r="BY2346" s="2">
        <v>1200</v>
      </c>
      <c r="CA2346" s="2" t="s">
        <v>1713</v>
      </c>
      <c r="CC2346" s="2" t="s">
        <v>174</v>
      </c>
      <c r="CD2346" s="2">
        <v>7800</v>
      </c>
      <c r="CE2346" s="2" t="s">
        <v>120</v>
      </c>
      <c r="CF2346" s="3">
        <v>43088</v>
      </c>
      <c r="CI2346" s="2">
        <v>1</v>
      </c>
      <c r="CJ2346" s="2">
        <v>1</v>
      </c>
      <c r="CK2346" s="2">
        <v>21</v>
      </c>
      <c r="CL2346" s="2" t="s">
        <v>89</v>
      </c>
    </row>
    <row r="2347" spans="1:90">
      <c r="A2347" s="2" t="s">
        <v>71</v>
      </c>
      <c r="B2347" s="2" t="s">
        <v>72</v>
      </c>
      <c r="C2347" s="2" t="s">
        <v>73</v>
      </c>
      <c r="E2347" s="2" t="str">
        <f>"FES1162596389"</f>
        <v>FES1162596389</v>
      </c>
      <c r="F2347" s="3">
        <v>43084</v>
      </c>
      <c r="G2347" s="2">
        <v>201806</v>
      </c>
      <c r="H2347" s="2" t="s">
        <v>74</v>
      </c>
      <c r="I2347" s="2" t="s">
        <v>75</v>
      </c>
      <c r="J2347" s="2" t="s">
        <v>97</v>
      </c>
      <c r="K2347" s="2" t="s">
        <v>77</v>
      </c>
      <c r="L2347" s="2" t="s">
        <v>173</v>
      </c>
      <c r="M2347" s="2" t="s">
        <v>174</v>
      </c>
      <c r="N2347" s="2" t="s">
        <v>1477</v>
      </c>
      <c r="O2347" s="2" t="s">
        <v>101</v>
      </c>
      <c r="P2347" s="2" t="str">
        <f>"2170604873                    "</f>
        <v xml:space="preserve">2170604873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6.43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</v>
      </c>
      <c r="BJ2347" s="2">
        <v>0.2</v>
      </c>
      <c r="BK2347" s="2">
        <v>1</v>
      </c>
      <c r="BL2347" s="2">
        <v>45.93</v>
      </c>
      <c r="BM2347" s="2">
        <v>6.43</v>
      </c>
      <c r="BN2347" s="2">
        <v>52.36</v>
      </c>
      <c r="BO2347" s="2">
        <v>52.36</v>
      </c>
      <c r="BQ2347" s="2" t="s">
        <v>82</v>
      </c>
      <c r="BR2347" s="2" t="s">
        <v>103</v>
      </c>
      <c r="BS2347" s="3">
        <v>43087</v>
      </c>
      <c r="BT2347" s="4">
        <v>0.39583333333333331</v>
      </c>
      <c r="BU2347" s="2" t="s">
        <v>2557</v>
      </c>
      <c r="BV2347" s="2" t="s">
        <v>85</v>
      </c>
      <c r="BY2347" s="2">
        <v>1200</v>
      </c>
      <c r="CA2347" s="2" t="s">
        <v>2543</v>
      </c>
      <c r="CC2347" s="2" t="s">
        <v>174</v>
      </c>
      <c r="CD2347" s="2">
        <v>7490</v>
      </c>
      <c r="CE2347" s="2" t="s">
        <v>120</v>
      </c>
      <c r="CF2347" s="3">
        <v>43088</v>
      </c>
      <c r="CI2347" s="2">
        <v>1</v>
      </c>
      <c r="CJ2347" s="2">
        <v>1</v>
      </c>
      <c r="CK2347" s="2">
        <v>21</v>
      </c>
      <c r="CL2347" s="2" t="s">
        <v>89</v>
      </c>
    </row>
    <row r="2348" spans="1:90">
      <c r="A2348" s="2" t="s">
        <v>71</v>
      </c>
      <c r="B2348" s="2" t="s">
        <v>72</v>
      </c>
      <c r="C2348" s="2" t="s">
        <v>73</v>
      </c>
      <c r="E2348" s="2" t="str">
        <f>"FES1162596280"</f>
        <v>FES1162596280</v>
      </c>
      <c r="F2348" s="3">
        <v>43084</v>
      </c>
      <c r="G2348" s="2">
        <v>201806</v>
      </c>
      <c r="H2348" s="2" t="s">
        <v>74</v>
      </c>
      <c r="I2348" s="2" t="s">
        <v>75</v>
      </c>
      <c r="J2348" s="2" t="s">
        <v>97</v>
      </c>
      <c r="K2348" s="2" t="s">
        <v>77</v>
      </c>
      <c r="L2348" s="2" t="s">
        <v>521</v>
      </c>
      <c r="M2348" s="2" t="s">
        <v>522</v>
      </c>
      <c r="N2348" s="2" t="s">
        <v>523</v>
      </c>
      <c r="O2348" s="2" t="s">
        <v>101</v>
      </c>
      <c r="P2348" s="2" t="str">
        <f>"21706080236                   "</f>
        <v xml:space="preserve">21706080236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6.43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1</v>
      </c>
      <c r="BJ2348" s="2">
        <v>0.2</v>
      </c>
      <c r="BK2348" s="2">
        <v>1</v>
      </c>
      <c r="BL2348" s="2">
        <v>45.93</v>
      </c>
      <c r="BM2348" s="2">
        <v>6.43</v>
      </c>
      <c r="BN2348" s="2">
        <v>52.36</v>
      </c>
      <c r="BO2348" s="2">
        <v>52.36</v>
      </c>
      <c r="BQ2348" s="2" t="s">
        <v>102</v>
      </c>
      <c r="BR2348" s="2" t="s">
        <v>103</v>
      </c>
      <c r="BS2348" s="3">
        <v>43087</v>
      </c>
      <c r="BT2348" s="4">
        <v>0.375</v>
      </c>
      <c r="BU2348" s="2" t="s">
        <v>524</v>
      </c>
      <c r="BV2348" s="2" t="s">
        <v>85</v>
      </c>
      <c r="BY2348" s="2">
        <v>1200</v>
      </c>
      <c r="CA2348" s="2" t="s">
        <v>525</v>
      </c>
      <c r="CC2348" s="2" t="s">
        <v>522</v>
      </c>
      <c r="CD2348" s="2">
        <v>6536</v>
      </c>
      <c r="CE2348" s="2" t="s">
        <v>120</v>
      </c>
      <c r="CF2348" s="3">
        <v>43089</v>
      </c>
      <c r="CI2348" s="2">
        <v>1</v>
      </c>
      <c r="CJ2348" s="2">
        <v>1</v>
      </c>
      <c r="CK2348" s="2">
        <v>21</v>
      </c>
      <c r="CL2348" s="2" t="s">
        <v>89</v>
      </c>
    </row>
    <row r="2349" spans="1:90">
      <c r="A2349" s="2" t="s">
        <v>71</v>
      </c>
      <c r="B2349" s="2" t="s">
        <v>72</v>
      </c>
      <c r="C2349" s="2" t="s">
        <v>73</v>
      </c>
      <c r="E2349" s="2" t="str">
        <f>"FES1162594158"</f>
        <v>FES1162594158</v>
      </c>
      <c r="F2349" s="3">
        <v>43084</v>
      </c>
      <c r="G2349" s="2">
        <v>201806</v>
      </c>
      <c r="H2349" s="2" t="s">
        <v>74</v>
      </c>
      <c r="I2349" s="2" t="s">
        <v>75</v>
      </c>
      <c r="J2349" s="2" t="s">
        <v>97</v>
      </c>
      <c r="K2349" s="2" t="s">
        <v>77</v>
      </c>
      <c r="L2349" s="2" t="s">
        <v>173</v>
      </c>
      <c r="M2349" s="2" t="s">
        <v>174</v>
      </c>
      <c r="N2349" s="2" t="s">
        <v>2558</v>
      </c>
      <c r="O2349" s="2" t="s">
        <v>101</v>
      </c>
      <c r="P2349" s="2" t="str">
        <f>"2170603428                    "</f>
        <v xml:space="preserve">2170603428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6.43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45.93</v>
      </c>
      <c r="BM2349" s="2">
        <v>6.43</v>
      </c>
      <c r="BN2349" s="2">
        <v>52.36</v>
      </c>
      <c r="BO2349" s="2">
        <v>52.36</v>
      </c>
      <c r="BR2349" s="2" t="s">
        <v>103</v>
      </c>
      <c r="BS2349" s="3">
        <v>43087</v>
      </c>
      <c r="BT2349" s="4">
        <v>0.53125</v>
      </c>
      <c r="BU2349" s="2" t="s">
        <v>2559</v>
      </c>
      <c r="BV2349" s="2" t="s">
        <v>89</v>
      </c>
      <c r="BW2349" s="2" t="s">
        <v>156</v>
      </c>
      <c r="BX2349" s="2" t="s">
        <v>839</v>
      </c>
      <c r="BY2349" s="2">
        <v>1200</v>
      </c>
      <c r="CA2349" s="2" t="s">
        <v>177</v>
      </c>
      <c r="CC2349" s="2" t="s">
        <v>174</v>
      </c>
      <c r="CD2349" s="2">
        <v>7405</v>
      </c>
      <c r="CE2349" s="2" t="s">
        <v>120</v>
      </c>
      <c r="CF2349" s="3">
        <v>43088</v>
      </c>
      <c r="CI2349" s="2">
        <v>1</v>
      </c>
      <c r="CJ2349" s="2">
        <v>1</v>
      </c>
      <c r="CK2349" s="2">
        <v>21</v>
      </c>
      <c r="CL2349" s="2" t="s">
        <v>89</v>
      </c>
    </row>
    <row r="2350" spans="1:90">
      <c r="A2350" s="2" t="s">
        <v>71</v>
      </c>
      <c r="B2350" s="2" t="s">
        <v>72</v>
      </c>
      <c r="C2350" s="2" t="s">
        <v>73</v>
      </c>
      <c r="E2350" s="2" t="str">
        <f>"FES1162596330"</f>
        <v>FES1162596330</v>
      </c>
      <c r="F2350" s="3">
        <v>43084</v>
      </c>
      <c r="G2350" s="2">
        <v>201806</v>
      </c>
      <c r="H2350" s="2" t="s">
        <v>74</v>
      </c>
      <c r="I2350" s="2" t="s">
        <v>75</v>
      </c>
      <c r="J2350" s="2" t="s">
        <v>97</v>
      </c>
      <c r="K2350" s="2" t="s">
        <v>77</v>
      </c>
      <c r="L2350" s="2" t="s">
        <v>173</v>
      </c>
      <c r="M2350" s="2" t="s">
        <v>174</v>
      </c>
      <c r="N2350" s="2" t="s">
        <v>376</v>
      </c>
      <c r="O2350" s="2" t="s">
        <v>101</v>
      </c>
      <c r="P2350" s="2" t="str">
        <f>"21706034404                   "</f>
        <v xml:space="preserve">21706034404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6.43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1</v>
      </c>
      <c r="BJ2350" s="2">
        <v>0.2</v>
      </c>
      <c r="BK2350" s="2">
        <v>1</v>
      </c>
      <c r="BL2350" s="2">
        <v>45.93</v>
      </c>
      <c r="BM2350" s="2">
        <v>6.43</v>
      </c>
      <c r="BN2350" s="2">
        <v>52.36</v>
      </c>
      <c r="BO2350" s="2">
        <v>52.36</v>
      </c>
      <c r="BQ2350" s="2" t="s">
        <v>102</v>
      </c>
      <c r="BR2350" s="2" t="s">
        <v>103</v>
      </c>
      <c r="BS2350" s="3">
        <v>43087</v>
      </c>
      <c r="BT2350" s="4">
        <v>0.39374999999999999</v>
      </c>
      <c r="BU2350" s="2" t="s">
        <v>2553</v>
      </c>
      <c r="BV2350" s="2" t="s">
        <v>85</v>
      </c>
      <c r="BY2350" s="2">
        <v>1200</v>
      </c>
      <c r="CA2350" s="2" t="s">
        <v>2543</v>
      </c>
      <c r="CC2350" s="2" t="s">
        <v>174</v>
      </c>
      <c r="CD2350" s="2">
        <v>7490</v>
      </c>
      <c r="CE2350" s="2" t="s">
        <v>120</v>
      </c>
      <c r="CF2350" s="3">
        <v>43088</v>
      </c>
      <c r="CI2350" s="2">
        <v>1</v>
      </c>
      <c r="CJ2350" s="2">
        <v>1</v>
      </c>
      <c r="CK2350" s="2">
        <v>21</v>
      </c>
      <c r="CL2350" s="2" t="s">
        <v>89</v>
      </c>
    </row>
    <row r="2351" spans="1:90">
      <c r="A2351" s="2" t="s">
        <v>71</v>
      </c>
      <c r="B2351" s="2" t="s">
        <v>72</v>
      </c>
      <c r="C2351" s="2" t="s">
        <v>73</v>
      </c>
      <c r="E2351" s="2" t="str">
        <f>"FES1162596255"</f>
        <v>FES1162596255</v>
      </c>
      <c r="F2351" s="3">
        <v>43084</v>
      </c>
      <c r="G2351" s="2">
        <v>201806</v>
      </c>
      <c r="H2351" s="2" t="s">
        <v>74</v>
      </c>
      <c r="I2351" s="2" t="s">
        <v>75</v>
      </c>
      <c r="J2351" s="2" t="s">
        <v>97</v>
      </c>
      <c r="K2351" s="2" t="s">
        <v>77</v>
      </c>
      <c r="L2351" s="2" t="s">
        <v>173</v>
      </c>
      <c r="M2351" s="2" t="s">
        <v>174</v>
      </c>
      <c r="N2351" s="2" t="s">
        <v>802</v>
      </c>
      <c r="O2351" s="2" t="s">
        <v>101</v>
      </c>
      <c r="P2351" s="2" t="str">
        <f>"2170606625                    "</f>
        <v xml:space="preserve">2170606625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6.43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</v>
      </c>
      <c r="BJ2351" s="2">
        <v>0.2</v>
      </c>
      <c r="BK2351" s="2">
        <v>1</v>
      </c>
      <c r="BL2351" s="2">
        <v>45.93</v>
      </c>
      <c r="BM2351" s="2">
        <v>6.43</v>
      </c>
      <c r="BN2351" s="2">
        <v>52.36</v>
      </c>
      <c r="BO2351" s="2">
        <v>52.36</v>
      </c>
      <c r="BQ2351" s="2" t="s">
        <v>102</v>
      </c>
      <c r="BR2351" s="2" t="s">
        <v>103</v>
      </c>
      <c r="BS2351" s="3">
        <v>43087</v>
      </c>
      <c r="BT2351" s="4">
        <v>0.41666666666666669</v>
      </c>
      <c r="BU2351" s="2" t="s">
        <v>1787</v>
      </c>
      <c r="BV2351" s="2" t="s">
        <v>85</v>
      </c>
      <c r="BY2351" s="2">
        <v>1200</v>
      </c>
      <c r="CA2351" s="2" t="s">
        <v>395</v>
      </c>
      <c r="CC2351" s="2" t="s">
        <v>174</v>
      </c>
      <c r="CD2351" s="2">
        <v>7441</v>
      </c>
      <c r="CE2351" s="2" t="s">
        <v>120</v>
      </c>
      <c r="CF2351" s="3">
        <v>43088</v>
      </c>
      <c r="CI2351" s="2">
        <v>1</v>
      </c>
      <c r="CJ2351" s="2">
        <v>1</v>
      </c>
      <c r="CK2351" s="2">
        <v>21</v>
      </c>
      <c r="CL2351" s="2" t="s">
        <v>89</v>
      </c>
    </row>
    <row r="2352" spans="1:90">
      <c r="A2352" s="2" t="s">
        <v>71</v>
      </c>
      <c r="B2352" s="2" t="s">
        <v>72</v>
      </c>
      <c r="C2352" s="2" t="s">
        <v>73</v>
      </c>
      <c r="E2352" s="2" t="str">
        <f>"FES1162596372"</f>
        <v>FES1162596372</v>
      </c>
      <c r="F2352" s="3">
        <v>43084</v>
      </c>
      <c r="G2352" s="2">
        <v>201806</v>
      </c>
      <c r="H2352" s="2" t="s">
        <v>74</v>
      </c>
      <c r="I2352" s="2" t="s">
        <v>75</v>
      </c>
      <c r="J2352" s="2" t="s">
        <v>97</v>
      </c>
      <c r="K2352" s="2" t="s">
        <v>77</v>
      </c>
      <c r="L2352" s="2" t="s">
        <v>860</v>
      </c>
      <c r="M2352" s="2" t="s">
        <v>861</v>
      </c>
      <c r="N2352" s="2" t="s">
        <v>862</v>
      </c>
      <c r="O2352" s="2" t="s">
        <v>101</v>
      </c>
      <c r="P2352" s="2" t="str">
        <f>"2170604536                    "</f>
        <v xml:space="preserve">2170604536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6.43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1</v>
      </c>
      <c r="BJ2352" s="2">
        <v>0.2</v>
      </c>
      <c r="BK2352" s="2">
        <v>1</v>
      </c>
      <c r="BL2352" s="2">
        <v>45.93</v>
      </c>
      <c r="BM2352" s="2">
        <v>6.43</v>
      </c>
      <c r="BN2352" s="2">
        <v>52.36</v>
      </c>
      <c r="BO2352" s="2">
        <v>52.36</v>
      </c>
      <c r="BQ2352" s="2" t="s">
        <v>187</v>
      </c>
      <c r="BR2352" s="2" t="s">
        <v>103</v>
      </c>
      <c r="BS2352" s="2" t="s">
        <v>185</v>
      </c>
      <c r="BY2352" s="2">
        <v>1200</v>
      </c>
      <c r="CC2352" s="2" t="s">
        <v>861</v>
      </c>
      <c r="CD2352" s="2">
        <v>7140</v>
      </c>
      <c r="CE2352" s="2" t="s">
        <v>120</v>
      </c>
      <c r="CI2352" s="2">
        <v>1</v>
      </c>
      <c r="CJ2352" s="2" t="s">
        <v>185</v>
      </c>
      <c r="CK2352" s="2">
        <v>21</v>
      </c>
      <c r="CL2352" s="2" t="s">
        <v>89</v>
      </c>
    </row>
    <row r="2353" spans="1:90">
      <c r="A2353" s="2" t="s">
        <v>71</v>
      </c>
      <c r="B2353" s="2" t="s">
        <v>72</v>
      </c>
      <c r="C2353" s="2" t="s">
        <v>73</v>
      </c>
      <c r="E2353" s="2" t="str">
        <f>"FES1162596302"</f>
        <v>FES1162596302</v>
      </c>
      <c r="F2353" s="3">
        <v>43084</v>
      </c>
      <c r="G2353" s="2">
        <v>201806</v>
      </c>
      <c r="H2353" s="2" t="s">
        <v>74</v>
      </c>
      <c r="I2353" s="2" t="s">
        <v>75</v>
      </c>
      <c r="J2353" s="2" t="s">
        <v>97</v>
      </c>
      <c r="K2353" s="2" t="s">
        <v>77</v>
      </c>
      <c r="L2353" s="2" t="s">
        <v>173</v>
      </c>
      <c r="M2353" s="2" t="s">
        <v>174</v>
      </c>
      <c r="N2353" s="2" t="s">
        <v>679</v>
      </c>
      <c r="O2353" s="2" t="s">
        <v>101</v>
      </c>
      <c r="P2353" s="2" t="str">
        <f>"2170608059                    "</f>
        <v xml:space="preserve">2170608059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6.43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1</v>
      </c>
      <c r="BJ2353" s="2">
        <v>0.2</v>
      </c>
      <c r="BK2353" s="2">
        <v>1</v>
      </c>
      <c r="BL2353" s="2">
        <v>45.93</v>
      </c>
      <c r="BM2353" s="2">
        <v>6.43</v>
      </c>
      <c r="BN2353" s="2">
        <v>52.36</v>
      </c>
      <c r="BO2353" s="2">
        <v>52.36</v>
      </c>
      <c r="BQ2353" s="2" t="s">
        <v>680</v>
      </c>
      <c r="BR2353" s="2" t="s">
        <v>103</v>
      </c>
      <c r="BS2353" s="3">
        <v>43087</v>
      </c>
      <c r="BT2353" s="4">
        <v>0.3923611111111111</v>
      </c>
      <c r="BU2353" s="2" t="s">
        <v>399</v>
      </c>
      <c r="BV2353" s="2" t="s">
        <v>85</v>
      </c>
      <c r="BY2353" s="2">
        <v>1200</v>
      </c>
      <c r="CA2353" s="2" t="s">
        <v>247</v>
      </c>
      <c r="CC2353" s="2" t="s">
        <v>174</v>
      </c>
      <c r="CD2353" s="2">
        <v>7530</v>
      </c>
      <c r="CE2353" s="2" t="s">
        <v>120</v>
      </c>
      <c r="CF2353" s="3">
        <v>43088</v>
      </c>
      <c r="CI2353" s="2">
        <v>1</v>
      </c>
      <c r="CJ2353" s="2">
        <v>1</v>
      </c>
      <c r="CK2353" s="2">
        <v>21</v>
      </c>
      <c r="CL2353" s="2" t="s">
        <v>89</v>
      </c>
    </row>
    <row r="2354" spans="1:90">
      <c r="A2354" s="2" t="s">
        <v>71</v>
      </c>
      <c r="B2354" s="2" t="s">
        <v>72</v>
      </c>
      <c r="C2354" s="2" t="s">
        <v>73</v>
      </c>
      <c r="E2354" s="2" t="str">
        <f>"FES1162596405"</f>
        <v>FES1162596405</v>
      </c>
      <c r="F2354" s="3">
        <v>43084</v>
      </c>
      <c r="G2354" s="2">
        <v>201806</v>
      </c>
      <c r="H2354" s="2" t="s">
        <v>74</v>
      </c>
      <c r="I2354" s="2" t="s">
        <v>75</v>
      </c>
      <c r="J2354" s="2" t="s">
        <v>97</v>
      </c>
      <c r="K2354" s="2" t="s">
        <v>77</v>
      </c>
      <c r="L2354" s="2" t="s">
        <v>835</v>
      </c>
      <c r="M2354" s="2" t="s">
        <v>836</v>
      </c>
      <c r="N2354" s="2" t="s">
        <v>837</v>
      </c>
      <c r="O2354" s="2" t="s">
        <v>101</v>
      </c>
      <c r="P2354" s="2" t="str">
        <f>"2170605810                    "</f>
        <v xml:space="preserve">2170605810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12.47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1</v>
      </c>
      <c r="BJ2354" s="2">
        <v>0.2</v>
      </c>
      <c r="BK2354" s="2">
        <v>1</v>
      </c>
      <c r="BL2354" s="2">
        <v>89</v>
      </c>
      <c r="BM2354" s="2">
        <v>12.46</v>
      </c>
      <c r="BN2354" s="2">
        <v>101.46</v>
      </c>
      <c r="BO2354" s="2">
        <v>101.46</v>
      </c>
      <c r="BQ2354" s="2" t="s">
        <v>102</v>
      </c>
      <c r="BR2354" s="2" t="s">
        <v>103</v>
      </c>
      <c r="BS2354" s="3">
        <v>43087</v>
      </c>
      <c r="BT2354" s="4">
        <v>0.56388888888888888</v>
      </c>
      <c r="BU2354" s="2" t="s">
        <v>1496</v>
      </c>
      <c r="BV2354" s="2" t="s">
        <v>85</v>
      </c>
      <c r="BY2354" s="2">
        <v>1200</v>
      </c>
      <c r="CA2354" s="2" t="s">
        <v>840</v>
      </c>
      <c r="CC2354" s="2" t="s">
        <v>836</v>
      </c>
      <c r="CD2354" s="2">
        <v>7349</v>
      </c>
      <c r="CE2354" s="2" t="s">
        <v>120</v>
      </c>
      <c r="CF2354" s="3">
        <v>43088</v>
      </c>
      <c r="CI2354" s="2">
        <v>1</v>
      </c>
      <c r="CJ2354" s="2">
        <v>1</v>
      </c>
      <c r="CK2354" s="2">
        <v>23</v>
      </c>
      <c r="CL2354" s="2" t="s">
        <v>89</v>
      </c>
    </row>
    <row r="2355" spans="1:90">
      <c r="A2355" s="2" t="s">
        <v>71</v>
      </c>
      <c r="B2355" s="2" t="s">
        <v>72</v>
      </c>
      <c r="C2355" s="2" t="s">
        <v>73</v>
      </c>
      <c r="E2355" s="2" t="str">
        <f>"FES1162596343"</f>
        <v>FES1162596343</v>
      </c>
      <c r="F2355" s="3">
        <v>43084</v>
      </c>
      <c r="G2355" s="2">
        <v>201806</v>
      </c>
      <c r="H2355" s="2" t="s">
        <v>74</v>
      </c>
      <c r="I2355" s="2" t="s">
        <v>75</v>
      </c>
      <c r="J2355" s="2" t="s">
        <v>97</v>
      </c>
      <c r="K2355" s="2" t="s">
        <v>77</v>
      </c>
      <c r="L2355" s="2" t="s">
        <v>173</v>
      </c>
      <c r="M2355" s="2" t="s">
        <v>174</v>
      </c>
      <c r="N2355" s="2" t="s">
        <v>2122</v>
      </c>
      <c r="O2355" s="2" t="s">
        <v>101</v>
      </c>
      <c r="P2355" s="2" t="str">
        <f>"2170603989                    "</f>
        <v xml:space="preserve">2170603989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6.43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1</v>
      </c>
      <c r="BJ2355" s="2">
        <v>0.2</v>
      </c>
      <c r="BK2355" s="2">
        <v>1</v>
      </c>
      <c r="BL2355" s="2">
        <v>45.93</v>
      </c>
      <c r="BM2355" s="2">
        <v>6.43</v>
      </c>
      <c r="BN2355" s="2">
        <v>52.36</v>
      </c>
      <c r="BO2355" s="2">
        <v>52.36</v>
      </c>
      <c r="BQ2355" s="2" t="s">
        <v>82</v>
      </c>
      <c r="BR2355" s="2" t="s">
        <v>103</v>
      </c>
      <c r="BS2355" s="3">
        <v>43087</v>
      </c>
      <c r="BT2355" s="4">
        <v>0.4909722222222222</v>
      </c>
      <c r="BU2355" s="2" t="s">
        <v>2367</v>
      </c>
      <c r="BV2355" s="2" t="s">
        <v>89</v>
      </c>
      <c r="BW2355" s="2" t="s">
        <v>313</v>
      </c>
      <c r="BX2355" s="2" t="s">
        <v>368</v>
      </c>
      <c r="BY2355" s="2">
        <v>1200</v>
      </c>
      <c r="CA2355" s="2" t="s">
        <v>360</v>
      </c>
      <c r="CC2355" s="2" t="s">
        <v>174</v>
      </c>
      <c r="CD2355" s="2">
        <v>7405</v>
      </c>
      <c r="CE2355" s="2" t="s">
        <v>120</v>
      </c>
      <c r="CF2355" s="3">
        <v>43088</v>
      </c>
      <c r="CI2355" s="2">
        <v>1</v>
      </c>
      <c r="CJ2355" s="2">
        <v>1</v>
      </c>
      <c r="CK2355" s="2">
        <v>21</v>
      </c>
      <c r="CL2355" s="2" t="s">
        <v>89</v>
      </c>
    </row>
    <row r="2356" spans="1:90">
      <c r="A2356" s="2" t="s">
        <v>71</v>
      </c>
      <c r="B2356" s="2" t="s">
        <v>72</v>
      </c>
      <c r="C2356" s="2" t="s">
        <v>73</v>
      </c>
      <c r="E2356" s="2" t="str">
        <f>"FES1162596381"</f>
        <v>FES1162596381</v>
      </c>
      <c r="F2356" s="3">
        <v>43084</v>
      </c>
      <c r="G2356" s="2">
        <v>201806</v>
      </c>
      <c r="H2356" s="2" t="s">
        <v>74</v>
      </c>
      <c r="I2356" s="2" t="s">
        <v>75</v>
      </c>
      <c r="J2356" s="2" t="s">
        <v>97</v>
      </c>
      <c r="K2356" s="2" t="s">
        <v>77</v>
      </c>
      <c r="L2356" s="2" t="s">
        <v>212</v>
      </c>
      <c r="M2356" s="2" t="s">
        <v>212</v>
      </c>
      <c r="N2356" s="2" t="s">
        <v>213</v>
      </c>
      <c r="O2356" s="2" t="s">
        <v>101</v>
      </c>
      <c r="P2356" s="2" t="str">
        <f>"2170604735                    "</f>
        <v xml:space="preserve">2170604735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6.43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45.93</v>
      </c>
      <c r="BM2356" s="2">
        <v>6.43</v>
      </c>
      <c r="BN2356" s="2">
        <v>52.36</v>
      </c>
      <c r="BO2356" s="2">
        <v>52.36</v>
      </c>
      <c r="BQ2356" s="2" t="s">
        <v>102</v>
      </c>
      <c r="BR2356" s="2" t="s">
        <v>103</v>
      </c>
      <c r="BS2356" s="3">
        <v>43087</v>
      </c>
      <c r="BT2356" s="4">
        <v>0.55208333333333337</v>
      </c>
      <c r="BU2356" s="2" t="s">
        <v>1060</v>
      </c>
      <c r="BV2356" s="2" t="s">
        <v>85</v>
      </c>
      <c r="BY2356" s="2">
        <v>1200</v>
      </c>
      <c r="CC2356" s="2" t="s">
        <v>212</v>
      </c>
      <c r="CD2356" s="2">
        <v>7646</v>
      </c>
      <c r="CE2356" s="2" t="s">
        <v>120</v>
      </c>
      <c r="CF2356" s="3">
        <v>43088</v>
      </c>
      <c r="CI2356" s="2">
        <v>1</v>
      </c>
      <c r="CJ2356" s="2">
        <v>1</v>
      </c>
      <c r="CK2356" s="2">
        <v>21</v>
      </c>
      <c r="CL2356" s="2" t="s">
        <v>89</v>
      </c>
    </row>
    <row r="2357" spans="1:90">
      <c r="A2357" s="2" t="s">
        <v>71</v>
      </c>
      <c r="B2357" s="2" t="s">
        <v>72</v>
      </c>
      <c r="C2357" s="2" t="s">
        <v>73</v>
      </c>
      <c r="E2357" s="2" t="str">
        <f>"FES1162596390"</f>
        <v>FES1162596390</v>
      </c>
      <c r="F2357" s="3">
        <v>43084</v>
      </c>
      <c r="G2357" s="2">
        <v>201806</v>
      </c>
      <c r="H2357" s="2" t="s">
        <v>74</v>
      </c>
      <c r="I2357" s="2" t="s">
        <v>75</v>
      </c>
      <c r="J2357" s="2" t="s">
        <v>97</v>
      </c>
      <c r="K2357" s="2" t="s">
        <v>77</v>
      </c>
      <c r="L2357" s="2" t="s">
        <v>212</v>
      </c>
      <c r="M2357" s="2" t="s">
        <v>212</v>
      </c>
      <c r="N2357" s="2" t="s">
        <v>1919</v>
      </c>
      <c r="O2357" s="2" t="s">
        <v>101</v>
      </c>
      <c r="P2357" s="2" t="str">
        <f>"2170604875                    "</f>
        <v xml:space="preserve">2170604875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6.43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45.93</v>
      </c>
      <c r="BM2357" s="2">
        <v>6.43</v>
      </c>
      <c r="BN2357" s="2">
        <v>52.36</v>
      </c>
      <c r="BO2357" s="2">
        <v>52.36</v>
      </c>
      <c r="BQ2357" s="2" t="s">
        <v>2560</v>
      </c>
      <c r="BR2357" s="2" t="s">
        <v>103</v>
      </c>
      <c r="BS2357" s="3">
        <v>43087</v>
      </c>
      <c r="BT2357" s="4">
        <v>0.4284722222222222</v>
      </c>
      <c r="BU2357" s="2" t="s">
        <v>1310</v>
      </c>
      <c r="BV2357" s="2" t="s">
        <v>85</v>
      </c>
      <c r="BY2357" s="2">
        <v>1200</v>
      </c>
      <c r="CA2357" s="2" t="s">
        <v>936</v>
      </c>
      <c r="CC2357" s="2" t="s">
        <v>212</v>
      </c>
      <c r="CD2357" s="2">
        <v>7646</v>
      </c>
      <c r="CE2357" s="2" t="s">
        <v>120</v>
      </c>
      <c r="CF2357" s="3">
        <v>43088</v>
      </c>
      <c r="CI2357" s="2">
        <v>1</v>
      </c>
      <c r="CJ2357" s="2">
        <v>1</v>
      </c>
      <c r="CK2357" s="2">
        <v>21</v>
      </c>
      <c r="CL2357" s="2" t="s">
        <v>89</v>
      </c>
    </row>
    <row r="2358" spans="1:90">
      <c r="A2358" s="2" t="s">
        <v>71</v>
      </c>
      <c r="B2358" s="2" t="s">
        <v>72</v>
      </c>
      <c r="C2358" s="2" t="s">
        <v>73</v>
      </c>
      <c r="E2358" s="2" t="str">
        <f>"FES1162596392"</f>
        <v>FES1162596392</v>
      </c>
      <c r="F2358" s="3">
        <v>43084</v>
      </c>
      <c r="G2358" s="2">
        <v>201806</v>
      </c>
      <c r="H2358" s="2" t="s">
        <v>74</v>
      </c>
      <c r="I2358" s="2" t="s">
        <v>75</v>
      </c>
      <c r="J2358" s="2" t="s">
        <v>97</v>
      </c>
      <c r="K2358" s="2" t="s">
        <v>77</v>
      </c>
      <c r="L2358" s="2" t="s">
        <v>173</v>
      </c>
      <c r="M2358" s="2" t="s">
        <v>174</v>
      </c>
      <c r="N2358" s="2" t="s">
        <v>175</v>
      </c>
      <c r="O2358" s="2" t="s">
        <v>101</v>
      </c>
      <c r="P2358" s="2" t="str">
        <f>"2170604891                    "</f>
        <v xml:space="preserve">2170604891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6.43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</v>
      </c>
      <c r="BJ2358" s="2">
        <v>0.2</v>
      </c>
      <c r="BK2358" s="2">
        <v>1</v>
      </c>
      <c r="BL2358" s="2">
        <v>45.93</v>
      </c>
      <c r="BM2358" s="2">
        <v>6.43</v>
      </c>
      <c r="BN2358" s="2">
        <v>52.36</v>
      </c>
      <c r="BO2358" s="2">
        <v>52.36</v>
      </c>
      <c r="BQ2358" s="2" t="s">
        <v>102</v>
      </c>
      <c r="BR2358" s="2" t="s">
        <v>103</v>
      </c>
      <c r="BS2358" s="3">
        <v>43087</v>
      </c>
      <c r="BT2358" s="4">
        <v>0.53125</v>
      </c>
      <c r="BU2358" s="2" t="s">
        <v>2523</v>
      </c>
      <c r="BV2358" s="2" t="s">
        <v>89</v>
      </c>
      <c r="BW2358" s="2" t="s">
        <v>156</v>
      </c>
      <c r="BX2358" s="2" t="s">
        <v>839</v>
      </c>
      <c r="BY2358" s="2">
        <v>1200</v>
      </c>
      <c r="CA2358" s="2" t="s">
        <v>177</v>
      </c>
      <c r="CC2358" s="2" t="s">
        <v>174</v>
      </c>
      <c r="CD2358" s="2">
        <v>7405</v>
      </c>
      <c r="CE2358" s="2" t="s">
        <v>120</v>
      </c>
      <c r="CF2358" s="3">
        <v>43088</v>
      </c>
      <c r="CI2358" s="2">
        <v>1</v>
      </c>
      <c r="CJ2358" s="2">
        <v>1</v>
      </c>
      <c r="CK2358" s="2">
        <v>21</v>
      </c>
      <c r="CL2358" s="2" t="s">
        <v>89</v>
      </c>
    </row>
    <row r="2359" spans="1:90">
      <c r="A2359" s="2" t="s">
        <v>71</v>
      </c>
      <c r="B2359" s="2" t="s">
        <v>72</v>
      </c>
      <c r="C2359" s="2" t="s">
        <v>73</v>
      </c>
      <c r="E2359" s="2" t="str">
        <f>"FES1162596350"</f>
        <v>FES1162596350</v>
      </c>
      <c r="F2359" s="3">
        <v>43084</v>
      </c>
      <c r="G2359" s="2">
        <v>201806</v>
      </c>
      <c r="H2359" s="2" t="s">
        <v>74</v>
      </c>
      <c r="I2359" s="2" t="s">
        <v>75</v>
      </c>
      <c r="J2359" s="2" t="s">
        <v>97</v>
      </c>
      <c r="K2359" s="2" t="s">
        <v>77</v>
      </c>
      <c r="L2359" s="2" t="s">
        <v>158</v>
      </c>
      <c r="M2359" s="2" t="s">
        <v>159</v>
      </c>
      <c r="N2359" s="2" t="s">
        <v>976</v>
      </c>
      <c r="O2359" s="2" t="s">
        <v>101</v>
      </c>
      <c r="P2359" s="2" t="str">
        <f>"2170604177                    "</f>
        <v xml:space="preserve">2170604177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6.43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0.8</v>
      </c>
      <c r="BJ2359" s="2">
        <v>0.9</v>
      </c>
      <c r="BK2359" s="2">
        <v>1</v>
      </c>
      <c r="BL2359" s="2">
        <v>45.93</v>
      </c>
      <c r="BM2359" s="2">
        <v>6.43</v>
      </c>
      <c r="BN2359" s="2">
        <v>52.36</v>
      </c>
      <c r="BO2359" s="2">
        <v>52.36</v>
      </c>
      <c r="BQ2359" s="2" t="s">
        <v>82</v>
      </c>
      <c r="BR2359" s="2" t="s">
        <v>103</v>
      </c>
      <c r="BS2359" s="3">
        <v>43087</v>
      </c>
      <c r="BT2359" s="4">
        <v>0.65416666666666667</v>
      </c>
      <c r="BU2359" s="2" t="s">
        <v>2561</v>
      </c>
      <c r="BV2359" s="2" t="s">
        <v>89</v>
      </c>
      <c r="BY2359" s="2">
        <v>4512.82</v>
      </c>
      <c r="CA2359" s="2" t="s">
        <v>2562</v>
      </c>
      <c r="CC2359" s="2" t="s">
        <v>159</v>
      </c>
      <c r="CD2359" s="2">
        <v>200</v>
      </c>
      <c r="CE2359" s="2" t="s">
        <v>87</v>
      </c>
      <c r="CF2359" s="3">
        <v>43088</v>
      </c>
      <c r="CI2359" s="2">
        <v>1</v>
      </c>
      <c r="CJ2359" s="2">
        <v>1</v>
      </c>
      <c r="CK2359" s="2">
        <v>21</v>
      </c>
      <c r="CL2359" s="2" t="s">
        <v>89</v>
      </c>
    </row>
    <row r="2360" spans="1:90">
      <c r="A2360" s="2" t="s">
        <v>71</v>
      </c>
      <c r="B2360" s="2" t="s">
        <v>72</v>
      </c>
      <c r="C2360" s="2" t="s">
        <v>73</v>
      </c>
      <c r="E2360" s="2" t="str">
        <f>"FES1162596135"</f>
        <v>FES1162596135</v>
      </c>
      <c r="F2360" s="3">
        <v>43084</v>
      </c>
      <c r="G2360" s="2">
        <v>201806</v>
      </c>
      <c r="H2360" s="2" t="s">
        <v>74</v>
      </c>
      <c r="I2360" s="2" t="s">
        <v>75</v>
      </c>
      <c r="J2360" s="2" t="s">
        <v>97</v>
      </c>
      <c r="K2360" s="2" t="s">
        <v>77</v>
      </c>
      <c r="L2360" s="2" t="s">
        <v>106</v>
      </c>
      <c r="M2360" s="2" t="s">
        <v>107</v>
      </c>
      <c r="N2360" s="2" t="s">
        <v>427</v>
      </c>
      <c r="O2360" s="2" t="s">
        <v>101</v>
      </c>
      <c r="P2360" s="2" t="str">
        <f>"2170607880                    "</f>
        <v xml:space="preserve">2170607880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5.03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3</v>
      </c>
      <c r="BJ2360" s="2">
        <v>2.7</v>
      </c>
      <c r="BK2360" s="2">
        <v>3</v>
      </c>
      <c r="BL2360" s="2">
        <v>35.89</v>
      </c>
      <c r="BM2360" s="2">
        <v>5.0199999999999996</v>
      </c>
      <c r="BN2360" s="2">
        <v>40.909999999999997</v>
      </c>
      <c r="BO2360" s="2">
        <v>40.909999999999997</v>
      </c>
      <c r="BQ2360" s="2" t="s">
        <v>102</v>
      </c>
      <c r="BR2360" s="2" t="s">
        <v>103</v>
      </c>
      <c r="BS2360" s="3">
        <v>43087</v>
      </c>
      <c r="BT2360" s="4">
        <v>0.41666666666666669</v>
      </c>
      <c r="BU2360" s="2" t="s">
        <v>205</v>
      </c>
      <c r="BV2360" s="2" t="s">
        <v>85</v>
      </c>
      <c r="BY2360" s="2">
        <v>13454</v>
      </c>
      <c r="CC2360" s="2" t="s">
        <v>107</v>
      </c>
      <c r="CD2360" s="2">
        <v>2091</v>
      </c>
      <c r="CE2360" s="2" t="s">
        <v>87</v>
      </c>
      <c r="CF2360" s="3">
        <v>43088</v>
      </c>
      <c r="CI2360" s="2">
        <v>1</v>
      </c>
      <c r="CJ2360" s="2">
        <v>1</v>
      </c>
      <c r="CK2360" s="2">
        <v>22</v>
      </c>
      <c r="CL2360" s="2" t="s">
        <v>89</v>
      </c>
    </row>
    <row r="2361" spans="1:90">
      <c r="A2361" s="2" t="s">
        <v>71</v>
      </c>
      <c r="B2361" s="2" t="s">
        <v>72</v>
      </c>
      <c r="C2361" s="2" t="s">
        <v>73</v>
      </c>
      <c r="E2361" s="2" t="str">
        <f>"FES1162596141"</f>
        <v>FES1162596141</v>
      </c>
      <c r="F2361" s="3">
        <v>43084</v>
      </c>
      <c r="G2361" s="2">
        <v>201806</v>
      </c>
      <c r="H2361" s="2" t="s">
        <v>74</v>
      </c>
      <c r="I2361" s="2" t="s">
        <v>75</v>
      </c>
      <c r="J2361" s="2" t="s">
        <v>97</v>
      </c>
      <c r="K2361" s="2" t="s">
        <v>77</v>
      </c>
      <c r="L2361" s="2" t="s">
        <v>74</v>
      </c>
      <c r="M2361" s="2" t="s">
        <v>75</v>
      </c>
      <c r="N2361" s="2" t="s">
        <v>650</v>
      </c>
      <c r="O2361" s="2" t="s">
        <v>101</v>
      </c>
      <c r="P2361" s="2" t="str">
        <f>"2170607889                    "</f>
        <v xml:space="preserve">2170607889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5.03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3</v>
      </c>
      <c r="BJ2361" s="2">
        <v>2.7</v>
      </c>
      <c r="BK2361" s="2">
        <v>3</v>
      </c>
      <c r="BL2361" s="2">
        <v>35.89</v>
      </c>
      <c r="BM2361" s="2">
        <v>5.0199999999999996</v>
      </c>
      <c r="BN2361" s="2">
        <v>40.909999999999997</v>
      </c>
      <c r="BO2361" s="2">
        <v>40.909999999999997</v>
      </c>
      <c r="BR2361" s="2" t="s">
        <v>103</v>
      </c>
      <c r="BS2361" s="3">
        <v>43087</v>
      </c>
      <c r="BT2361" s="4">
        <v>0.87847222222222221</v>
      </c>
      <c r="BU2361" s="2" t="s">
        <v>2563</v>
      </c>
      <c r="BV2361" s="2" t="s">
        <v>89</v>
      </c>
      <c r="BY2361" s="2">
        <v>13454</v>
      </c>
      <c r="CA2361" s="2" t="s">
        <v>2564</v>
      </c>
      <c r="CC2361" s="2" t="s">
        <v>75</v>
      </c>
      <c r="CD2361" s="2">
        <v>1666</v>
      </c>
      <c r="CE2361" s="2" t="s">
        <v>87</v>
      </c>
      <c r="CF2361" s="3">
        <v>43089</v>
      </c>
      <c r="CI2361" s="2">
        <v>1</v>
      </c>
      <c r="CJ2361" s="2">
        <v>1</v>
      </c>
      <c r="CK2361" s="2">
        <v>22</v>
      </c>
      <c r="CL2361" s="2" t="s">
        <v>89</v>
      </c>
    </row>
    <row r="2362" spans="1:90">
      <c r="A2362" s="2" t="s">
        <v>71</v>
      </c>
      <c r="B2362" s="2" t="s">
        <v>72</v>
      </c>
      <c r="C2362" s="2" t="s">
        <v>73</v>
      </c>
      <c r="E2362" s="2" t="str">
        <f>"FES1162596287"</f>
        <v>FES1162596287</v>
      </c>
      <c r="F2362" s="3">
        <v>43084</v>
      </c>
      <c r="G2362" s="2">
        <v>201806</v>
      </c>
      <c r="H2362" s="2" t="s">
        <v>74</v>
      </c>
      <c r="I2362" s="2" t="s">
        <v>75</v>
      </c>
      <c r="J2362" s="2" t="s">
        <v>97</v>
      </c>
      <c r="K2362" s="2" t="s">
        <v>77</v>
      </c>
      <c r="L2362" s="2" t="s">
        <v>74</v>
      </c>
      <c r="M2362" s="2" t="s">
        <v>75</v>
      </c>
      <c r="N2362" s="2" t="s">
        <v>454</v>
      </c>
      <c r="O2362" s="2" t="s">
        <v>101</v>
      </c>
      <c r="P2362" s="2" t="str">
        <f>"2170608043                    "</f>
        <v xml:space="preserve">2170608043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5.03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3</v>
      </c>
      <c r="BJ2362" s="2">
        <v>2.7</v>
      </c>
      <c r="BK2362" s="2">
        <v>3</v>
      </c>
      <c r="BL2362" s="2">
        <v>35.89</v>
      </c>
      <c r="BM2362" s="2">
        <v>5.0199999999999996</v>
      </c>
      <c r="BN2362" s="2">
        <v>40.909999999999997</v>
      </c>
      <c r="BO2362" s="2">
        <v>40.909999999999997</v>
      </c>
      <c r="BR2362" s="2" t="s">
        <v>103</v>
      </c>
      <c r="BS2362" s="3">
        <v>43087</v>
      </c>
      <c r="BT2362" s="4">
        <v>0.4375</v>
      </c>
      <c r="BU2362" s="2" t="s">
        <v>640</v>
      </c>
      <c r="BV2362" s="2" t="s">
        <v>85</v>
      </c>
      <c r="BY2362" s="2">
        <v>13454</v>
      </c>
      <c r="CA2362" s="2" t="s">
        <v>457</v>
      </c>
      <c r="CC2362" s="2" t="s">
        <v>75</v>
      </c>
      <c r="CD2362" s="2">
        <v>1682</v>
      </c>
      <c r="CE2362" s="2" t="s">
        <v>87</v>
      </c>
      <c r="CF2362" s="3">
        <v>43089</v>
      </c>
      <c r="CI2362" s="2">
        <v>1</v>
      </c>
      <c r="CJ2362" s="2">
        <v>1</v>
      </c>
      <c r="CK2362" s="2">
        <v>22</v>
      </c>
      <c r="CL2362" s="2" t="s">
        <v>89</v>
      </c>
    </row>
    <row r="2363" spans="1:90">
      <c r="A2363" s="2" t="s">
        <v>71</v>
      </c>
      <c r="B2363" s="2" t="s">
        <v>72</v>
      </c>
      <c r="C2363" s="2" t="s">
        <v>73</v>
      </c>
      <c r="E2363" s="2" t="str">
        <f>"FES1162596292"</f>
        <v>FES1162596292</v>
      </c>
      <c r="F2363" s="3">
        <v>43084</v>
      </c>
      <c r="G2363" s="2">
        <v>201806</v>
      </c>
      <c r="H2363" s="2" t="s">
        <v>74</v>
      </c>
      <c r="I2363" s="2" t="s">
        <v>75</v>
      </c>
      <c r="J2363" s="2" t="s">
        <v>97</v>
      </c>
      <c r="K2363" s="2" t="s">
        <v>77</v>
      </c>
      <c r="L2363" s="2" t="s">
        <v>158</v>
      </c>
      <c r="M2363" s="2" t="s">
        <v>159</v>
      </c>
      <c r="N2363" s="2" t="s">
        <v>700</v>
      </c>
      <c r="O2363" s="2" t="s">
        <v>101</v>
      </c>
      <c r="P2363" s="2" t="str">
        <f>"2170608049                    "</f>
        <v xml:space="preserve">2170608049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6.43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1</v>
      </c>
      <c r="BJ2363" s="2">
        <v>0.4</v>
      </c>
      <c r="BK2363" s="2">
        <v>1</v>
      </c>
      <c r="BL2363" s="2">
        <v>45.93</v>
      </c>
      <c r="BM2363" s="2">
        <v>6.43</v>
      </c>
      <c r="BN2363" s="2">
        <v>52.36</v>
      </c>
      <c r="BO2363" s="2">
        <v>52.36</v>
      </c>
      <c r="BQ2363" s="2" t="s">
        <v>102</v>
      </c>
      <c r="BR2363" s="2" t="s">
        <v>103</v>
      </c>
      <c r="BS2363" s="3">
        <v>43088</v>
      </c>
      <c r="BT2363" s="4">
        <v>0.45833333333333331</v>
      </c>
      <c r="BU2363" s="2" t="s">
        <v>161</v>
      </c>
      <c r="BV2363" s="2" t="s">
        <v>89</v>
      </c>
      <c r="BW2363" s="2" t="s">
        <v>156</v>
      </c>
      <c r="BX2363" s="2" t="s">
        <v>668</v>
      </c>
      <c r="BY2363" s="2">
        <v>2170</v>
      </c>
      <c r="CC2363" s="2" t="s">
        <v>159</v>
      </c>
      <c r="CD2363" s="2">
        <v>184</v>
      </c>
      <c r="CE2363" s="2" t="s">
        <v>87</v>
      </c>
      <c r="CF2363" s="3">
        <v>43090</v>
      </c>
      <c r="CI2363" s="2">
        <v>1</v>
      </c>
      <c r="CJ2363" s="2">
        <v>2</v>
      </c>
      <c r="CK2363" s="2">
        <v>21</v>
      </c>
      <c r="CL2363" s="2" t="s">
        <v>89</v>
      </c>
    </row>
    <row r="2364" spans="1:90">
      <c r="A2364" s="2" t="s">
        <v>71</v>
      </c>
      <c r="B2364" s="2" t="s">
        <v>72</v>
      </c>
      <c r="C2364" s="2" t="s">
        <v>73</v>
      </c>
      <c r="E2364" s="2" t="str">
        <f>"FES1162596384"</f>
        <v>FES1162596384</v>
      </c>
      <c r="F2364" s="3">
        <v>43084</v>
      </c>
      <c r="G2364" s="2">
        <v>201806</v>
      </c>
      <c r="H2364" s="2" t="s">
        <v>74</v>
      </c>
      <c r="I2364" s="2" t="s">
        <v>75</v>
      </c>
      <c r="J2364" s="2" t="s">
        <v>97</v>
      </c>
      <c r="K2364" s="2" t="s">
        <v>77</v>
      </c>
      <c r="L2364" s="2" t="s">
        <v>173</v>
      </c>
      <c r="M2364" s="2" t="s">
        <v>174</v>
      </c>
      <c r="N2364" s="2" t="s">
        <v>381</v>
      </c>
      <c r="O2364" s="2" t="s">
        <v>101</v>
      </c>
      <c r="P2364" s="2" t="str">
        <f>"2170604760                    "</f>
        <v xml:space="preserve">2170604760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6.43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45.93</v>
      </c>
      <c r="BM2364" s="2">
        <v>6.43</v>
      </c>
      <c r="BN2364" s="2">
        <v>52.36</v>
      </c>
      <c r="BO2364" s="2">
        <v>52.36</v>
      </c>
      <c r="BQ2364" s="2" t="s">
        <v>382</v>
      </c>
      <c r="BR2364" s="2" t="s">
        <v>103</v>
      </c>
      <c r="BS2364" s="3">
        <v>43087</v>
      </c>
      <c r="BT2364" s="4">
        <v>0.52986111111111112</v>
      </c>
      <c r="BU2364" s="2" t="s">
        <v>681</v>
      </c>
      <c r="BV2364" s="2" t="s">
        <v>89</v>
      </c>
      <c r="BW2364" s="2" t="s">
        <v>156</v>
      </c>
      <c r="BX2364" s="2" t="s">
        <v>839</v>
      </c>
      <c r="BY2364" s="2">
        <v>1200</v>
      </c>
      <c r="CA2364" s="2" t="s">
        <v>177</v>
      </c>
      <c r="CC2364" s="2" t="s">
        <v>174</v>
      </c>
      <c r="CD2364" s="2">
        <v>7405</v>
      </c>
      <c r="CE2364" s="2" t="s">
        <v>120</v>
      </c>
      <c r="CF2364" s="3">
        <v>43088</v>
      </c>
      <c r="CI2364" s="2">
        <v>1</v>
      </c>
      <c r="CJ2364" s="2">
        <v>1</v>
      </c>
      <c r="CK2364" s="2">
        <v>21</v>
      </c>
      <c r="CL2364" s="2" t="s">
        <v>89</v>
      </c>
    </row>
    <row r="2365" spans="1:90">
      <c r="A2365" s="2" t="s">
        <v>71</v>
      </c>
      <c r="B2365" s="2" t="s">
        <v>72</v>
      </c>
      <c r="C2365" s="2" t="s">
        <v>73</v>
      </c>
      <c r="E2365" s="2" t="str">
        <f>"FES1162596363"</f>
        <v>FES1162596363</v>
      </c>
      <c r="F2365" s="3">
        <v>43084</v>
      </c>
      <c r="G2365" s="2">
        <v>201806</v>
      </c>
      <c r="H2365" s="2" t="s">
        <v>74</v>
      </c>
      <c r="I2365" s="2" t="s">
        <v>75</v>
      </c>
      <c r="J2365" s="2" t="s">
        <v>97</v>
      </c>
      <c r="K2365" s="2" t="s">
        <v>77</v>
      </c>
      <c r="L2365" s="2" t="s">
        <v>173</v>
      </c>
      <c r="M2365" s="2" t="s">
        <v>174</v>
      </c>
      <c r="N2365" s="2" t="s">
        <v>2122</v>
      </c>
      <c r="O2365" s="2" t="s">
        <v>101</v>
      </c>
      <c r="P2365" s="2" t="str">
        <f>"2170604304                    "</f>
        <v xml:space="preserve">2170604304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6.43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45.93</v>
      </c>
      <c r="BM2365" s="2">
        <v>6.43</v>
      </c>
      <c r="BN2365" s="2">
        <v>52.36</v>
      </c>
      <c r="BO2365" s="2">
        <v>52.36</v>
      </c>
      <c r="BQ2365" s="2" t="s">
        <v>82</v>
      </c>
      <c r="BR2365" s="2" t="s">
        <v>103</v>
      </c>
      <c r="BS2365" s="3">
        <v>43087</v>
      </c>
      <c r="BT2365" s="4">
        <v>0.4909722222222222</v>
      </c>
      <c r="BU2365" s="2" t="s">
        <v>2367</v>
      </c>
      <c r="BV2365" s="2" t="s">
        <v>89</v>
      </c>
      <c r="BW2365" s="2" t="s">
        <v>313</v>
      </c>
      <c r="BX2365" s="2" t="s">
        <v>368</v>
      </c>
      <c r="BY2365" s="2">
        <v>1200</v>
      </c>
      <c r="CA2365" s="2" t="s">
        <v>360</v>
      </c>
      <c r="CC2365" s="2" t="s">
        <v>174</v>
      </c>
      <c r="CD2365" s="2">
        <v>7405</v>
      </c>
      <c r="CE2365" s="2" t="s">
        <v>120</v>
      </c>
      <c r="CF2365" s="3">
        <v>43088</v>
      </c>
      <c r="CI2365" s="2">
        <v>1</v>
      </c>
      <c r="CJ2365" s="2">
        <v>1</v>
      </c>
      <c r="CK2365" s="2">
        <v>21</v>
      </c>
      <c r="CL2365" s="2" t="s">
        <v>89</v>
      </c>
    </row>
    <row r="2366" spans="1:90">
      <c r="A2366" s="2" t="s">
        <v>71</v>
      </c>
      <c r="B2366" s="2" t="s">
        <v>72</v>
      </c>
      <c r="C2366" s="2" t="s">
        <v>73</v>
      </c>
      <c r="E2366" s="2" t="str">
        <f>"FES1162596269"</f>
        <v>FES1162596269</v>
      </c>
      <c r="F2366" s="3">
        <v>43084</v>
      </c>
      <c r="G2366" s="2">
        <v>201806</v>
      </c>
      <c r="H2366" s="2" t="s">
        <v>74</v>
      </c>
      <c r="I2366" s="2" t="s">
        <v>75</v>
      </c>
      <c r="J2366" s="2" t="s">
        <v>97</v>
      </c>
      <c r="K2366" s="2" t="s">
        <v>77</v>
      </c>
      <c r="L2366" s="2" t="s">
        <v>158</v>
      </c>
      <c r="M2366" s="2" t="s">
        <v>159</v>
      </c>
      <c r="N2366" s="2" t="s">
        <v>2565</v>
      </c>
      <c r="O2366" s="2" t="s">
        <v>101</v>
      </c>
      <c r="P2366" s="2" t="str">
        <f>"2170608026                    "</f>
        <v xml:space="preserve">2170608026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6.43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45.93</v>
      </c>
      <c r="BM2366" s="2">
        <v>6.43</v>
      </c>
      <c r="BN2366" s="2">
        <v>52.36</v>
      </c>
      <c r="BO2366" s="2">
        <v>52.36</v>
      </c>
      <c r="BR2366" s="2" t="s">
        <v>103</v>
      </c>
      <c r="BS2366" s="3">
        <v>43087</v>
      </c>
      <c r="BT2366" s="4">
        <v>0.6479166666666667</v>
      </c>
      <c r="BU2366" s="2" t="s">
        <v>746</v>
      </c>
      <c r="BV2366" s="2" t="s">
        <v>89</v>
      </c>
      <c r="BY2366" s="2">
        <v>1200</v>
      </c>
      <c r="CA2366" s="2" t="s">
        <v>362</v>
      </c>
      <c r="CC2366" s="2" t="s">
        <v>159</v>
      </c>
      <c r="CD2366" s="2">
        <v>200</v>
      </c>
      <c r="CE2366" s="2" t="s">
        <v>120</v>
      </c>
      <c r="CF2366" s="3">
        <v>43088</v>
      </c>
      <c r="CI2366" s="2">
        <v>1</v>
      </c>
      <c r="CJ2366" s="2">
        <v>1</v>
      </c>
      <c r="CK2366" s="2">
        <v>21</v>
      </c>
      <c r="CL2366" s="2" t="s">
        <v>89</v>
      </c>
    </row>
    <row r="2367" spans="1:90">
      <c r="A2367" s="2" t="s">
        <v>71</v>
      </c>
      <c r="B2367" s="2" t="s">
        <v>72</v>
      </c>
      <c r="C2367" s="2" t="s">
        <v>73</v>
      </c>
      <c r="E2367" s="2" t="str">
        <f>"FES1162596259"</f>
        <v>FES1162596259</v>
      </c>
      <c r="F2367" s="3">
        <v>43084</v>
      </c>
      <c r="G2367" s="2">
        <v>201806</v>
      </c>
      <c r="H2367" s="2" t="s">
        <v>74</v>
      </c>
      <c r="I2367" s="2" t="s">
        <v>75</v>
      </c>
      <c r="J2367" s="2" t="s">
        <v>97</v>
      </c>
      <c r="K2367" s="2" t="s">
        <v>77</v>
      </c>
      <c r="L2367" s="2" t="s">
        <v>212</v>
      </c>
      <c r="M2367" s="2" t="s">
        <v>212</v>
      </c>
      <c r="N2367" s="2" t="s">
        <v>213</v>
      </c>
      <c r="O2367" s="2" t="s">
        <v>101</v>
      </c>
      <c r="P2367" s="2" t="str">
        <f>"2170607492                    "</f>
        <v xml:space="preserve">2170607492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6.43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1</v>
      </c>
      <c r="BJ2367" s="2">
        <v>0.2</v>
      </c>
      <c r="BK2367" s="2">
        <v>1</v>
      </c>
      <c r="BL2367" s="2">
        <v>45.93</v>
      </c>
      <c r="BM2367" s="2">
        <v>6.43</v>
      </c>
      <c r="BN2367" s="2">
        <v>52.36</v>
      </c>
      <c r="BO2367" s="2">
        <v>52.36</v>
      </c>
      <c r="BQ2367" s="2" t="s">
        <v>102</v>
      </c>
      <c r="BR2367" s="2" t="s">
        <v>103</v>
      </c>
      <c r="BS2367" s="3">
        <v>43087</v>
      </c>
      <c r="BT2367" s="4">
        <v>0.55208333333333337</v>
      </c>
      <c r="BU2367" s="2" t="s">
        <v>1060</v>
      </c>
      <c r="BV2367" s="2" t="s">
        <v>85</v>
      </c>
      <c r="BY2367" s="2">
        <v>1200</v>
      </c>
      <c r="CC2367" s="2" t="s">
        <v>212</v>
      </c>
      <c r="CD2367" s="2">
        <v>7646</v>
      </c>
      <c r="CE2367" s="2" t="s">
        <v>120</v>
      </c>
      <c r="CF2367" s="3">
        <v>43088</v>
      </c>
      <c r="CI2367" s="2">
        <v>1</v>
      </c>
      <c r="CJ2367" s="2">
        <v>1</v>
      </c>
      <c r="CK2367" s="2">
        <v>21</v>
      </c>
      <c r="CL2367" s="2" t="s">
        <v>89</v>
      </c>
    </row>
    <row r="2368" spans="1:90">
      <c r="A2368" s="2" t="s">
        <v>71</v>
      </c>
      <c r="B2368" s="2" t="s">
        <v>72</v>
      </c>
      <c r="C2368" s="2" t="s">
        <v>73</v>
      </c>
      <c r="E2368" s="2" t="str">
        <f>"FES1162596359"</f>
        <v>FES1162596359</v>
      </c>
      <c r="F2368" s="3">
        <v>43084</v>
      </c>
      <c r="G2368" s="2">
        <v>201806</v>
      </c>
      <c r="H2368" s="2" t="s">
        <v>74</v>
      </c>
      <c r="I2368" s="2" t="s">
        <v>75</v>
      </c>
      <c r="J2368" s="2" t="s">
        <v>97</v>
      </c>
      <c r="K2368" s="2" t="s">
        <v>77</v>
      </c>
      <c r="L2368" s="2" t="s">
        <v>173</v>
      </c>
      <c r="M2368" s="2" t="s">
        <v>174</v>
      </c>
      <c r="N2368" s="2" t="s">
        <v>2566</v>
      </c>
      <c r="O2368" s="2" t="s">
        <v>101</v>
      </c>
      <c r="P2368" s="2" t="str">
        <f>"2170604268                    "</f>
        <v xml:space="preserve">2170604268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6.43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45.93</v>
      </c>
      <c r="BM2368" s="2">
        <v>6.43</v>
      </c>
      <c r="BN2368" s="2">
        <v>52.36</v>
      </c>
      <c r="BO2368" s="2">
        <v>52.36</v>
      </c>
      <c r="BR2368" s="2" t="s">
        <v>103</v>
      </c>
      <c r="BS2368" s="3">
        <v>43087</v>
      </c>
      <c r="BT2368" s="4">
        <v>0.47013888888888888</v>
      </c>
      <c r="BU2368" s="2" t="s">
        <v>2567</v>
      </c>
      <c r="BV2368" s="2" t="s">
        <v>85</v>
      </c>
      <c r="BY2368" s="2">
        <v>1200</v>
      </c>
      <c r="CA2368" s="2" t="s">
        <v>469</v>
      </c>
      <c r="CC2368" s="2" t="s">
        <v>174</v>
      </c>
      <c r="CD2368" s="2">
        <v>7750</v>
      </c>
      <c r="CE2368" s="2" t="s">
        <v>120</v>
      </c>
      <c r="CF2368" s="3">
        <v>43088</v>
      </c>
      <c r="CI2368" s="2">
        <v>4</v>
      </c>
      <c r="CJ2368" s="2">
        <v>1</v>
      </c>
      <c r="CK2368" s="2">
        <v>21</v>
      </c>
      <c r="CL2368" s="2" t="s">
        <v>89</v>
      </c>
    </row>
    <row r="2369" spans="1:90">
      <c r="A2369" s="2" t="s">
        <v>71</v>
      </c>
      <c r="B2369" s="2" t="s">
        <v>72</v>
      </c>
      <c r="C2369" s="2" t="s">
        <v>73</v>
      </c>
      <c r="E2369" s="2" t="str">
        <f>"FES1162596111"</f>
        <v>FES1162596111</v>
      </c>
      <c r="F2369" s="3">
        <v>43084</v>
      </c>
      <c r="G2369" s="2">
        <v>201806</v>
      </c>
      <c r="H2369" s="2" t="s">
        <v>74</v>
      </c>
      <c r="I2369" s="2" t="s">
        <v>75</v>
      </c>
      <c r="J2369" s="2" t="s">
        <v>97</v>
      </c>
      <c r="K2369" s="2" t="s">
        <v>77</v>
      </c>
      <c r="L2369" s="2" t="s">
        <v>74</v>
      </c>
      <c r="M2369" s="2" t="s">
        <v>75</v>
      </c>
      <c r="N2369" s="2" t="s">
        <v>650</v>
      </c>
      <c r="O2369" s="2" t="s">
        <v>101</v>
      </c>
      <c r="P2369" s="2" t="str">
        <f>"2170606163                    "</f>
        <v xml:space="preserve">2170606163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5.03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35.89</v>
      </c>
      <c r="BM2369" s="2">
        <v>5.0199999999999996</v>
      </c>
      <c r="BN2369" s="2">
        <v>40.909999999999997</v>
      </c>
      <c r="BO2369" s="2">
        <v>40.909999999999997</v>
      </c>
      <c r="BR2369" s="2" t="s">
        <v>103</v>
      </c>
      <c r="BS2369" s="3">
        <v>43087</v>
      </c>
      <c r="BT2369" s="4">
        <v>0.47847222222222219</v>
      </c>
      <c r="BU2369" s="2" t="s">
        <v>2522</v>
      </c>
      <c r="BV2369" s="2" t="s">
        <v>85</v>
      </c>
      <c r="BY2369" s="2">
        <v>1200</v>
      </c>
      <c r="CA2369" s="2" t="s">
        <v>203</v>
      </c>
      <c r="CC2369" s="2" t="s">
        <v>75</v>
      </c>
      <c r="CD2369" s="2">
        <v>1666</v>
      </c>
      <c r="CE2369" s="2" t="s">
        <v>120</v>
      </c>
      <c r="CF2369" s="3">
        <v>43088</v>
      </c>
      <c r="CI2369" s="2">
        <v>1</v>
      </c>
      <c r="CJ2369" s="2">
        <v>1</v>
      </c>
      <c r="CK2369" s="2">
        <v>22</v>
      </c>
      <c r="CL2369" s="2" t="s">
        <v>89</v>
      </c>
    </row>
    <row r="2370" spans="1:90">
      <c r="A2370" s="2" t="s">
        <v>71</v>
      </c>
      <c r="B2370" s="2" t="s">
        <v>72</v>
      </c>
      <c r="C2370" s="2" t="s">
        <v>73</v>
      </c>
      <c r="E2370" s="2" t="str">
        <f>"FES1162596185"</f>
        <v>FES1162596185</v>
      </c>
      <c r="F2370" s="3">
        <v>43084</v>
      </c>
      <c r="G2370" s="2">
        <v>201806</v>
      </c>
      <c r="H2370" s="2" t="s">
        <v>74</v>
      </c>
      <c r="I2370" s="2" t="s">
        <v>75</v>
      </c>
      <c r="J2370" s="2" t="s">
        <v>97</v>
      </c>
      <c r="K2370" s="2" t="s">
        <v>77</v>
      </c>
      <c r="L2370" s="2" t="s">
        <v>158</v>
      </c>
      <c r="M2370" s="2" t="s">
        <v>159</v>
      </c>
      <c r="N2370" s="2" t="s">
        <v>738</v>
      </c>
      <c r="O2370" s="2" t="s">
        <v>101</v>
      </c>
      <c r="P2370" s="2" t="str">
        <f>"2170607934                    "</f>
        <v xml:space="preserve">2170607934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6.43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45.93</v>
      </c>
      <c r="BM2370" s="2">
        <v>6.43</v>
      </c>
      <c r="BN2370" s="2">
        <v>52.36</v>
      </c>
      <c r="BO2370" s="2">
        <v>52.36</v>
      </c>
      <c r="BQ2370" s="2" t="s">
        <v>739</v>
      </c>
      <c r="BR2370" s="2" t="s">
        <v>103</v>
      </c>
      <c r="BS2370" s="3">
        <v>43087</v>
      </c>
      <c r="BT2370" s="4">
        <v>0.46527777777777773</v>
      </c>
      <c r="BU2370" s="2" t="s">
        <v>2568</v>
      </c>
      <c r="BV2370" s="2" t="s">
        <v>89</v>
      </c>
      <c r="BY2370" s="2">
        <v>1200</v>
      </c>
      <c r="CA2370" s="2" t="s">
        <v>1692</v>
      </c>
      <c r="CC2370" s="2" t="s">
        <v>159</v>
      </c>
      <c r="CD2370" s="2">
        <v>117</v>
      </c>
      <c r="CE2370" s="2" t="s">
        <v>120</v>
      </c>
      <c r="CF2370" s="3">
        <v>43088</v>
      </c>
      <c r="CI2370" s="2">
        <v>1</v>
      </c>
      <c r="CJ2370" s="2">
        <v>1</v>
      </c>
      <c r="CK2370" s="2">
        <v>21</v>
      </c>
      <c r="CL2370" s="2" t="s">
        <v>89</v>
      </c>
    </row>
    <row r="2371" spans="1:90">
      <c r="A2371" s="2" t="s">
        <v>71</v>
      </c>
      <c r="B2371" s="2" t="s">
        <v>72</v>
      </c>
      <c r="C2371" s="2" t="s">
        <v>73</v>
      </c>
      <c r="E2371" s="2" t="str">
        <f>"FES1162596293"</f>
        <v>FES1162596293</v>
      </c>
      <c r="F2371" s="3">
        <v>43084</v>
      </c>
      <c r="G2371" s="2">
        <v>201806</v>
      </c>
      <c r="H2371" s="2" t="s">
        <v>74</v>
      </c>
      <c r="I2371" s="2" t="s">
        <v>75</v>
      </c>
      <c r="J2371" s="2" t="s">
        <v>97</v>
      </c>
      <c r="K2371" s="2" t="s">
        <v>77</v>
      </c>
      <c r="L2371" s="2" t="s">
        <v>78</v>
      </c>
      <c r="M2371" s="2" t="s">
        <v>79</v>
      </c>
      <c r="N2371" s="2" t="s">
        <v>2392</v>
      </c>
      <c r="O2371" s="2" t="s">
        <v>101</v>
      </c>
      <c r="P2371" s="2" t="str">
        <f>"2170608050                    "</f>
        <v xml:space="preserve">2170608050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6.43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45.93</v>
      </c>
      <c r="BM2371" s="2">
        <v>6.43</v>
      </c>
      <c r="BN2371" s="2">
        <v>52.36</v>
      </c>
      <c r="BO2371" s="2">
        <v>52.36</v>
      </c>
      <c r="BQ2371" s="2" t="s">
        <v>82</v>
      </c>
      <c r="BR2371" s="2" t="s">
        <v>103</v>
      </c>
      <c r="BS2371" s="3">
        <v>43087</v>
      </c>
      <c r="BT2371" s="4">
        <v>0.40763888888888888</v>
      </c>
      <c r="BU2371" s="2" t="s">
        <v>2569</v>
      </c>
      <c r="BV2371" s="2" t="s">
        <v>85</v>
      </c>
      <c r="BY2371" s="2">
        <v>1200</v>
      </c>
      <c r="CA2371" s="2" t="s">
        <v>86</v>
      </c>
      <c r="CC2371" s="2" t="s">
        <v>79</v>
      </c>
      <c r="CD2371" s="2">
        <v>1947</v>
      </c>
      <c r="CE2371" s="2" t="s">
        <v>120</v>
      </c>
      <c r="CF2371" s="3">
        <v>43089</v>
      </c>
      <c r="CI2371" s="2">
        <v>1</v>
      </c>
      <c r="CJ2371" s="2">
        <v>1</v>
      </c>
      <c r="CK2371" s="2">
        <v>21</v>
      </c>
      <c r="CL2371" s="2" t="s">
        <v>89</v>
      </c>
    </row>
    <row r="2372" spans="1:90">
      <c r="A2372" s="2" t="s">
        <v>71</v>
      </c>
      <c r="B2372" s="2" t="s">
        <v>72</v>
      </c>
      <c r="C2372" s="2" t="s">
        <v>73</v>
      </c>
      <c r="E2372" s="2" t="str">
        <f>"FES1162596432"</f>
        <v>FES1162596432</v>
      </c>
      <c r="F2372" s="3">
        <v>43084</v>
      </c>
      <c r="G2372" s="2">
        <v>201806</v>
      </c>
      <c r="H2372" s="2" t="s">
        <v>74</v>
      </c>
      <c r="I2372" s="2" t="s">
        <v>75</v>
      </c>
      <c r="J2372" s="2" t="s">
        <v>97</v>
      </c>
      <c r="K2372" s="2" t="s">
        <v>77</v>
      </c>
      <c r="L2372" s="2" t="s">
        <v>173</v>
      </c>
      <c r="M2372" s="2" t="s">
        <v>174</v>
      </c>
      <c r="N2372" s="2" t="s">
        <v>2570</v>
      </c>
      <c r="O2372" s="2" t="s">
        <v>101</v>
      </c>
      <c r="P2372" s="2" t="str">
        <f>"2170608077                    "</f>
        <v xml:space="preserve">2170608077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6.43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1</v>
      </c>
      <c r="BJ2372" s="2">
        <v>0.2</v>
      </c>
      <c r="BK2372" s="2">
        <v>1</v>
      </c>
      <c r="BL2372" s="2">
        <v>45.93</v>
      </c>
      <c r="BM2372" s="2">
        <v>6.43</v>
      </c>
      <c r="BN2372" s="2">
        <v>52.36</v>
      </c>
      <c r="BO2372" s="2">
        <v>52.36</v>
      </c>
      <c r="BQ2372" s="2" t="s">
        <v>82</v>
      </c>
      <c r="BR2372" s="2" t="s">
        <v>103</v>
      </c>
      <c r="BS2372" s="3">
        <v>43087</v>
      </c>
      <c r="BT2372" s="4">
        <v>0.57013888888888886</v>
      </c>
      <c r="BU2372" s="2" t="s">
        <v>2571</v>
      </c>
      <c r="BV2372" s="2" t="s">
        <v>89</v>
      </c>
      <c r="BW2372" s="2" t="s">
        <v>313</v>
      </c>
      <c r="BX2372" s="2" t="s">
        <v>246</v>
      </c>
      <c r="BY2372" s="2">
        <v>1200</v>
      </c>
      <c r="CA2372" s="2" t="s">
        <v>743</v>
      </c>
      <c r="CC2372" s="2" t="s">
        <v>174</v>
      </c>
      <c r="CD2372" s="2">
        <v>7925</v>
      </c>
      <c r="CE2372" s="2" t="s">
        <v>120</v>
      </c>
      <c r="CF2372" s="3">
        <v>43088</v>
      </c>
      <c r="CI2372" s="2">
        <v>1</v>
      </c>
      <c r="CJ2372" s="2">
        <v>1</v>
      </c>
      <c r="CK2372" s="2">
        <v>21</v>
      </c>
      <c r="CL2372" s="2" t="s">
        <v>89</v>
      </c>
    </row>
    <row r="2373" spans="1:90">
      <c r="A2373" s="2" t="s">
        <v>71</v>
      </c>
      <c r="B2373" s="2" t="s">
        <v>72</v>
      </c>
      <c r="C2373" s="2" t="s">
        <v>73</v>
      </c>
      <c r="E2373" s="2" t="str">
        <f>"FES1162596379"</f>
        <v>FES1162596379</v>
      </c>
      <c r="F2373" s="3">
        <v>43084</v>
      </c>
      <c r="G2373" s="2">
        <v>201806</v>
      </c>
      <c r="H2373" s="2" t="s">
        <v>74</v>
      </c>
      <c r="I2373" s="2" t="s">
        <v>75</v>
      </c>
      <c r="J2373" s="2" t="s">
        <v>97</v>
      </c>
      <c r="K2373" s="2" t="s">
        <v>77</v>
      </c>
      <c r="L2373" s="2" t="s">
        <v>168</v>
      </c>
      <c r="M2373" s="2" t="s">
        <v>169</v>
      </c>
      <c r="N2373" s="2" t="s">
        <v>1188</v>
      </c>
      <c r="O2373" s="2" t="s">
        <v>101</v>
      </c>
      <c r="P2373" s="2" t="str">
        <f>"2170604720                    "</f>
        <v xml:space="preserve">2170604720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6.43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45.93</v>
      </c>
      <c r="BM2373" s="2">
        <v>6.43</v>
      </c>
      <c r="BN2373" s="2">
        <v>52.36</v>
      </c>
      <c r="BO2373" s="2">
        <v>52.36</v>
      </c>
      <c r="BQ2373" s="2" t="s">
        <v>1189</v>
      </c>
      <c r="BR2373" s="2" t="s">
        <v>103</v>
      </c>
      <c r="BS2373" s="3">
        <v>43087</v>
      </c>
      <c r="BT2373" s="4">
        <v>0.39305555555555555</v>
      </c>
      <c r="BU2373" s="2" t="s">
        <v>2572</v>
      </c>
      <c r="BV2373" s="2" t="s">
        <v>85</v>
      </c>
      <c r="BY2373" s="2">
        <v>1200</v>
      </c>
      <c r="CA2373" s="2" t="s">
        <v>220</v>
      </c>
      <c r="CC2373" s="2" t="s">
        <v>169</v>
      </c>
      <c r="CD2373" s="2">
        <v>3610</v>
      </c>
      <c r="CE2373" s="2" t="s">
        <v>120</v>
      </c>
      <c r="CF2373" s="3">
        <v>43088</v>
      </c>
      <c r="CI2373" s="2">
        <v>1</v>
      </c>
      <c r="CJ2373" s="2">
        <v>1</v>
      </c>
      <c r="CK2373" s="2">
        <v>21</v>
      </c>
      <c r="CL2373" s="2" t="s">
        <v>89</v>
      </c>
    </row>
    <row r="2374" spans="1:90">
      <c r="A2374" s="2" t="s">
        <v>71</v>
      </c>
      <c r="B2374" s="2" t="s">
        <v>72</v>
      </c>
      <c r="C2374" s="2" t="s">
        <v>73</v>
      </c>
      <c r="E2374" s="2" t="str">
        <f>"FES1162596425"</f>
        <v>FES1162596425</v>
      </c>
      <c r="F2374" s="3">
        <v>43084</v>
      </c>
      <c r="G2374" s="2">
        <v>201806</v>
      </c>
      <c r="H2374" s="2" t="s">
        <v>74</v>
      </c>
      <c r="I2374" s="2" t="s">
        <v>75</v>
      </c>
      <c r="J2374" s="2" t="s">
        <v>97</v>
      </c>
      <c r="K2374" s="2" t="s">
        <v>77</v>
      </c>
      <c r="L2374" s="2" t="s">
        <v>168</v>
      </c>
      <c r="M2374" s="2" t="s">
        <v>169</v>
      </c>
      <c r="N2374" s="2" t="s">
        <v>217</v>
      </c>
      <c r="O2374" s="2" t="s">
        <v>101</v>
      </c>
      <c r="P2374" s="2" t="str">
        <f>"2170607755                    "</f>
        <v xml:space="preserve">2170607755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6.43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45.93</v>
      </c>
      <c r="BM2374" s="2">
        <v>6.43</v>
      </c>
      <c r="BN2374" s="2">
        <v>52.36</v>
      </c>
      <c r="BO2374" s="2">
        <v>52.36</v>
      </c>
      <c r="BQ2374" s="2" t="s">
        <v>102</v>
      </c>
      <c r="BR2374" s="2" t="s">
        <v>103</v>
      </c>
      <c r="BS2374" s="3">
        <v>43087</v>
      </c>
      <c r="BT2374" s="4">
        <v>0.41666666666666669</v>
      </c>
      <c r="BU2374" s="2" t="s">
        <v>218</v>
      </c>
      <c r="BV2374" s="2" t="s">
        <v>85</v>
      </c>
      <c r="BY2374" s="2">
        <v>1200</v>
      </c>
      <c r="CA2374" s="2" t="s">
        <v>220</v>
      </c>
      <c r="CC2374" s="2" t="s">
        <v>169</v>
      </c>
      <c r="CD2374" s="2">
        <v>3620</v>
      </c>
      <c r="CE2374" s="2" t="s">
        <v>120</v>
      </c>
      <c r="CF2374" s="3">
        <v>43088</v>
      </c>
      <c r="CI2374" s="2">
        <v>1</v>
      </c>
      <c r="CJ2374" s="2">
        <v>1</v>
      </c>
      <c r="CK2374" s="2">
        <v>21</v>
      </c>
      <c r="CL2374" s="2" t="s">
        <v>89</v>
      </c>
    </row>
    <row r="2375" spans="1:90">
      <c r="A2375" s="2" t="s">
        <v>71</v>
      </c>
      <c r="B2375" s="2" t="s">
        <v>72</v>
      </c>
      <c r="C2375" s="2" t="s">
        <v>73</v>
      </c>
      <c r="E2375" s="2" t="str">
        <f>"FES1162596413"</f>
        <v>FES1162596413</v>
      </c>
      <c r="F2375" s="3">
        <v>43084</v>
      </c>
      <c r="G2375" s="2">
        <v>201806</v>
      </c>
      <c r="H2375" s="2" t="s">
        <v>74</v>
      </c>
      <c r="I2375" s="2" t="s">
        <v>75</v>
      </c>
      <c r="J2375" s="2" t="s">
        <v>97</v>
      </c>
      <c r="K2375" s="2" t="s">
        <v>77</v>
      </c>
      <c r="L2375" s="2" t="s">
        <v>98</v>
      </c>
      <c r="M2375" s="2" t="s">
        <v>99</v>
      </c>
      <c r="N2375" s="2" t="s">
        <v>820</v>
      </c>
      <c r="O2375" s="2" t="s">
        <v>101</v>
      </c>
      <c r="P2375" s="2" t="str">
        <f>"2170606505                    "</f>
        <v xml:space="preserve">2170606505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6.43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45.93</v>
      </c>
      <c r="BM2375" s="2">
        <v>6.43</v>
      </c>
      <c r="BN2375" s="2">
        <v>52.36</v>
      </c>
      <c r="BO2375" s="2">
        <v>52.36</v>
      </c>
      <c r="BQ2375" s="2" t="s">
        <v>821</v>
      </c>
      <c r="BR2375" s="2" t="s">
        <v>103</v>
      </c>
      <c r="BS2375" s="3">
        <v>43087</v>
      </c>
      <c r="BT2375" s="4">
        <v>0.4069444444444445</v>
      </c>
      <c r="BU2375" s="2" t="s">
        <v>2573</v>
      </c>
      <c r="BV2375" s="2" t="s">
        <v>85</v>
      </c>
      <c r="BY2375" s="2">
        <v>1200</v>
      </c>
      <c r="CA2375" s="2" t="s">
        <v>497</v>
      </c>
      <c r="CC2375" s="2" t="s">
        <v>99</v>
      </c>
      <c r="CD2375" s="2">
        <v>3200</v>
      </c>
      <c r="CE2375" s="2" t="s">
        <v>120</v>
      </c>
      <c r="CF2375" s="3">
        <v>43089</v>
      </c>
      <c r="CI2375" s="2">
        <v>1</v>
      </c>
      <c r="CJ2375" s="2">
        <v>1</v>
      </c>
      <c r="CK2375" s="2">
        <v>21</v>
      </c>
      <c r="CL2375" s="2" t="s">
        <v>89</v>
      </c>
    </row>
    <row r="2376" spans="1:90">
      <c r="A2376" s="2" t="s">
        <v>71</v>
      </c>
      <c r="B2376" s="2" t="s">
        <v>72</v>
      </c>
      <c r="C2376" s="2" t="s">
        <v>73</v>
      </c>
      <c r="E2376" s="2" t="str">
        <f>"FES1162596282"</f>
        <v>FES1162596282</v>
      </c>
      <c r="F2376" s="3">
        <v>43084</v>
      </c>
      <c r="G2376" s="2">
        <v>201806</v>
      </c>
      <c r="H2376" s="2" t="s">
        <v>74</v>
      </c>
      <c r="I2376" s="2" t="s">
        <v>75</v>
      </c>
      <c r="J2376" s="2" t="s">
        <v>97</v>
      </c>
      <c r="K2376" s="2" t="s">
        <v>77</v>
      </c>
      <c r="L2376" s="2" t="s">
        <v>125</v>
      </c>
      <c r="M2376" s="2" t="s">
        <v>126</v>
      </c>
      <c r="N2376" s="2" t="s">
        <v>1034</v>
      </c>
      <c r="O2376" s="2" t="s">
        <v>101</v>
      </c>
      <c r="P2376" s="2" t="str">
        <f>"2170608039                    "</f>
        <v xml:space="preserve">2170608039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6.43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1</v>
      </c>
      <c r="BJ2376" s="2">
        <v>0.2</v>
      </c>
      <c r="BK2376" s="2">
        <v>1</v>
      </c>
      <c r="BL2376" s="2">
        <v>45.93</v>
      </c>
      <c r="BM2376" s="2">
        <v>6.43</v>
      </c>
      <c r="BN2376" s="2">
        <v>52.36</v>
      </c>
      <c r="BO2376" s="2">
        <v>52.36</v>
      </c>
      <c r="BQ2376" s="2" t="s">
        <v>128</v>
      </c>
      <c r="BR2376" s="2" t="s">
        <v>103</v>
      </c>
      <c r="BS2376" s="2" t="s">
        <v>185</v>
      </c>
      <c r="BY2376" s="2">
        <v>1200</v>
      </c>
      <c r="CC2376" s="2" t="s">
        <v>126</v>
      </c>
      <c r="CD2376" s="2">
        <v>4001</v>
      </c>
      <c r="CE2376" s="2" t="s">
        <v>120</v>
      </c>
      <c r="CI2376" s="2">
        <v>1</v>
      </c>
      <c r="CJ2376" s="2" t="s">
        <v>185</v>
      </c>
      <c r="CK2376" s="2">
        <v>21</v>
      </c>
      <c r="CL2376" s="2" t="s">
        <v>89</v>
      </c>
    </row>
    <row r="2377" spans="1:90">
      <c r="A2377" s="2" t="s">
        <v>71</v>
      </c>
      <c r="B2377" s="2" t="s">
        <v>72</v>
      </c>
      <c r="C2377" s="2" t="s">
        <v>73</v>
      </c>
      <c r="E2377" s="2" t="str">
        <f>"FES1162596348"</f>
        <v>FES1162596348</v>
      </c>
      <c r="F2377" s="3">
        <v>43084</v>
      </c>
      <c r="G2377" s="2">
        <v>201806</v>
      </c>
      <c r="H2377" s="2" t="s">
        <v>74</v>
      </c>
      <c r="I2377" s="2" t="s">
        <v>75</v>
      </c>
      <c r="J2377" s="2" t="s">
        <v>97</v>
      </c>
      <c r="K2377" s="2" t="s">
        <v>77</v>
      </c>
      <c r="L2377" s="2" t="s">
        <v>759</v>
      </c>
      <c r="M2377" s="2" t="s">
        <v>760</v>
      </c>
      <c r="N2377" s="2" t="s">
        <v>761</v>
      </c>
      <c r="O2377" s="2" t="s">
        <v>101</v>
      </c>
      <c r="P2377" s="2" t="str">
        <f>"2170604139                    "</f>
        <v xml:space="preserve">2170604139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6.43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1</v>
      </c>
      <c r="BJ2377" s="2">
        <v>0.2</v>
      </c>
      <c r="BK2377" s="2">
        <v>1</v>
      </c>
      <c r="BL2377" s="2">
        <v>45.93</v>
      </c>
      <c r="BM2377" s="2">
        <v>6.43</v>
      </c>
      <c r="BN2377" s="2">
        <v>52.36</v>
      </c>
      <c r="BO2377" s="2">
        <v>52.36</v>
      </c>
      <c r="BQ2377" s="2" t="s">
        <v>82</v>
      </c>
      <c r="BR2377" s="2" t="s">
        <v>103</v>
      </c>
      <c r="BS2377" s="3">
        <v>43087</v>
      </c>
      <c r="BT2377" s="4">
        <v>0.37847222222222227</v>
      </c>
      <c r="BU2377" s="2" t="s">
        <v>1284</v>
      </c>
      <c r="BV2377" s="2" t="s">
        <v>85</v>
      </c>
      <c r="BY2377" s="2">
        <v>1200</v>
      </c>
      <c r="CA2377" s="2" t="s">
        <v>578</v>
      </c>
      <c r="CC2377" s="2" t="s">
        <v>760</v>
      </c>
      <c r="CD2377" s="2">
        <v>4026</v>
      </c>
      <c r="CE2377" s="2" t="s">
        <v>120</v>
      </c>
      <c r="CF2377" s="3">
        <v>43088</v>
      </c>
      <c r="CI2377" s="2">
        <v>1</v>
      </c>
      <c r="CJ2377" s="2">
        <v>1</v>
      </c>
      <c r="CK2377" s="2">
        <v>21</v>
      </c>
      <c r="CL2377" s="2" t="s">
        <v>89</v>
      </c>
    </row>
    <row r="2378" spans="1:90">
      <c r="A2378" s="2" t="s">
        <v>71</v>
      </c>
      <c r="B2378" s="2" t="s">
        <v>72</v>
      </c>
      <c r="C2378" s="2" t="s">
        <v>73</v>
      </c>
      <c r="E2378" s="2" t="str">
        <f>"FES1162596260"</f>
        <v>FES1162596260</v>
      </c>
      <c r="F2378" s="3">
        <v>43084</v>
      </c>
      <c r="G2378" s="2">
        <v>201806</v>
      </c>
      <c r="H2378" s="2" t="s">
        <v>74</v>
      </c>
      <c r="I2378" s="2" t="s">
        <v>75</v>
      </c>
      <c r="J2378" s="2" t="s">
        <v>97</v>
      </c>
      <c r="K2378" s="2" t="s">
        <v>77</v>
      </c>
      <c r="L2378" s="2" t="s">
        <v>125</v>
      </c>
      <c r="M2378" s="2" t="s">
        <v>126</v>
      </c>
      <c r="N2378" s="2" t="s">
        <v>576</v>
      </c>
      <c r="O2378" s="2" t="s">
        <v>101</v>
      </c>
      <c r="P2378" s="2" t="str">
        <f>"2170607711                    "</f>
        <v xml:space="preserve">2170607711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6.43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</v>
      </c>
      <c r="BJ2378" s="2">
        <v>0.2</v>
      </c>
      <c r="BK2378" s="2">
        <v>1</v>
      </c>
      <c r="BL2378" s="2">
        <v>45.93</v>
      </c>
      <c r="BM2378" s="2">
        <v>6.43</v>
      </c>
      <c r="BN2378" s="2">
        <v>52.36</v>
      </c>
      <c r="BO2378" s="2">
        <v>52.36</v>
      </c>
      <c r="BQ2378" s="2" t="s">
        <v>82</v>
      </c>
      <c r="BR2378" s="2" t="s">
        <v>103</v>
      </c>
      <c r="BS2378" s="3">
        <v>43087</v>
      </c>
      <c r="BT2378" s="4">
        <v>0.33611111111111108</v>
      </c>
      <c r="BU2378" s="2" t="s">
        <v>2191</v>
      </c>
      <c r="BV2378" s="2" t="s">
        <v>85</v>
      </c>
      <c r="BY2378" s="2">
        <v>1200</v>
      </c>
      <c r="CA2378" s="2" t="s">
        <v>578</v>
      </c>
      <c r="CC2378" s="2" t="s">
        <v>126</v>
      </c>
      <c r="CD2378" s="2">
        <v>4052</v>
      </c>
      <c r="CE2378" s="2" t="s">
        <v>120</v>
      </c>
      <c r="CF2378" s="3">
        <v>43088</v>
      </c>
      <c r="CI2378" s="2">
        <v>1</v>
      </c>
      <c r="CJ2378" s="2">
        <v>1</v>
      </c>
      <c r="CK2378" s="2">
        <v>21</v>
      </c>
      <c r="CL2378" s="2" t="s">
        <v>89</v>
      </c>
    </row>
    <row r="2379" spans="1:90">
      <c r="A2379" s="2" t="s">
        <v>71</v>
      </c>
      <c r="B2379" s="2" t="s">
        <v>72</v>
      </c>
      <c r="C2379" s="2" t="s">
        <v>73</v>
      </c>
      <c r="E2379" s="2" t="str">
        <f>"FES1162596075"</f>
        <v>FES1162596075</v>
      </c>
      <c r="F2379" s="3">
        <v>43084</v>
      </c>
      <c r="G2379" s="2">
        <v>201806</v>
      </c>
      <c r="H2379" s="2" t="s">
        <v>74</v>
      </c>
      <c r="I2379" s="2" t="s">
        <v>75</v>
      </c>
      <c r="J2379" s="2" t="s">
        <v>97</v>
      </c>
      <c r="K2379" s="2" t="s">
        <v>77</v>
      </c>
      <c r="L2379" s="2" t="s">
        <v>158</v>
      </c>
      <c r="M2379" s="2" t="s">
        <v>159</v>
      </c>
      <c r="N2379" s="2" t="s">
        <v>164</v>
      </c>
      <c r="O2379" s="2" t="s">
        <v>101</v>
      </c>
      <c r="P2379" s="2" t="str">
        <f>"2170603898                    "</f>
        <v xml:space="preserve">2170603898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6.43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45.93</v>
      </c>
      <c r="BM2379" s="2">
        <v>6.43</v>
      </c>
      <c r="BN2379" s="2">
        <v>52.36</v>
      </c>
      <c r="BO2379" s="2">
        <v>52.36</v>
      </c>
      <c r="BQ2379" s="2" t="s">
        <v>102</v>
      </c>
      <c r="BR2379" s="2" t="s">
        <v>103</v>
      </c>
      <c r="BS2379" s="3">
        <v>43087</v>
      </c>
      <c r="BT2379" s="4">
        <v>0.65069444444444446</v>
      </c>
      <c r="BU2379" s="2" t="s">
        <v>2417</v>
      </c>
      <c r="BV2379" s="2" t="s">
        <v>89</v>
      </c>
      <c r="BY2379" s="2">
        <v>1200</v>
      </c>
      <c r="CA2379" s="2" t="s">
        <v>362</v>
      </c>
      <c r="CC2379" s="2" t="s">
        <v>159</v>
      </c>
      <c r="CD2379" s="2">
        <v>200</v>
      </c>
      <c r="CE2379" s="2" t="s">
        <v>120</v>
      </c>
      <c r="CF2379" s="3">
        <v>43088</v>
      </c>
      <c r="CI2379" s="2">
        <v>1</v>
      </c>
      <c r="CJ2379" s="2">
        <v>1</v>
      </c>
      <c r="CK2379" s="2">
        <v>21</v>
      </c>
      <c r="CL2379" s="2" t="s">
        <v>89</v>
      </c>
    </row>
    <row r="2380" spans="1:90">
      <c r="A2380" s="2" t="s">
        <v>71</v>
      </c>
      <c r="B2380" s="2" t="s">
        <v>72</v>
      </c>
      <c r="C2380" s="2" t="s">
        <v>73</v>
      </c>
      <c r="E2380" s="2" t="str">
        <f>"FES1162596096"</f>
        <v>FES1162596096</v>
      </c>
      <c r="F2380" s="3">
        <v>43084</v>
      </c>
      <c r="G2380" s="2">
        <v>201806</v>
      </c>
      <c r="H2380" s="2" t="s">
        <v>74</v>
      </c>
      <c r="I2380" s="2" t="s">
        <v>75</v>
      </c>
      <c r="J2380" s="2" t="s">
        <v>97</v>
      </c>
      <c r="K2380" s="2" t="s">
        <v>77</v>
      </c>
      <c r="L2380" s="2" t="s">
        <v>158</v>
      </c>
      <c r="M2380" s="2" t="s">
        <v>159</v>
      </c>
      <c r="N2380" s="2" t="s">
        <v>164</v>
      </c>
      <c r="O2380" s="2" t="s">
        <v>101</v>
      </c>
      <c r="P2380" s="2" t="str">
        <f>"2170603238                    "</f>
        <v xml:space="preserve">2170603238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6.43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0.2</v>
      </c>
      <c r="BK2380" s="2">
        <v>1</v>
      </c>
      <c r="BL2380" s="2">
        <v>45.93</v>
      </c>
      <c r="BM2380" s="2">
        <v>6.43</v>
      </c>
      <c r="BN2380" s="2">
        <v>52.36</v>
      </c>
      <c r="BO2380" s="2">
        <v>52.36</v>
      </c>
      <c r="BQ2380" s="2" t="s">
        <v>102</v>
      </c>
      <c r="BR2380" s="2" t="s">
        <v>103</v>
      </c>
      <c r="BS2380" s="3">
        <v>43087</v>
      </c>
      <c r="BT2380" s="4">
        <v>0.65</v>
      </c>
      <c r="BU2380" s="2" t="s">
        <v>2417</v>
      </c>
      <c r="BV2380" s="2" t="s">
        <v>89</v>
      </c>
      <c r="BY2380" s="2">
        <v>1200</v>
      </c>
      <c r="CA2380" s="2" t="s">
        <v>362</v>
      </c>
      <c r="CC2380" s="2" t="s">
        <v>159</v>
      </c>
      <c r="CD2380" s="2">
        <v>200</v>
      </c>
      <c r="CE2380" s="2" t="s">
        <v>120</v>
      </c>
      <c r="CF2380" s="3">
        <v>43088</v>
      </c>
      <c r="CI2380" s="2">
        <v>1</v>
      </c>
      <c r="CJ2380" s="2">
        <v>1</v>
      </c>
      <c r="CK2380" s="2">
        <v>21</v>
      </c>
      <c r="CL2380" s="2" t="s">
        <v>89</v>
      </c>
    </row>
    <row r="2381" spans="1:90">
      <c r="A2381" s="2" t="s">
        <v>71</v>
      </c>
      <c r="B2381" s="2" t="s">
        <v>72</v>
      </c>
      <c r="C2381" s="2" t="s">
        <v>73</v>
      </c>
      <c r="E2381" s="2" t="str">
        <f>"FES1162596335"</f>
        <v>FES1162596335</v>
      </c>
      <c r="F2381" s="3">
        <v>43084</v>
      </c>
      <c r="G2381" s="2">
        <v>201806</v>
      </c>
      <c r="H2381" s="2" t="s">
        <v>74</v>
      </c>
      <c r="I2381" s="2" t="s">
        <v>75</v>
      </c>
      <c r="J2381" s="2" t="s">
        <v>97</v>
      </c>
      <c r="K2381" s="2" t="s">
        <v>77</v>
      </c>
      <c r="L2381" s="2" t="s">
        <v>98</v>
      </c>
      <c r="M2381" s="2" t="s">
        <v>99</v>
      </c>
      <c r="N2381" s="2" t="s">
        <v>795</v>
      </c>
      <c r="O2381" s="2" t="s">
        <v>101</v>
      </c>
      <c r="P2381" s="2" t="str">
        <f>"2170603896                    "</f>
        <v xml:space="preserve">2170603896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6.43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1</v>
      </c>
      <c r="BJ2381" s="2">
        <v>0.2</v>
      </c>
      <c r="BK2381" s="2">
        <v>1</v>
      </c>
      <c r="BL2381" s="2">
        <v>45.93</v>
      </c>
      <c r="BM2381" s="2">
        <v>6.43</v>
      </c>
      <c r="BN2381" s="2">
        <v>52.36</v>
      </c>
      <c r="BO2381" s="2">
        <v>52.36</v>
      </c>
      <c r="BQ2381" s="2" t="s">
        <v>102</v>
      </c>
      <c r="BR2381" s="2" t="s">
        <v>103</v>
      </c>
      <c r="BS2381" s="2" t="s">
        <v>185</v>
      </c>
      <c r="BY2381" s="2">
        <v>1200</v>
      </c>
      <c r="CC2381" s="2" t="s">
        <v>99</v>
      </c>
      <c r="CD2381" s="2">
        <v>3201</v>
      </c>
      <c r="CE2381" s="2" t="s">
        <v>120</v>
      </c>
      <c r="CI2381" s="2">
        <v>1</v>
      </c>
      <c r="CJ2381" s="2" t="s">
        <v>185</v>
      </c>
      <c r="CK2381" s="2">
        <v>21</v>
      </c>
      <c r="CL2381" s="2" t="s">
        <v>89</v>
      </c>
    </row>
    <row r="2382" spans="1:90">
      <c r="A2382" s="2" t="s">
        <v>71</v>
      </c>
      <c r="B2382" s="2" t="s">
        <v>72</v>
      </c>
      <c r="C2382" s="2" t="s">
        <v>73</v>
      </c>
      <c r="E2382" s="2" t="str">
        <f>"FES1162596400"</f>
        <v>FES1162596400</v>
      </c>
      <c r="F2382" s="3">
        <v>43084</v>
      </c>
      <c r="G2382" s="2">
        <v>201806</v>
      </c>
      <c r="H2382" s="2" t="s">
        <v>74</v>
      </c>
      <c r="I2382" s="2" t="s">
        <v>75</v>
      </c>
      <c r="J2382" s="2" t="s">
        <v>97</v>
      </c>
      <c r="K2382" s="2" t="s">
        <v>77</v>
      </c>
      <c r="L2382" s="2" t="s">
        <v>168</v>
      </c>
      <c r="M2382" s="2" t="s">
        <v>169</v>
      </c>
      <c r="N2382" s="2" t="s">
        <v>2219</v>
      </c>
      <c r="O2382" s="2" t="s">
        <v>101</v>
      </c>
      <c r="P2382" s="2" t="str">
        <f>"2170605260                    "</f>
        <v xml:space="preserve">2170605260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6.43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</v>
      </c>
      <c r="BJ2382" s="2">
        <v>0.5</v>
      </c>
      <c r="BK2382" s="2">
        <v>1</v>
      </c>
      <c r="BL2382" s="2">
        <v>45.93</v>
      </c>
      <c r="BM2382" s="2">
        <v>6.43</v>
      </c>
      <c r="BN2382" s="2">
        <v>52.36</v>
      </c>
      <c r="BO2382" s="2">
        <v>52.36</v>
      </c>
      <c r="BQ2382" s="2" t="s">
        <v>2574</v>
      </c>
      <c r="BR2382" s="2" t="s">
        <v>103</v>
      </c>
      <c r="BS2382" s="3">
        <v>43087</v>
      </c>
      <c r="BT2382" s="4">
        <v>0.34722222222222227</v>
      </c>
      <c r="BU2382" s="2" t="s">
        <v>2220</v>
      </c>
      <c r="BV2382" s="2" t="s">
        <v>85</v>
      </c>
      <c r="BY2382" s="2">
        <v>2400</v>
      </c>
      <c r="CA2382" s="2" t="s">
        <v>220</v>
      </c>
      <c r="CC2382" s="2" t="s">
        <v>169</v>
      </c>
      <c r="CD2382" s="2">
        <v>3600</v>
      </c>
      <c r="CE2382" s="2" t="s">
        <v>120</v>
      </c>
      <c r="CF2382" s="3">
        <v>43088</v>
      </c>
      <c r="CI2382" s="2">
        <v>1</v>
      </c>
      <c r="CJ2382" s="2">
        <v>1</v>
      </c>
      <c r="CK2382" s="2">
        <v>21</v>
      </c>
      <c r="CL2382" s="2" t="s">
        <v>89</v>
      </c>
    </row>
    <row r="2383" spans="1:90">
      <c r="A2383" s="2" t="s">
        <v>71</v>
      </c>
      <c r="B2383" s="2" t="s">
        <v>72</v>
      </c>
      <c r="C2383" s="2" t="s">
        <v>73</v>
      </c>
      <c r="E2383" s="2" t="str">
        <f>"FES1162596252"</f>
        <v>FES1162596252</v>
      </c>
      <c r="F2383" s="3">
        <v>43084</v>
      </c>
      <c r="G2383" s="2">
        <v>201806</v>
      </c>
      <c r="H2383" s="2" t="s">
        <v>74</v>
      </c>
      <c r="I2383" s="2" t="s">
        <v>75</v>
      </c>
      <c r="J2383" s="2" t="s">
        <v>97</v>
      </c>
      <c r="K2383" s="2" t="s">
        <v>77</v>
      </c>
      <c r="L2383" s="2" t="s">
        <v>168</v>
      </c>
      <c r="M2383" s="2" t="s">
        <v>169</v>
      </c>
      <c r="N2383" s="2" t="s">
        <v>351</v>
      </c>
      <c r="O2383" s="2" t="s">
        <v>101</v>
      </c>
      <c r="P2383" s="2" t="str">
        <f>"2170606482                    "</f>
        <v xml:space="preserve">2170606482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6.43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1</v>
      </c>
      <c r="BJ2383" s="2">
        <v>0.2</v>
      </c>
      <c r="BK2383" s="2">
        <v>1</v>
      </c>
      <c r="BL2383" s="2">
        <v>45.93</v>
      </c>
      <c r="BM2383" s="2">
        <v>6.43</v>
      </c>
      <c r="BN2383" s="2">
        <v>52.36</v>
      </c>
      <c r="BO2383" s="2">
        <v>52.36</v>
      </c>
      <c r="BQ2383" s="2" t="s">
        <v>102</v>
      </c>
      <c r="BR2383" s="2" t="s">
        <v>103</v>
      </c>
      <c r="BS2383" s="3">
        <v>43087</v>
      </c>
      <c r="BT2383" s="4">
        <v>0.32569444444444445</v>
      </c>
      <c r="BU2383" s="2" t="s">
        <v>868</v>
      </c>
      <c r="BV2383" s="2" t="s">
        <v>85</v>
      </c>
      <c r="BY2383" s="2">
        <v>1200</v>
      </c>
      <c r="CA2383" s="2" t="s">
        <v>220</v>
      </c>
      <c r="CC2383" s="2" t="s">
        <v>169</v>
      </c>
      <c r="CD2383" s="2">
        <v>3610</v>
      </c>
      <c r="CE2383" s="2" t="s">
        <v>120</v>
      </c>
      <c r="CF2383" s="3">
        <v>43088</v>
      </c>
      <c r="CI2383" s="2">
        <v>1</v>
      </c>
      <c r="CJ2383" s="2">
        <v>1</v>
      </c>
      <c r="CK2383" s="2">
        <v>21</v>
      </c>
      <c r="CL2383" s="2" t="s">
        <v>89</v>
      </c>
    </row>
    <row r="2384" spans="1:90">
      <c r="A2384" s="2" t="s">
        <v>71</v>
      </c>
      <c r="B2384" s="2" t="s">
        <v>72</v>
      </c>
      <c r="C2384" s="2" t="s">
        <v>73</v>
      </c>
      <c r="E2384" s="2" t="str">
        <f>"FES1162596265"</f>
        <v>FES1162596265</v>
      </c>
      <c r="F2384" s="3">
        <v>43084</v>
      </c>
      <c r="G2384" s="2">
        <v>201806</v>
      </c>
      <c r="H2384" s="2" t="s">
        <v>74</v>
      </c>
      <c r="I2384" s="2" t="s">
        <v>75</v>
      </c>
      <c r="J2384" s="2" t="s">
        <v>97</v>
      </c>
      <c r="K2384" s="2" t="s">
        <v>77</v>
      </c>
      <c r="L2384" s="2" t="s">
        <v>1051</v>
      </c>
      <c r="M2384" s="2" t="s">
        <v>1052</v>
      </c>
      <c r="N2384" s="2" t="s">
        <v>1053</v>
      </c>
      <c r="O2384" s="2" t="s">
        <v>101</v>
      </c>
      <c r="P2384" s="2" t="str">
        <f>"2170608020                    "</f>
        <v xml:space="preserve">2170608020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12.47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1</v>
      </c>
      <c r="BJ2384" s="2">
        <v>0.2</v>
      </c>
      <c r="BK2384" s="2">
        <v>1</v>
      </c>
      <c r="BL2384" s="2">
        <v>89</v>
      </c>
      <c r="BM2384" s="2">
        <v>12.46</v>
      </c>
      <c r="BN2384" s="2">
        <v>101.46</v>
      </c>
      <c r="BO2384" s="2">
        <v>101.46</v>
      </c>
      <c r="BQ2384" s="2" t="s">
        <v>82</v>
      </c>
      <c r="BR2384" s="2" t="s">
        <v>103</v>
      </c>
      <c r="BS2384" s="3">
        <v>43087</v>
      </c>
      <c r="BT2384" s="4">
        <v>0.58333333333333337</v>
      </c>
      <c r="BU2384" s="2" t="s">
        <v>1054</v>
      </c>
      <c r="BV2384" s="2" t="s">
        <v>85</v>
      </c>
      <c r="BY2384" s="2">
        <v>1200</v>
      </c>
      <c r="CC2384" s="2" t="s">
        <v>1052</v>
      </c>
      <c r="CD2384" s="2">
        <v>3370</v>
      </c>
      <c r="CE2384" s="2" t="s">
        <v>120</v>
      </c>
      <c r="CF2384" s="3">
        <v>43090</v>
      </c>
      <c r="CI2384" s="2">
        <v>3</v>
      </c>
      <c r="CJ2384" s="2">
        <v>1</v>
      </c>
      <c r="CK2384" s="2">
        <v>23</v>
      </c>
      <c r="CL2384" s="2" t="s">
        <v>89</v>
      </c>
    </row>
    <row r="2385" spans="1:90">
      <c r="A2385" s="2" t="s">
        <v>71</v>
      </c>
      <c r="B2385" s="2" t="s">
        <v>72</v>
      </c>
      <c r="C2385" s="2" t="s">
        <v>73</v>
      </c>
      <c r="E2385" s="2" t="str">
        <f>"FES1162596251"</f>
        <v>FES1162596251</v>
      </c>
      <c r="F2385" s="3">
        <v>43084</v>
      </c>
      <c r="G2385" s="2">
        <v>201806</v>
      </c>
      <c r="H2385" s="2" t="s">
        <v>74</v>
      </c>
      <c r="I2385" s="2" t="s">
        <v>75</v>
      </c>
      <c r="J2385" s="2" t="s">
        <v>97</v>
      </c>
      <c r="K2385" s="2" t="s">
        <v>77</v>
      </c>
      <c r="L2385" s="2" t="s">
        <v>168</v>
      </c>
      <c r="M2385" s="2" t="s">
        <v>169</v>
      </c>
      <c r="N2385" s="2" t="s">
        <v>170</v>
      </c>
      <c r="O2385" s="2" t="s">
        <v>101</v>
      </c>
      <c r="P2385" s="2" t="str">
        <f>"2170606433                    "</f>
        <v xml:space="preserve">2170606433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6.43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</v>
      </c>
      <c r="BJ2385" s="2">
        <v>0.2</v>
      </c>
      <c r="BK2385" s="2">
        <v>1</v>
      </c>
      <c r="BL2385" s="2">
        <v>45.93</v>
      </c>
      <c r="BM2385" s="2">
        <v>6.43</v>
      </c>
      <c r="BN2385" s="2">
        <v>52.36</v>
      </c>
      <c r="BO2385" s="2">
        <v>52.36</v>
      </c>
      <c r="BQ2385" s="2" t="s">
        <v>128</v>
      </c>
      <c r="BR2385" s="2" t="s">
        <v>103</v>
      </c>
      <c r="BS2385" s="3">
        <v>43087</v>
      </c>
      <c r="BT2385" s="4">
        <v>0.38750000000000001</v>
      </c>
      <c r="BU2385" s="2" t="s">
        <v>171</v>
      </c>
      <c r="BV2385" s="2" t="s">
        <v>85</v>
      </c>
      <c r="BY2385" s="2">
        <v>1200</v>
      </c>
      <c r="CA2385" s="2" t="s">
        <v>172</v>
      </c>
      <c r="CC2385" s="2" t="s">
        <v>169</v>
      </c>
      <c r="CD2385" s="2">
        <v>3610</v>
      </c>
      <c r="CE2385" s="2" t="s">
        <v>120</v>
      </c>
      <c r="CF2385" s="3">
        <v>43088</v>
      </c>
      <c r="CI2385" s="2">
        <v>1</v>
      </c>
      <c r="CJ2385" s="2">
        <v>1</v>
      </c>
      <c r="CK2385" s="2">
        <v>21</v>
      </c>
      <c r="CL2385" s="2" t="s">
        <v>89</v>
      </c>
    </row>
    <row r="2386" spans="1:90">
      <c r="A2386" s="2" t="s">
        <v>71</v>
      </c>
      <c r="B2386" s="2" t="s">
        <v>72</v>
      </c>
      <c r="C2386" s="2" t="s">
        <v>73</v>
      </c>
      <c r="E2386" s="2" t="str">
        <f>"FES1162596291"</f>
        <v>FES1162596291</v>
      </c>
      <c r="F2386" s="3">
        <v>43084</v>
      </c>
      <c r="G2386" s="2">
        <v>201806</v>
      </c>
      <c r="H2386" s="2" t="s">
        <v>74</v>
      </c>
      <c r="I2386" s="2" t="s">
        <v>75</v>
      </c>
      <c r="J2386" s="2" t="s">
        <v>97</v>
      </c>
      <c r="K2386" s="2" t="s">
        <v>77</v>
      </c>
      <c r="L2386" s="2" t="s">
        <v>1624</v>
      </c>
      <c r="M2386" s="2" t="s">
        <v>1625</v>
      </c>
      <c r="N2386" s="2" t="s">
        <v>2316</v>
      </c>
      <c r="O2386" s="2" t="s">
        <v>101</v>
      </c>
      <c r="P2386" s="2" t="str">
        <f>"2170608048                    "</f>
        <v xml:space="preserve">2170608048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12.47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</v>
      </c>
      <c r="BJ2386" s="2">
        <v>0.2</v>
      </c>
      <c r="BK2386" s="2">
        <v>1</v>
      </c>
      <c r="BL2386" s="2">
        <v>89</v>
      </c>
      <c r="BM2386" s="2">
        <v>12.46</v>
      </c>
      <c r="BN2386" s="2">
        <v>101.46</v>
      </c>
      <c r="BO2386" s="2">
        <v>101.46</v>
      </c>
      <c r="BQ2386" s="2" t="s">
        <v>187</v>
      </c>
      <c r="BR2386" s="2" t="s">
        <v>103</v>
      </c>
      <c r="BS2386" s="2" t="s">
        <v>185</v>
      </c>
      <c r="BY2386" s="2">
        <v>1200</v>
      </c>
      <c r="CC2386" s="2" t="s">
        <v>1625</v>
      </c>
      <c r="CD2386" s="2">
        <v>4449</v>
      </c>
      <c r="CE2386" s="2" t="s">
        <v>120</v>
      </c>
      <c r="CI2386" s="2">
        <v>1</v>
      </c>
      <c r="CJ2386" s="2" t="s">
        <v>185</v>
      </c>
      <c r="CK2386" s="2">
        <v>23</v>
      </c>
      <c r="CL2386" s="2" t="s">
        <v>89</v>
      </c>
    </row>
    <row r="2387" spans="1:90">
      <c r="A2387" s="2" t="s">
        <v>71</v>
      </c>
      <c r="B2387" s="2" t="s">
        <v>72</v>
      </c>
      <c r="C2387" s="2" t="s">
        <v>73</v>
      </c>
      <c r="E2387" s="2" t="str">
        <f>"FES1162596336"</f>
        <v>FES1162596336</v>
      </c>
      <c r="F2387" s="3">
        <v>43084</v>
      </c>
      <c r="G2387" s="2">
        <v>201806</v>
      </c>
      <c r="H2387" s="2" t="s">
        <v>74</v>
      </c>
      <c r="I2387" s="2" t="s">
        <v>75</v>
      </c>
      <c r="J2387" s="2" t="s">
        <v>97</v>
      </c>
      <c r="K2387" s="2" t="s">
        <v>77</v>
      </c>
      <c r="L2387" s="2" t="s">
        <v>125</v>
      </c>
      <c r="M2387" s="2" t="s">
        <v>126</v>
      </c>
      <c r="N2387" s="2" t="s">
        <v>955</v>
      </c>
      <c r="O2387" s="2" t="s">
        <v>101</v>
      </c>
      <c r="P2387" s="2" t="str">
        <f>"2170603901                    "</f>
        <v xml:space="preserve">2170603901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6.43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45.93</v>
      </c>
      <c r="BM2387" s="2">
        <v>6.43</v>
      </c>
      <c r="BN2387" s="2">
        <v>52.36</v>
      </c>
      <c r="BO2387" s="2">
        <v>52.36</v>
      </c>
      <c r="BQ2387" s="2" t="s">
        <v>102</v>
      </c>
      <c r="BR2387" s="2" t="s">
        <v>103</v>
      </c>
      <c r="BS2387" s="3">
        <v>43087</v>
      </c>
      <c r="BT2387" s="4">
        <v>0.33333333333333331</v>
      </c>
      <c r="BU2387" s="2" t="s">
        <v>2575</v>
      </c>
      <c r="BV2387" s="2" t="s">
        <v>85</v>
      </c>
      <c r="BY2387" s="2">
        <v>1200</v>
      </c>
      <c r="CC2387" s="2" t="s">
        <v>126</v>
      </c>
      <c r="CD2387" s="2">
        <v>4001</v>
      </c>
      <c r="CE2387" s="2" t="s">
        <v>120</v>
      </c>
      <c r="CF2387" s="3">
        <v>43088</v>
      </c>
      <c r="CI2387" s="2">
        <v>1</v>
      </c>
      <c r="CJ2387" s="2">
        <v>1</v>
      </c>
      <c r="CK2387" s="2">
        <v>21</v>
      </c>
      <c r="CL2387" s="2" t="s">
        <v>89</v>
      </c>
    </row>
    <row r="2388" spans="1:90">
      <c r="A2388" s="2" t="s">
        <v>71</v>
      </c>
      <c r="B2388" s="2" t="s">
        <v>72</v>
      </c>
      <c r="C2388" s="2" t="s">
        <v>73</v>
      </c>
      <c r="E2388" s="2" t="str">
        <f>"FES1162596248"</f>
        <v>FES1162596248</v>
      </c>
      <c r="F2388" s="3">
        <v>43084</v>
      </c>
      <c r="G2388" s="2">
        <v>201806</v>
      </c>
      <c r="H2388" s="2" t="s">
        <v>74</v>
      </c>
      <c r="I2388" s="2" t="s">
        <v>75</v>
      </c>
      <c r="J2388" s="2" t="s">
        <v>97</v>
      </c>
      <c r="K2388" s="2" t="s">
        <v>77</v>
      </c>
      <c r="L2388" s="2" t="s">
        <v>759</v>
      </c>
      <c r="M2388" s="2" t="s">
        <v>760</v>
      </c>
      <c r="N2388" s="2" t="s">
        <v>804</v>
      </c>
      <c r="O2388" s="2" t="s">
        <v>101</v>
      </c>
      <c r="P2388" s="2" t="str">
        <f>"2170605514                    "</f>
        <v xml:space="preserve">2170605514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6.43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</v>
      </c>
      <c r="BJ2388" s="2">
        <v>0.2</v>
      </c>
      <c r="BK2388" s="2">
        <v>1</v>
      </c>
      <c r="BL2388" s="2">
        <v>45.93</v>
      </c>
      <c r="BM2388" s="2">
        <v>6.43</v>
      </c>
      <c r="BN2388" s="2">
        <v>52.36</v>
      </c>
      <c r="BO2388" s="2">
        <v>52.36</v>
      </c>
      <c r="BQ2388" s="2" t="s">
        <v>805</v>
      </c>
      <c r="BR2388" s="2" t="s">
        <v>103</v>
      </c>
      <c r="BS2388" s="3">
        <v>43087</v>
      </c>
      <c r="BT2388" s="4">
        <v>0.375</v>
      </c>
      <c r="BU2388" s="2" t="s">
        <v>2576</v>
      </c>
      <c r="BV2388" s="2" t="s">
        <v>85</v>
      </c>
      <c r="BY2388" s="2">
        <v>1200</v>
      </c>
      <c r="CA2388" s="2" t="s">
        <v>578</v>
      </c>
      <c r="CC2388" s="2" t="s">
        <v>760</v>
      </c>
      <c r="CD2388" s="2">
        <v>4026</v>
      </c>
      <c r="CE2388" s="2" t="s">
        <v>120</v>
      </c>
      <c r="CF2388" s="3">
        <v>43088</v>
      </c>
      <c r="CI2388" s="2">
        <v>1</v>
      </c>
      <c r="CJ2388" s="2">
        <v>1</v>
      </c>
      <c r="CK2388" s="2">
        <v>21</v>
      </c>
      <c r="CL2388" s="2" t="s">
        <v>89</v>
      </c>
    </row>
    <row r="2389" spans="1:90">
      <c r="A2389" s="2" t="s">
        <v>71</v>
      </c>
      <c r="B2389" s="2" t="s">
        <v>72</v>
      </c>
      <c r="C2389" s="2" t="s">
        <v>73</v>
      </c>
      <c r="E2389" s="2" t="str">
        <f>"FES1162596362"</f>
        <v>FES1162596362</v>
      </c>
      <c r="F2389" s="3">
        <v>43084</v>
      </c>
      <c r="G2389" s="2">
        <v>201806</v>
      </c>
      <c r="H2389" s="2" t="s">
        <v>74</v>
      </c>
      <c r="I2389" s="2" t="s">
        <v>75</v>
      </c>
      <c r="J2389" s="2" t="s">
        <v>97</v>
      </c>
      <c r="K2389" s="2" t="s">
        <v>77</v>
      </c>
      <c r="L2389" s="2" t="s">
        <v>115</v>
      </c>
      <c r="M2389" s="2" t="s">
        <v>116</v>
      </c>
      <c r="N2389" s="2" t="s">
        <v>1894</v>
      </c>
      <c r="O2389" s="2" t="s">
        <v>101</v>
      </c>
      <c r="P2389" s="2" t="str">
        <f>"2170604296                    "</f>
        <v xml:space="preserve">2170604296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5.03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</v>
      </c>
      <c r="BJ2389" s="2">
        <v>0.2</v>
      </c>
      <c r="BK2389" s="2">
        <v>1</v>
      </c>
      <c r="BL2389" s="2">
        <v>35.89</v>
      </c>
      <c r="BM2389" s="2">
        <v>5.0199999999999996</v>
      </c>
      <c r="BN2389" s="2">
        <v>40.909999999999997</v>
      </c>
      <c r="BO2389" s="2">
        <v>40.909999999999997</v>
      </c>
      <c r="BQ2389" s="2" t="s">
        <v>102</v>
      </c>
      <c r="BR2389" s="2" t="s">
        <v>103</v>
      </c>
      <c r="BS2389" s="3">
        <v>43087</v>
      </c>
      <c r="BT2389" s="4">
        <v>0.41180555555555554</v>
      </c>
      <c r="BU2389" s="2" t="s">
        <v>1895</v>
      </c>
      <c r="BV2389" s="2" t="s">
        <v>85</v>
      </c>
      <c r="BY2389" s="2">
        <v>1200</v>
      </c>
      <c r="CA2389" s="2" t="s">
        <v>386</v>
      </c>
      <c r="CC2389" s="2" t="s">
        <v>116</v>
      </c>
      <c r="CD2389" s="2">
        <v>1459</v>
      </c>
      <c r="CE2389" s="2" t="s">
        <v>120</v>
      </c>
      <c r="CF2389" s="3">
        <v>43088</v>
      </c>
      <c r="CI2389" s="2">
        <v>1</v>
      </c>
      <c r="CJ2389" s="2">
        <v>1</v>
      </c>
      <c r="CK2389" s="2">
        <v>22</v>
      </c>
      <c r="CL2389" s="2" t="s">
        <v>89</v>
      </c>
    </row>
    <row r="2390" spans="1:90">
      <c r="A2390" s="2" t="s">
        <v>71</v>
      </c>
      <c r="B2390" s="2" t="s">
        <v>72</v>
      </c>
      <c r="C2390" s="2" t="s">
        <v>73</v>
      </c>
      <c r="E2390" s="2" t="str">
        <f>"FES1162596412"</f>
        <v>FES1162596412</v>
      </c>
      <c r="F2390" s="3">
        <v>43084</v>
      </c>
      <c r="G2390" s="2">
        <v>201806</v>
      </c>
      <c r="H2390" s="2" t="s">
        <v>74</v>
      </c>
      <c r="I2390" s="2" t="s">
        <v>75</v>
      </c>
      <c r="J2390" s="2" t="s">
        <v>97</v>
      </c>
      <c r="K2390" s="2" t="s">
        <v>77</v>
      </c>
      <c r="L2390" s="2" t="s">
        <v>168</v>
      </c>
      <c r="M2390" s="2" t="s">
        <v>169</v>
      </c>
      <c r="N2390" s="2" t="s">
        <v>1188</v>
      </c>
      <c r="O2390" s="2" t="s">
        <v>101</v>
      </c>
      <c r="P2390" s="2" t="str">
        <f>"2170606375                    "</f>
        <v xml:space="preserve">2170606375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6.43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45.93</v>
      </c>
      <c r="BM2390" s="2">
        <v>6.43</v>
      </c>
      <c r="BN2390" s="2">
        <v>52.36</v>
      </c>
      <c r="BO2390" s="2">
        <v>52.36</v>
      </c>
      <c r="BQ2390" s="2" t="s">
        <v>1189</v>
      </c>
      <c r="BR2390" s="2" t="s">
        <v>103</v>
      </c>
      <c r="BS2390" s="3">
        <v>43087</v>
      </c>
      <c r="BT2390" s="4">
        <v>0.39305555555555555</v>
      </c>
      <c r="BU2390" s="2" t="s">
        <v>2572</v>
      </c>
      <c r="BV2390" s="2" t="s">
        <v>85</v>
      </c>
      <c r="BY2390" s="2">
        <v>1200</v>
      </c>
      <c r="CA2390" s="2" t="s">
        <v>220</v>
      </c>
      <c r="CC2390" s="2" t="s">
        <v>169</v>
      </c>
      <c r="CD2390" s="2">
        <v>3610</v>
      </c>
      <c r="CE2390" s="2" t="s">
        <v>120</v>
      </c>
      <c r="CF2390" s="3">
        <v>43088</v>
      </c>
      <c r="CI2390" s="2">
        <v>1</v>
      </c>
      <c r="CJ2390" s="2">
        <v>1</v>
      </c>
      <c r="CK2390" s="2">
        <v>21</v>
      </c>
      <c r="CL2390" s="2" t="s">
        <v>89</v>
      </c>
    </row>
    <row r="2391" spans="1:90">
      <c r="A2391" s="2" t="s">
        <v>71</v>
      </c>
      <c r="B2391" s="2" t="s">
        <v>72</v>
      </c>
      <c r="C2391" s="2" t="s">
        <v>73</v>
      </c>
      <c r="E2391" s="2" t="str">
        <f>"FES1162596377"</f>
        <v>FES1162596377</v>
      </c>
      <c r="F2391" s="3">
        <v>43084</v>
      </c>
      <c r="G2391" s="2">
        <v>201806</v>
      </c>
      <c r="H2391" s="2" t="s">
        <v>74</v>
      </c>
      <c r="I2391" s="2" t="s">
        <v>75</v>
      </c>
      <c r="J2391" s="2" t="s">
        <v>97</v>
      </c>
      <c r="K2391" s="2" t="s">
        <v>77</v>
      </c>
      <c r="L2391" s="2" t="s">
        <v>262</v>
      </c>
      <c r="M2391" s="2" t="s">
        <v>263</v>
      </c>
      <c r="N2391" s="2" t="s">
        <v>609</v>
      </c>
      <c r="O2391" s="2" t="s">
        <v>101</v>
      </c>
      <c r="P2391" s="2" t="str">
        <f>"2170604695                    "</f>
        <v xml:space="preserve">2170604695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6.43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1.8</v>
      </c>
      <c r="BJ2391" s="2">
        <v>0.9</v>
      </c>
      <c r="BK2391" s="2">
        <v>2</v>
      </c>
      <c r="BL2391" s="2">
        <v>45.93</v>
      </c>
      <c r="BM2391" s="2">
        <v>6.43</v>
      </c>
      <c r="BN2391" s="2">
        <v>52.36</v>
      </c>
      <c r="BO2391" s="2">
        <v>52.36</v>
      </c>
      <c r="BQ2391" s="2" t="s">
        <v>82</v>
      </c>
      <c r="BR2391" s="2" t="s">
        <v>103</v>
      </c>
      <c r="BS2391" s="2" t="s">
        <v>185</v>
      </c>
      <c r="BY2391" s="2">
        <v>4725.8599999999997</v>
      </c>
      <c r="CC2391" s="2" t="s">
        <v>263</v>
      </c>
      <c r="CD2391" s="2">
        <v>6229</v>
      </c>
      <c r="CE2391" s="2" t="s">
        <v>87</v>
      </c>
      <c r="CI2391" s="2">
        <v>1</v>
      </c>
      <c r="CJ2391" s="2" t="s">
        <v>185</v>
      </c>
      <c r="CK2391" s="2">
        <v>21</v>
      </c>
      <c r="CL2391" s="2" t="s">
        <v>89</v>
      </c>
    </row>
    <row r="2392" spans="1:90">
      <c r="A2392" s="2" t="s">
        <v>71</v>
      </c>
      <c r="B2392" s="2" t="s">
        <v>72</v>
      </c>
      <c r="C2392" s="2" t="s">
        <v>73</v>
      </c>
      <c r="E2392" s="2" t="str">
        <f>"FES1162596443"</f>
        <v>FES1162596443</v>
      </c>
      <c r="F2392" s="3">
        <v>43084</v>
      </c>
      <c r="G2392" s="2">
        <v>201806</v>
      </c>
      <c r="H2392" s="2" t="s">
        <v>74</v>
      </c>
      <c r="I2392" s="2" t="s">
        <v>75</v>
      </c>
      <c r="J2392" s="2" t="s">
        <v>97</v>
      </c>
      <c r="K2392" s="2" t="s">
        <v>77</v>
      </c>
      <c r="L2392" s="2" t="s">
        <v>136</v>
      </c>
      <c r="M2392" s="2" t="s">
        <v>137</v>
      </c>
      <c r="N2392" s="2" t="s">
        <v>2539</v>
      </c>
      <c r="O2392" s="2" t="s">
        <v>101</v>
      </c>
      <c r="P2392" s="2" t="str">
        <f>"2170607843                    "</f>
        <v xml:space="preserve">2170607843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19.3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5.8</v>
      </c>
      <c r="BJ2392" s="2">
        <v>3.8</v>
      </c>
      <c r="BK2392" s="2">
        <v>6</v>
      </c>
      <c r="BL2392" s="2">
        <v>137.76</v>
      </c>
      <c r="BM2392" s="2">
        <v>19.29</v>
      </c>
      <c r="BN2392" s="2">
        <v>157.05000000000001</v>
      </c>
      <c r="BO2392" s="2">
        <v>157.05000000000001</v>
      </c>
      <c r="BQ2392" s="2" t="s">
        <v>187</v>
      </c>
      <c r="BR2392" s="2" t="s">
        <v>103</v>
      </c>
      <c r="BS2392" s="3">
        <v>43087</v>
      </c>
      <c r="BT2392" s="4">
        <v>0.39305555555555555</v>
      </c>
      <c r="BU2392" s="2" t="s">
        <v>2334</v>
      </c>
      <c r="BV2392" s="2" t="s">
        <v>85</v>
      </c>
      <c r="BY2392" s="2">
        <v>18927.48</v>
      </c>
      <c r="CA2392" s="2" t="s">
        <v>140</v>
      </c>
      <c r="CC2392" s="2" t="s">
        <v>137</v>
      </c>
      <c r="CD2392" s="2">
        <v>6001</v>
      </c>
      <c r="CE2392" s="2" t="s">
        <v>95</v>
      </c>
      <c r="CF2392" s="3">
        <v>43088</v>
      </c>
      <c r="CI2392" s="2">
        <v>1</v>
      </c>
      <c r="CJ2392" s="2">
        <v>1</v>
      </c>
      <c r="CK2392" s="2">
        <v>21</v>
      </c>
      <c r="CL2392" s="2" t="s">
        <v>89</v>
      </c>
    </row>
    <row r="2393" spans="1:90">
      <c r="A2393" s="2" t="s">
        <v>71</v>
      </c>
      <c r="B2393" s="2" t="s">
        <v>72</v>
      </c>
      <c r="C2393" s="2" t="s">
        <v>73</v>
      </c>
      <c r="E2393" s="2" t="str">
        <f>"FES1162596304"</f>
        <v>FES1162596304</v>
      </c>
      <c r="F2393" s="3">
        <v>43084</v>
      </c>
      <c r="G2393" s="2">
        <v>201806</v>
      </c>
      <c r="H2393" s="2" t="s">
        <v>74</v>
      </c>
      <c r="I2393" s="2" t="s">
        <v>75</v>
      </c>
      <c r="J2393" s="2" t="s">
        <v>97</v>
      </c>
      <c r="K2393" s="2" t="s">
        <v>77</v>
      </c>
      <c r="L2393" s="2" t="s">
        <v>136</v>
      </c>
      <c r="M2393" s="2" t="s">
        <v>137</v>
      </c>
      <c r="N2393" s="2" t="s">
        <v>178</v>
      </c>
      <c r="O2393" s="2" t="s">
        <v>101</v>
      </c>
      <c r="P2393" s="2" t="str">
        <f>"2170608061                    "</f>
        <v xml:space="preserve">2170608061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6.43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1.9</v>
      </c>
      <c r="BJ2393" s="2">
        <v>1.7</v>
      </c>
      <c r="BK2393" s="2">
        <v>2</v>
      </c>
      <c r="BL2393" s="2">
        <v>45.93</v>
      </c>
      <c r="BM2393" s="2">
        <v>6.43</v>
      </c>
      <c r="BN2393" s="2">
        <v>52.36</v>
      </c>
      <c r="BO2393" s="2">
        <v>52.36</v>
      </c>
      <c r="BQ2393" s="2" t="s">
        <v>102</v>
      </c>
      <c r="BR2393" s="2" t="s">
        <v>103</v>
      </c>
      <c r="BS2393" s="3">
        <v>43087</v>
      </c>
      <c r="BT2393" s="4">
        <v>0.40277777777777773</v>
      </c>
      <c r="BU2393" s="2" t="s">
        <v>179</v>
      </c>
      <c r="BV2393" s="2" t="s">
        <v>85</v>
      </c>
      <c r="BY2393" s="2">
        <v>8566.11</v>
      </c>
      <c r="CA2393" s="2" t="s">
        <v>180</v>
      </c>
      <c r="CC2393" s="2" t="s">
        <v>137</v>
      </c>
      <c r="CD2393" s="2">
        <v>6001</v>
      </c>
      <c r="CE2393" s="2" t="s">
        <v>95</v>
      </c>
      <c r="CF2393" s="3">
        <v>43088</v>
      </c>
      <c r="CI2393" s="2">
        <v>1</v>
      </c>
      <c r="CJ2393" s="2">
        <v>1</v>
      </c>
      <c r="CK2393" s="2">
        <v>21</v>
      </c>
      <c r="CL2393" s="2" t="s">
        <v>89</v>
      </c>
    </row>
    <row r="2394" spans="1:90">
      <c r="A2394" s="2" t="s">
        <v>71</v>
      </c>
      <c r="B2394" s="2" t="s">
        <v>72</v>
      </c>
      <c r="C2394" s="2" t="s">
        <v>73</v>
      </c>
      <c r="E2394" s="2" t="str">
        <f>"FES1162596340"</f>
        <v>FES1162596340</v>
      </c>
      <c r="F2394" s="3">
        <v>43084</v>
      </c>
      <c r="G2394" s="2">
        <v>201806</v>
      </c>
      <c r="H2394" s="2" t="s">
        <v>74</v>
      </c>
      <c r="I2394" s="2" t="s">
        <v>75</v>
      </c>
      <c r="J2394" s="2" t="s">
        <v>97</v>
      </c>
      <c r="K2394" s="2" t="s">
        <v>77</v>
      </c>
      <c r="L2394" s="2" t="s">
        <v>136</v>
      </c>
      <c r="M2394" s="2" t="s">
        <v>137</v>
      </c>
      <c r="N2394" s="2" t="s">
        <v>1249</v>
      </c>
      <c r="O2394" s="2" t="s">
        <v>101</v>
      </c>
      <c r="P2394" s="2" t="str">
        <f>"2170603955                    "</f>
        <v xml:space="preserve">2170603955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30.55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9.4</v>
      </c>
      <c r="BJ2394" s="2">
        <v>8.9</v>
      </c>
      <c r="BK2394" s="2">
        <v>9.5</v>
      </c>
      <c r="BL2394" s="2">
        <v>218.1</v>
      </c>
      <c r="BM2394" s="2">
        <v>30.53</v>
      </c>
      <c r="BN2394" s="2">
        <v>248.63</v>
      </c>
      <c r="BO2394" s="2">
        <v>248.63</v>
      </c>
      <c r="BR2394" s="2" t="s">
        <v>103</v>
      </c>
      <c r="BS2394" s="3">
        <v>43087</v>
      </c>
      <c r="BT2394" s="4">
        <v>0.36805555555555558</v>
      </c>
      <c r="BU2394" s="2" t="s">
        <v>1250</v>
      </c>
      <c r="BV2394" s="2" t="s">
        <v>85</v>
      </c>
      <c r="BY2394" s="2">
        <v>44313.89</v>
      </c>
      <c r="CA2394" s="2" t="s">
        <v>180</v>
      </c>
      <c r="CC2394" s="2" t="s">
        <v>137</v>
      </c>
      <c r="CD2394" s="2">
        <v>6001</v>
      </c>
      <c r="CE2394" s="2" t="s">
        <v>87</v>
      </c>
      <c r="CF2394" s="3">
        <v>43088</v>
      </c>
      <c r="CI2394" s="2">
        <v>1</v>
      </c>
      <c r="CJ2394" s="2">
        <v>1</v>
      </c>
      <c r="CK2394" s="2">
        <v>21</v>
      </c>
      <c r="CL2394" s="2" t="s">
        <v>89</v>
      </c>
    </row>
    <row r="2395" spans="1:90">
      <c r="A2395" s="2" t="s">
        <v>71</v>
      </c>
      <c r="B2395" s="2" t="s">
        <v>72</v>
      </c>
      <c r="C2395" s="2" t="s">
        <v>73</v>
      </c>
      <c r="E2395" s="2" t="str">
        <f>"FES1162596349"</f>
        <v>FES1162596349</v>
      </c>
      <c r="F2395" s="3">
        <v>43084</v>
      </c>
      <c r="G2395" s="2">
        <v>201806</v>
      </c>
      <c r="H2395" s="2" t="s">
        <v>74</v>
      </c>
      <c r="I2395" s="2" t="s">
        <v>75</v>
      </c>
      <c r="J2395" s="2" t="s">
        <v>97</v>
      </c>
      <c r="K2395" s="2" t="s">
        <v>77</v>
      </c>
      <c r="L2395" s="2" t="s">
        <v>136</v>
      </c>
      <c r="M2395" s="2" t="s">
        <v>137</v>
      </c>
      <c r="N2395" s="2" t="s">
        <v>178</v>
      </c>
      <c r="O2395" s="2" t="s">
        <v>101</v>
      </c>
      <c r="P2395" s="2" t="str">
        <f>"2170604146                    "</f>
        <v xml:space="preserve">2170604146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12.87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2.5</v>
      </c>
      <c r="BJ2395" s="2">
        <v>3.7</v>
      </c>
      <c r="BK2395" s="2">
        <v>4</v>
      </c>
      <c r="BL2395" s="2">
        <v>91.85</v>
      </c>
      <c r="BM2395" s="2">
        <v>12.86</v>
      </c>
      <c r="BN2395" s="2">
        <v>104.71</v>
      </c>
      <c r="BO2395" s="2">
        <v>104.71</v>
      </c>
      <c r="BQ2395" s="2" t="s">
        <v>102</v>
      </c>
      <c r="BR2395" s="2" t="s">
        <v>103</v>
      </c>
      <c r="BS2395" s="3">
        <v>43087</v>
      </c>
      <c r="BT2395" s="4">
        <v>0.40277777777777773</v>
      </c>
      <c r="BU2395" s="2" t="s">
        <v>179</v>
      </c>
      <c r="BV2395" s="2" t="s">
        <v>85</v>
      </c>
      <c r="BY2395" s="2">
        <v>18303.57</v>
      </c>
      <c r="CA2395" s="2" t="s">
        <v>180</v>
      </c>
      <c r="CC2395" s="2" t="s">
        <v>137</v>
      </c>
      <c r="CD2395" s="2">
        <v>6001</v>
      </c>
      <c r="CE2395" s="2" t="s">
        <v>95</v>
      </c>
      <c r="CF2395" s="3">
        <v>43088</v>
      </c>
      <c r="CI2395" s="2">
        <v>1</v>
      </c>
      <c r="CJ2395" s="2">
        <v>1</v>
      </c>
      <c r="CK2395" s="2">
        <v>21</v>
      </c>
      <c r="CL2395" s="2" t="s">
        <v>89</v>
      </c>
    </row>
    <row r="2396" spans="1:90">
      <c r="A2396" s="2" t="s">
        <v>71</v>
      </c>
      <c r="B2396" s="2" t="s">
        <v>72</v>
      </c>
      <c r="C2396" s="2" t="s">
        <v>73</v>
      </c>
      <c r="E2396" s="2" t="str">
        <f>"FES1162596442"</f>
        <v>FES1162596442</v>
      </c>
      <c r="F2396" s="3">
        <v>43084</v>
      </c>
      <c r="G2396" s="2">
        <v>201806</v>
      </c>
      <c r="H2396" s="2" t="s">
        <v>74</v>
      </c>
      <c r="I2396" s="2" t="s">
        <v>75</v>
      </c>
      <c r="J2396" s="2" t="s">
        <v>97</v>
      </c>
      <c r="K2396" s="2" t="s">
        <v>77</v>
      </c>
      <c r="L2396" s="2" t="s">
        <v>111</v>
      </c>
      <c r="M2396" s="2" t="s">
        <v>112</v>
      </c>
      <c r="N2396" s="2" t="s">
        <v>113</v>
      </c>
      <c r="O2396" s="2" t="s">
        <v>101</v>
      </c>
      <c r="P2396" s="2" t="str">
        <f>"2170607624                    "</f>
        <v xml:space="preserve">2170607624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25.73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7.6</v>
      </c>
      <c r="BJ2396" s="2">
        <v>3.3</v>
      </c>
      <c r="BK2396" s="2">
        <v>8</v>
      </c>
      <c r="BL2396" s="2">
        <v>183.67</v>
      </c>
      <c r="BM2396" s="2">
        <v>25.71</v>
      </c>
      <c r="BN2396" s="2">
        <v>209.38</v>
      </c>
      <c r="BO2396" s="2">
        <v>209.38</v>
      </c>
      <c r="BQ2396" s="2" t="s">
        <v>82</v>
      </c>
      <c r="BR2396" s="2" t="s">
        <v>103</v>
      </c>
      <c r="BS2396" s="3">
        <v>43087</v>
      </c>
      <c r="BT2396" s="4">
        <v>0.40625</v>
      </c>
      <c r="BU2396" s="2" t="s">
        <v>114</v>
      </c>
      <c r="BV2396" s="2" t="s">
        <v>85</v>
      </c>
      <c r="BY2396" s="2">
        <v>16740.36</v>
      </c>
      <c r="CC2396" s="2" t="s">
        <v>112</v>
      </c>
      <c r="CD2396" s="2">
        <v>6220</v>
      </c>
      <c r="CE2396" s="2" t="s">
        <v>95</v>
      </c>
      <c r="CF2396" s="3">
        <v>43088</v>
      </c>
      <c r="CI2396" s="2">
        <v>1</v>
      </c>
      <c r="CJ2396" s="2">
        <v>1</v>
      </c>
      <c r="CK2396" s="2">
        <v>21</v>
      </c>
      <c r="CL2396" s="2" t="s">
        <v>89</v>
      </c>
    </row>
    <row r="2397" spans="1:90">
      <c r="A2397" s="2" t="s">
        <v>71</v>
      </c>
      <c r="B2397" s="2" t="s">
        <v>72</v>
      </c>
      <c r="C2397" s="2" t="s">
        <v>73</v>
      </c>
      <c r="E2397" s="2" t="str">
        <f>"FES1162596266"</f>
        <v>FES1162596266</v>
      </c>
      <c r="F2397" s="3">
        <v>43084</v>
      </c>
      <c r="G2397" s="2">
        <v>201806</v>
      </c>
      <c r="H2397" s="2" t="s">
        <v>74</v>
      </c>
      <c r="I2397" s="2" t="s">
        <v>75</v>
      </c>
      <c r="J2397" s="2" t="s">
        <v>97</v>
      </c>
      <c r="K2397" s="2" t="s">
        <v>77</v>
      </c>
      <c r="L2397" s="2" t="s">
        <v>136</v>
      </c>
      <c r="M2397" s="2" t="s">
        <v>137</v>
      </c>
      <c r="N2397" s="2" t="s">
        <v>1821</v>
      </c>
      <c r="O2397" s="2" t="s">
        <v>101</v>
      </c>
      <c r="P2397" s="2" t="str">
        <f>"2170608022                    "</f>
        <v xml:space="preserve">2170608022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11.26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2.7</v>
      </c>
      <c r="BJ2397" s="2">
        <v>3.5</v>
      </c>
      <c r="BK2397" s="2">
        <v>3.5</v>
      </c>
      <c r="BL2397" s="2">
        <v>80.37</v>
      </c>
      <c r="BM2397" s="2">
        <v>11.25</v>
      </c>
      <c r="BN2397" s="2">
        <v>91.62</v>
      </c>
      <c r="BO2397" s="2">
        <v>91.62</v>
      </c>
      <c r="BQ2397" s="2" t="s">
        <v>102</v>
      </c>
      <c r="BR2397" s="2" t="s">
        <v>103</v>
      </c>
      <c r="BS2397" s="3">
        <v>43087</v>
      </c>
      <c r="BT2397" s="4">
        <v>0.32291666666666669</v>
      </c>
      <c r="BU2397" s="2" t="s">
        <v>2577</v>
      </c>
      <c r="BV2397" s="2" t="s">
        <v>85</v>
      </c>
      <c r="BY2397" s="2">
        <v>17550.62</v>
      </c>
      <c r="CA2397" s="2" t="s">
        <v>180</v>
      </c>
      <c r="CC2397" s="2" t="s">
        <v>137</v>
      </c>
      <c r="CD2397" s="2">
        <v>6000</v>
      </c>
      <c r="CE2397" s="2" t="s">
        <v>95</v>
      </c>
      <c r="CF2397" s="3">
        <v>43088</v>
      </c>
      <c r="CI2397" s="2">
        <v>1</v>
      </c>
      <c r="CJ2397" s="2">
        <v>1</v>
      </c>
      <c r="CK2397" s="2">
        <v>21</v>
      </c>
      <c r="CL2397" s="2" t="s">
        <v>89</v>
      </c>
    </row>
    <row r="2398" spans="1:90">
      <c r="A2398" s="2" t="s">
        <v>71</v>
      </c>
      <c r="B2398" s="2" t="s">
        <v>72</v>
      </c>
      <c r="C2398" s="2" t="s">
        <v>73</v>
      </c>
      <c r="E2398" s="2" t="str">
        <f>"FES1162596385"</f>
        <v>FES1162596385</v>
      </c>
      <c r="F2398" s="3">
        <v>43084</v>
      </c>
      <c r="G2398" s="2">
        <v>201806</v>
      </c>
      <c r="H2398" s="2" t="s">
        <v>74</v>
      </c>
      <c r="I2398" s="2" t="s">
        <v>75</v>
      </c>
      <c r="J2398" s="2" t="s">
        <v>97</v>
      </c>
      <c r="K2398" s="2" t="s">
        <v>77</v>
      </c>
      <c r="L2398" s="2" t="s">
        <v>74</v>
      </c>
      <c r="M2398" s="2" t="s">
        <v>75</v>
      </c>
      <c r="N2398" s="2" t="s">
        <v>988</v>
      </c>
      <c r="O2398" s="2" t="s">
        <v>101</v>
      </c>
      <c r="P2398" s="2" t="str">
        <f>"21706064711                   "</f>
        <v xml:space="preserve">21706064711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5.03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35.89</v>
      </c>
      <c r="BM2398" s="2">
        <v>5.0199999999999996</v>
      </c>
      <c r="BN2398" s="2">
        <v>40.909999999999997</v>
      </c>
      <c r="BO2398" s="2">
        <v>40.909999999999997</v>
      </c>
      <c r="BQ2398" s="2" t="s">
        <v>989</v>
      </c>
      <c r="BR2398" s="2" t="s">
        <v>103</v>
      </c>
      <c r="BS2398" s="3">
        <v>43087</v>
      </c>
      <c r="BT2398" s="4">
        <v>0.4375</v>
      </c>
      <c r="BU2398" s="2" t="s">
        <v>2578</v>
      </c>
      <c r="BV2398" s="2" t="s">
        <v>85</v>
      </c>
      <c r="BY2398" s="2">
        <v>1200</v>
      </c>
      <c r="CA2398" s="2" t="s">
        <v>366</v>
      </c>
      <c r="CC2398" s="2" t="s">
        <v>75</v>
      </c>
      <c r="CD2398" s="2">
        <v>1600</v>
      </c>
      <c r="CE2398" s="2" t="s">
        <v>120</v>
      </c>
      <c r="CF2398" s="3">
        <v>43089</v>
      </c>
      <c r="CI2398" s="2">
        <v>1</v>
      </c>
      <c r="CJ2398" s="2">
        <v>1</v>
      </c>
      <c r="CK2398" s="2">
        <v>22</v>
      </c>
      <c r="CL2398" s="2" t="s">
        <v>89</v>
      </c>
    </row>
    <row r="2399" spans="1:90">
      <c r="A2399" s="2" t="s">
        <v>71</v>
      </c>
      <c r="B2399" s="2" t="s">
        <v>72</v>
      </c>
      <c r="C2399" s="2" t="s">
        <v>73</v>
      </c>
      <c r="E2399" s="2" t="str">
        <f>"FES1162596239"</f>
        <v>FES1162596239</v>
      </c>
      <c r="F2399" s="3">
        <v>43084</v>
      </c>
      <c r="G2399" s="2">
        <v>201806</v>
      </c>
      <c r="H2399" s="2" t="s">
        <v>74</v>
      </c>
      <c r="I2399" s="2" t="s">
        <v>75</v>
      </c>
      <c r="J2399" s="2" t="s">
        <v>97</v>
      </c>
      <c r="K2399" s="2" t="s">
        <v>77</v>
      </c>
      <c r="L2399" s="2" t="s">
        <v>651</v>
      </c>
      <c r="M2399" s="2" t="s">
        <v>652</v>
      </c>
      <c r="N2399" s="2" t="s">
        <v>953</v>
      </c>
      <c r="O2399" s="2" t="s">
        <v>101</v>
      </c>
      <c r="P2399" s="2" t="str">
        <f>"2170608004                    "</f>
        <v xml:space="preserve">2170608004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9.0500000000000007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1</v>
      </c>
      <c r="BJ2399" s="2">
        <v>0.2</v>
      </c>
      <c r="BK2399" s="2">
        <v>1</v>
      </c>
      <c r="BL2399" s="2">
        <v>64.599999999999994</v>
      </c>
      <c r="BM2399" s="2">
        <v>9.0399999999999991</v>
      </c>
      <c r="BN2399" s="2">
        <v>73.64</v>
      </c>
      <c r="BO2399" s="2">
        <v>73.64</v>
      </c>
      <c r="BQ2399" s="2" t="s">
        <v>82</v>
      </c>
      <c r="BR2399" s="2" t="s">
        <v>103</v>
      </c>
      <c r="BS2399" s="2" t="s">
        <v>185</v>
      </c>
      <c r="BY2399" s="2">
        <v>1200</v>
      </c>
      <c r="CC2399" s="2" t="s">
        <v>652</v>
      </c>
      <c r="CD2399" s="2">
        <v>250</v>
      </c>
      <c r="CE2399" s="2" t="s">
        <v>120</v>
      </c>
      <c r="CI2399" s="2">
        <v>1</v>
      </c>
      <c r="CJ2399" s="2" t="s">
        <v>185</v>
      </c>
      <c r="CK2399" s="2">
        <v>24</v>
      </c>
      <c r="CL2399" s="2" t="s">
        <v>89</v>
      </c>
    </row>
    <row r="2400" spans="1:90">
      <c r="A2400" s="2" t="s">
        <v>71</v>
      </c>
      <c r="B2400" s="2" t="s">
        <v>72</v>
      </c>
      <c r="C2400" s="2" t="s">
        <v>73</v>
      </c>
      <c r="E2400" s="2" t="str">
        <f>"FES1162596311"</f>
        <v>FES1162596311</v>
      </c>
      <c r="F2400" s="3">
        <v>43084</v>
      </c>
      <c r="G2400" s="2">
        <v>201806</v>
      </c>
      <c r="H2400" s="2" t="s">
        <v>74</v>
      </c>
      <c r="I2400" s="2" t="s">
        <v>75</v>
      </c>
      <c r="J2400" s="2" t="s">
        <v>97</v>
      </c>
      <c r="K2400" s="2" t="s">
        <v>77</v>
      </c>
      <c r="L2400" s="2" t="s">
        <v>125</v>
      </c>
      <c r="M2400" s="2" t="s">
        <v>126</v>
      </c>
      <c r="N2400" s="2" t="s">
        <v>2579</v>
      </c>
      <c r="O2400" s="2" t="s">
        <v>101</v>
      </c>
      <c r="P2400" s="2" t="str">
        <f>"21706093098                   "</f>
        <v xml:space="preserve">21706093098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6.43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45.93</v>
      </c>
      <c r="BM2400" s="2">
        <v>6.43</v>
      </c>
      <c r="BN2400" s="2">
        <v>52.36</v>
      </c>
      <c r="BO2400" s="2">
        <v>52.36</v>
      </c>
      <c r="BR2400" s="2" t="s">
        <v>103</v>
      </c>
      <c r="BS2400" s="3">
        <v>43087</v>
      </c>
      <c r="BT2400" s="4">
        <v>0.42638888888888887</v>
      </c>
      <c r="BU2400" s="2" t="s">
        <v>2580</v>
      </c>
      <c r="BV2400" s="2" t="s">
        <v>85</v>
      </c>
      <c r="BY2400" s="2">
        <v>1200</v>
      </c>
      <c r="CA2400" s="2" t="s">
        <v>172</v>
      </c>
      <c r="CC2400" s="2" t="s">
        <v>126</v>
      </c>
      <c r="CD2400" s="2">
        <v>4001</v>
      </c>
      <c r="CE2400" s="2" t="s">
        <v>120</v>
      </c>
      <c r="CF2400" s="3">
        <v>43088</v>
      </c>
      <c r="CI2400" s="2">
        <v>1</v>
      </c>
      <c r="CJ2400" s="2">
        <v>1</v>
      </c>
      <c r="CK2400" s="2">
        <v>21</v>
      </c>
      <c r="CL2400" s="2" t="s">
        <v>89</v>
      </c>
    </row>
    <row r="2401" spans="1:90">
      <c r="A2401" s="2" t="s">
        <v>71</v>
      </c>
      <c r="B2401" s="2" t="s">
        <v>72</v>
      </c>
      <c r="C2401" s="2" t="s">
        <v>73</v>
      </c>
      <c r="E2401" s="2" t="str">
        <f>"FES1162596327"</f>
        <v>FES1162596327</v>
      </c>
      <c r="F2401" s="3">
        <v>43084</v>
      </c>
      <c r="G2401" s="2">
        <v>201806</v>
      </c>
      <c r="H2401" s="2" t="s">
        <v>74</v>
      </c>
      <c r="I2401" s="2" t="s">
        <v>75</v>
      </c>
      <c r="J2401" s="2" t="s">
        <v>97</v>
      </c>
      <c r="K2401" s="2" t="s">
        <v>77</v>
      </c>
      <c r="L2401" s="2" t="s">
        <v>125</v>
      </c>
      <c r="M2401" s="2" t="s">
        <v>126</v>
      </c>
      <c r="N2401" s="2" t="s">
        <v>955</v>
      </c>
      <c r="O2401" s="2" t="s">
        <v>101</v>
      </c>
      <c r="P2401" s="2" t="str">
        <f>"2170602177                    "</f>
        <v xml:space="preserve">2170602177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6.43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45.93</v>
      </c>
      <c r="BM2401" s="2">
        <v>6.43</v>
      </c>
      <c r="BN2401" s="2">
        <v>52.36</v>
      </c>
      <c r="BO2401" s="2">
        <v>52.36</v>
      </c>
      <c r="BQ2401" s="2" t="s">
        <v>102</v>
      </c>
      <c r="BR2401" s="2" t="s">
        <v>103</v>
      </c>
      <c r="BS2401" s="3">
        <v>43087</v>
      </c>
      <c r="BT2401" s="4">
        <v>0.4375</v>
      </c>
      <c r="BU2401" s="2" t="s">
        <v>114</v>
      </c>
      <c r="BV2401" s="2" t="s">
        <v>85</v>
      </c>
      <c r="BY2401" s="2">
        <v>1200</v>
      </c>
      <c r="CC2401" s="2" t="s">
        <v>126</v>
      </c>
      <c r="CD2401" s="2">
        <v>4001</v>
      </c>
      <c r="CE2401" s="2" t="s">
        <v>120</v>
      </c>
      <c r="CF2401" s="3">
        <v>43088</v>
      </c>
      <c r="CI2401" s="2">
        <v>1</v>
      </c>
      <c r="CJ2401" s="2">
        <v>1</v>
      </c>
      <c r="CK2401" s="2">
        <v>21</v>
      </c>
      <c r="CL2401" s="2" t="s">
        <v>89</v>
      </c>
    </row>
    <row r="2402" spans="1:90">
      <c r="A2402" s="2" t="s">
        <v>71</v>
      </c>
      <c r="B2402" s="2" t="s">
        <v>72</v>
      </c>
      <c r="C2402" s="2" t="s">
        <v>73</v>
      </c>
      <c r="E2402" s="2" t="str">
        <f>"FES1162596351"</f>
        <v>FES1162596351</v>
      </c>
      <c r="F2402" s="3">
        <v>43084</v>
      </c>
      <c r="G2402" s="2">
        <v>201806</v>
      </c>
      <c r="H2402" s="2" t="s">
        <v>74</v>
      </c>
      <c r="I2402" s="2" t="s">
        <v>75</v>
      </c>
      <c r="J2402" s="2" t="s">
        <v>97</v>
      </c>
      <c r="K2402" s="2" t="s">
        <v>77</v>
      </c>
      <c r="L2402" s="2" t="s">
        <v>125</v>
      </c>
      <c r="M2402" s="2" t="s">
        <v>126</v>
      </c>
      <c r="N2402" s="2" t="s">
        <v>664</v>
      </c>
      <c r="O2402" s="2" t="s">
        <v>101</v>
      </c>
      <c r="P2402" s="2" t="str">
        <f>"2170604187                    "</f>
        <v xml:space="preserve">2170604187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8.0399999999999991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2.1</v>
      </c>
      <c r="BJ2402" s="2">
        <v>0.6</v>
      </c>
      <c r="BK2402" s="2">
        <v>2.5</v>
      </c>
      <c r="BL2402" s="2">
        <v>57.41</v>
      </c>
      <c r="BM2402" s="2">
        <v>8.0399999999999991</v>
      </c>
      <c r="BN2402" s="2">
        <v>65.45</v>
      </c>
      <c r="BO2402" s="2">
        <v>65.45</v>
      </c>
      <c r="BQ2402" s="2" t="s">
        <v>102</v>
      </c>
      <c r="BR2402" s="2" t="s">
        <v>103</v>
      </c>
      <c r="BS2402" s="3">
        <v>43087</v>
      </c>
      <c r="BT2402" s="4">
        <v>0.3888888888888889</v>
      </c>
      <c r="BU2402" s="2" t="s">
        <v>665</v>
      </c>
      <c r="BV2402" s="2" t="s">
        <v>85</v>
      </c>
      <c r="BY2402" s="2">
        <v>3217.27</v>
      </c>
      <c r="CA2402" s="2" t="s">
        <v>666</v>
      </c>
      <c r="CC2402" s="2" t="s">
        <v>126</v>
      </c>
      <c r="CD2402" s="2">
        <v>4001</v>
      </c>
      <c r="CE2402" s="2" t="s">
        <v>95</v>
      </c>
      <c r="CF2402" s="3">
        <v>43088</v>
      </c>
      <c r="CI2402" s="2">
        <v>1</v>
      </c>
      <c r="CJ2402" s="2">
        <v>1</v>
      </c>
      <c r="CK2402" s="2">
        <v>21</v>
      </c>
      <c r="CL2402" s="2" t="s">
        <v>89</v>
      </c>
    </row>
    <row r="2403" spans="1:90">
      <c r="A2403" s="2" t="s">
        <v>71</v>
      </c>
      <c r="B2403" s="2" t="s">
        <v>72</v>
      </c>
      <c r="C2403" s="2" t="s">
        <v>73</v>
      </c>
      <c r="E2403" s="2" t="str">
        <f>"FES1162596290"</f>
        <v>FES1162596290</v>
      </c>
      <c r="F2403" s="3">
        <v>43084</v>
      </c>
      <c r="G2403" s="2">
        <v>201806</v>
      </c>
      <c r="H2403" s="2" t="s">
        <v>74</v>
      </c>
      <c r="I2403" s="2" t="s">
        <v>75</v>
      </c>
      <c r="J2403" s="2" t="s">
        <v>97</v>
      </c>
      <c r="K2403" s="2" t="s">
        <v>77</v>
      </c>
      <c r="L2403" s="2" t="s">
        <v>136</v>
      </c>
      <c r="M2403" s="2" t="s">
        <v>137</v>
      </c>
      <c r="N2403" s="2" t="s">
        <v>1457</v>
      </c>
      <c r="O2403" s="2" t="s">
        <v>101</v>
      </c>
      <c r="P2403" s="2" t="str">
        <f>"2170608074                    "</f>
        <v xml:space="preserve">2170608074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12.87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4</v>
      </c>
      <c r="BJ2403" s="2">
        <v>2.7</v>
      </c>
      <c r="BK2403" s="2">
        <v>4</v>
      </c>
      <c r="BL2403" s="2">
        <v>91.85</v>
      </c>
      <c r="BM2403" s="2">
        <v>12.86</v>
      </c>
      <c r="BN2403" s="2">
        <v>104.71</v>
      </c>
      <c r="BO2403" s="2">
        <v>104.71</v>
      </c>
      <c r="BQ2403" s="2" t="s">
        <v>1458</v>
      </c>
      <c r="BR2403" s="2" t="s">
        <v>103</v>
      </c>
      <c r="BS2403" s="3">
        <v>43087</v>
      </c>
      <c r="BT2403" s="4">
        <v>0.33263888888888887</v>
      </c>
      <c r="BU2403" s="2" t="s">
        <v>2581</v>
      </c>
      <c r="BV2403" s="2" t="s">
        <v>85</v>
      </c>
      <c r="BY2403" s="2">
        <v>13454</v>
      </c>
      <c r="CA2403" s="2" t="s">
        <v>140</v>
      </c>
      <c r="CC2403" s="2" t="s">
        <v>137</v>
      </c>
      <c r="CD2403" s="2">
        <v>6001</v>
      </c>
      <c r="CE2403" s="2" t="s">
        <v>87</v>
      </c>
      <c r="CF2403" s="3">
        <v>43088</v>
      </c>
      <c r="CI2403" s="2">
        <v>1</v>
      </c>
      <c r="CJ2403" s="2">
        <v>1</v>
      </c>
      <c r="CK2403" s="2">
        <v>21</v>
      </c>
      <c r="CL2403" s="2" t="s">
        <v>89</v>
      </c>
    </row>
    <row r="2404" spans="1:90">
      <c r="A2404" s="2" t="s">
        <v>71</v>
      </c>
      <c r="B2404" s="2" t="s">
        <v>72</v>
      </c>
      <c r="C2404" s="2" t="s">
        <v>73</v>
      </c>
      <c r="E2404" s="2" t="str">
        <f>"FES1162596418"</f>
        <v>FES1162596418</v>
      </c>
      <c r="F2404" s="3">
        <v>43084</v>
      </c>
      <c r="G2404" s="2">
        <v>201806</v>
      </c>
      <c r="H2404" s="2" t="s">
        <v>74</v>
      </c>
      <c r="I2404" s="2" t="s">
        <v>75</v>
      </c>
      <c r="J2404" s="2" t="s">
        <v>97</v>
      </c>
      <c r="K2404" s="2" t="s">
        <v>77</v>
      </c>
      <c r="L2404" s="2" t="s">
        <v>125</v>
      </c>
      <c r="M2404" s="2" t="s">
        <v>126</v>
      </c>
      <c r="N2404" s="2" t="s">
        <v>141</v>
      </c>
      <c r="O2404" s="2" t="s">
        <v>101</v>
      </c>
      <c r="P2404" s="2" t="str">
        <f>"2170607405                    "</f>
        <v xml:space="preserve">2170607405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6.43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1.7</v>
      </c>
      <c r="BJ2404" s="2">
        <v>0.9</v>
      </c>
      <c r="BK2404" s="2">
        <v>2</v>
      </c>
      <c r="BL2404" s="2">
        <v>45.93</v>
      </c>
      <c r="BM2404" s="2">
        <v>6.43</v>
      </c>
      <c r="BN2404" s="2">
        <v>52.36</v>
      </c>
      <c r="BO2404" s="2">
        <v>52.36</v>
      </c>
      <c r="BQ2404" s="2" t="s">
        <v>142</v>
      </c>
      <c r="BR2404" s="2" t="s">
        <v>103</v>
      </c>
      <c r="BS2404" s="3">
        <v>43087</v>
      </c>
      <c r="BT2404" s="4">
        <v>0.42430555555555555</v>
      </c>
      <c r="BU2404" s="2" t="s">
        <v>143</v>
      </c>
      <c r="BV2404" s="2" t="s">
        <v>85</v>
      </c>
      <c r="BY2404" s="2">
        <v>4650.8</v>
      </c>
      <c r="CA2404" s="2" t="s">
        <v>144</v>
      </c>
      <c r="CC2404" s="2" t="s">
        <v>126</v>
      </c>
      <c r="CD2404" s="2">
        <v>4067</v>
      </c>
      <c r="CE2404" s="2" t="s">
        <v>87</v>
      </c>
      <c r="CF2404" s="3">
        <v>43088</v>
      </c>
      <c r="CI2404" s="2">
        <v>1</v>
      </c>
      <c r="CJ2404" s="2">
        <v>1</v>
      </c>
      <c r="CK2404" s="2">
        <v>21</v>
      </c>
      <c r="CL2404" s="2" t="s">
        <v>89</v>
      </c>
    </row>
    <row r="2405" spans="1:90">
      <c r="A2405" s="2" t="s">
        <v>71</v>
      </c>
      <c r="B2405" s="2" t="s">
        <v>72</v>
      </c>
      <c r="C2405" s="2" t="s">
        <v>73</v>
      </c>
      <c r="E2405" s="2" t="str">
        <f>"FES1162596441"</f>
        <v>FES1162596441</v>
      </c>
      <c r="F2405" s="3">
        <v>43084</v>
      </c>
      <c r="G2405" s="2">
        <v>201806</v>
      </c>
      <c r="H2405" s="2" t="s">
        <v>74</v>
      </c>
      <c r="I2405" s="2" t="s">
        <v>75</v>
      </c>
      <c r="J2405" s="2" t="s">
        <v>97</v>
      </c>
      <c r="K2405" s="2" t="s">
        <v>77</v>
      </c>
      <c r="L2405" s="2" t="s">
        <v>111</v>
      </c>
      <c r="M2405" s="2" t="s">
        <v>112</v>
      </c>
      <c r="N2405" s="2" t="s">
        <v>113</v>
      </c>
      <c r="O2405" s="2" t="s">
        <v>101</v>
      </c>
      <c r="P2405" s="2" t="str">
        <f>"2170607621                    "</f>
        <v xml:space="preserve">2170607621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24.12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7.5</v>
      </c>
      <c r="BJ2405" s="2">
        <v>3.3</v>
      </c>
      <c r="BK2405" s="2">
        <v>7.5</v>
      </c>
      <c r="BL2405" s="2">
        <v>172.19</v>
      </c>
      <c r="BM2405" s="2">
        <v>24.11</v>
      </c>
      <c r="BN2405" s="2">
        <v>196.3</v>
      </c>
      <c r="BO2405" s="2">
        <v>196.3</v>
      </c>
      <c r="BQ2405" s="2" t="s">
        <v>82</v>
      </c>
      <c r="BR2405" s="2" t="s">
        <v>103</v>
      </c>
      <c r="BS2405" s="3">
        <v>43087</v>
      </c>
      <c r="BT2405" s="4">
        <v>0.40625</v>
      </c>
      <c r="BU2405" s="2" t="s">
        <v>114</v>
      </c>
      <c r="BV2405" s="2" t="s">
        <v>85</v>
      </c>
      <c r="BY2405" s="2">
        <v>16398.439999999999</v>
      </c>
      <c r="CC2405" s="2" t="s">
        <v>112</v>
      </c>
      <c r="CD2405" s="2">
        <v>6220</v>
      </c>
      <c r="CE2405" s="2" t="s">
        <v>95</v>
      </c>
      <c r="CF2405" s="3">
        <v>43088</v>
      </c>
      <c r="CI2405" s="2">
        <v>1</v>
      </c>
      <c r="CJ2405" s="2">
        <v>1</v>
      </c>
      <c r="CK2405" s="2">
        <v>21</v>
      </c>
      <c r="CL2405" s="2" t="s">
        <v>89</v>
      </c>
    </row>
    <row r="2406" spans="1:90">
      <c r="A2406" s="2" t="s">
        <v>71</v>
      </c>
      <c r="B2406" s="2" t="s">
        <v>72</v>
      </c>
      <c r="C2406" s="2" t="s">
        <v>73</v>
      </c>
      <c r="E2406" s="2" t="str">
        <f>"FES1162596333"</f>
        <v>FES1162596333</v>
      </c>
      <c r="F2406" s="3">
        <v>43084</v>
      </c>
      <c r="G2406" s="2">
        <v>201806</v>
      </c>
      <c r="H2406" s="2" t="s">
        <v>74</v>
      </c>
      <c r="I2406" s="2" t="s">
        <v>75</v>
      </c>
      <c r="J2406" s="2" t="s">
        <v>97</v>
      </c>
      <c r="K2406" s="2" t="s">
        <v>77</v>
      </c>
      <c r="L2406" s="2" t="s">
        <v>145</v>
      </c>
      <c r="M2406" s="2" t="s">
        <v>146</v>
      </c>
      <c r="N2406" s="2" t="s">
        <v>922</v>
      </c>
      <c r="O2406" s="2" t="s">
        <v>101</v>
      </c>
      <c r="P2406" s="2" t="str">
        <f>"2170603887                    "</f>
        <v xml:space="preserve">2170603887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8.0399999999999991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1.5</v>
      </c>
      <c r="BJ2406" s="2">
        <v>2.2000000000000002</v>
      </c>
      <c r="BK2406" s="2">
        <v>2.5</v>
      </c>
      <c r="BL2406" s="2">
        <v>57.41</v>
      </c>
      <c r="BM2406" s="2">
        <v>8.0399999999999991</v>
      </c>
      <c r="BN2406" s="2">
        <v>65.45</v>
      </c>
      <c r="BO2406" s="2">
        <v>65.45</v>
      </c>
      <c r="BQ2406" s="2" t="s">
        <v>1739</v>
      </c>
      <c r="BR2406" s="2" t="s">
        <v>103</v>
      </c>
      <c r="BS2406" s="3">
        <v>43087</v>
      </c>
      <c r="BT2406" s="4">
        <v>0.40069444444444446</v>
      </c>
      <c r="BU2406" s="2" t="s">
        <v>324</v>
      </c>
      <c r="BV2406" s="2" t="s">
        <v>85</v>
      </c>
      <c r="BY2406" s="2">
        <v>10945.13</v>
      </c>
      <c r="CA2406" s="2" t="s">
        <v>629</v>
      </c>
      <c r="CC2406" s="2" t="s">
        <v>146</v>
      </c>
      <c r="CD2406" s="2">
        <v>5201</v>
      </c>
      <c r="CE2406" s="2" t="s">
        <v>87</v>
      </c>
      <c r="CF2406" s="3">
        <v>43087</v>
      </c>
      <c r="CI2406" s="2">
        <v>1</v>
      </c>
      <c r="CJ2406" s="2">
        <v>1</v>
      </c>
      <c r="CK2406" s="2">
        <v>21</v>
      </c>
      <c r="CL2406" s="2" t="s">
        <v>89</v>
      </c>
    </row>
    <row r="2407" spans="1:90">
      <c r="A2407" s="2" t="s">
        <v>71</v>
      </c>
      <c r="B2407" s="2" t="s">
        <v>72</v>
      </c>
      <c r="C2407" s="2" t="s">
        <v>73</v>
      </c>
      <c r="E2407" s="2" t="str">
        <f>"FES1162596456"</f>
        <v>FES1162596456</v>
      </c>
      <c r="F2407" s="3">
        <v>43084</v>
      </c>
      <c r="G2407" s="2">
        <v>201806</v>
      </c>
      <c r="H2407" s="2" t="s">
        <v>74</v>
      </c>
      <c r="I2407" s="2" t="s">
        <v>75</v>
      </c>
      <c r="J2407" s="2" t="s">
        <v>97</v>
      </c>
      <c r="K2407" s="2" t="s">
        <v>77</v>
      </c>
      <c r="L2407" s="2" t="s">
        <v>145</v>
      </c>
      <c r="M2407" s="2" t="s">
        <v>146</v>
      </c>
      <c r="N2407" s="2" t="s">
        <v>753</v>
      </c>
      <c r="O2407" s="2" t="s">
        <v>101</v>
      </c>
      <c r="P2407" s="2" t="str">
        <f>"2170608122                    "</f>
        <v xml:space="preserve">2170608122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6.43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1</v>
      </c>
      <c r="BJ2407" s="2">
        <v>0.2</v>
      </c>
      <c r="BK2407" s="2">
        <v>1</v>
      </c>
      <c r="BL2407" s="2">
        <v>45.93</v>
      </c>
      <c r="BM2407" s="2">
        <v>6.43</v>
      </c>
      <c r="BN2407" s="2">
        <v>52.36</v>
      </c>
      <c r="BO2407" s="2">
        <v>52.36</v>
      </c>
      <c r="BQ2407" s="2" t="s">
        <v>82</v>
      </c>
      <c r="BR2407" s="2" t="s">
        <v>103</v>
      </c>
      <c r="BS2407" s="3">
        <v>43087</v>
      </c>
      <c r="BT2407" s="4">
        <v>0.40902777777777777</v>
      </c>
      <c r="BU2407" s="2" t="s">
        <v>901</v>
      </c>
      <c r="BV2407" s="2" t="s">
        <v>85</v>
      </c>
      <c r="BY2407" s="2">
        <v>1200</v>
      </c>
      <c r="CA2407" s="2" t="s">
        <v>754</v>
      </c>
      <c r="CC2407" s="2" t="s">
        <v>146</v>
      </c>
      <c r="CD2407" s="2">
        <v>5201</v>
      </c>
      <c r="CE2407" s="2" t="s">
        <v>120</v>
      </c>
      <c r="CF2407" s="3">
        <v>43088</v>
      </c>
      <c r="CI2407" s="2">
        <v>1</v>
      </c>
      <c r="CJ2407" s="2">
        <v>1</v>
      </c>
      <c r="CK2407" s="2">
        <v>21</v>
      </c>
      <c r="CL2407" s="2" t="s">
        <v>89</v>
      </c>
    </row>
    <row r="2408" spans="1:90">
      <c r="A2408" s="2" t="s">
        <v>71</v>
      </c>
      <c r="B2408" s="2" t="s">
        <v>72</v>
      </c>
      <c r="C2408" s="2" t="s">
        <v>73</v>
      </c>
      <c r="E2408" s="2" t="str">
        <f>"FES1162596283"</f>
        <v>FES1162596283</v>
      </c>
      <c r="F2408" s="3">
        <v>43084</v>
      </c>
      <c r="G2408" s="2">
        <v>201806</v>
      </c>
      <c r="H2408" s="2" t="s">
        <v>74</v>
      </c>
      <c r="I2408" s="2" t="s">
        <v>75</v>
      </c>
      <c r="J2408" s="2" t="s">
        <v>97</v>
      </c>
      <c r="K2408" s="2" t="s">
        <v>77</v>
      </c>
      <c r="L2408" s="2" t="s">
        <v>125</v>
      </c>
      <c r="M2408" s="2" t="s">
        <v>126</v>
      </c>
      <c r="N2408" s="2" t="s">
        <v>2000</v>
      </c>
      <c r="O2408" s="2" t="s">
        <v>101</v>
      </c>
      <c r="P2408" s="2" t="str">
        <f>"2170608041                    "</f>
        <v xml:space="preserve">2170608041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6.43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1</v>
      </c>
      <c r="BJ2408" s="2">
        <v>0.2</v>
      </c>
      <c r="BK2408" s="2">
        <v>1</v>
      </c>
      <c r="BL2408" s="2">
        <v>45.93</v>
      </c>
      <c r="BM2408" s="2">
        <v>6.43</v>
      </c>
      <c r="BN2408" s="2">
        <v>52.36</v>
      </c>
      <c r="BO2408" s="2">
        <v>52.36</v>
      </c>
      <c r="BQ2408" s="2" t="s">
        <v>82</v>
      </c>
      <c r="BR2408" s="2" t="s">
        <v>103</v>
      </c>
      <c r="BS2408" s="3">
        <v>43087</v>
      </c>
      <c r="BT2408" s="4">
        <v>0.36874999999999997</v>
      </c>
      <c r="BU2408" s="2" t="s">
        <v>2582</v>
      </c>
      <c r="BV2408" s="2" t="s">
        <v>85</v>
      </c>
      <c r="BY2408" s="2">
        <v>1200</v>
      </c>
      <c r="CA2408" s="2" t="s">
        <v>578</v>
      </c>
      <c r="CC2408" s="2" t="s">
        <v>126</v>
      </c>
      <c r="CD2408" s="2">
        <v>4052</v>
      </c>
      <c r="CE2408" s="2" t="s">
        <v>120</v>
      </c>
      <c r="CF2408" s="3">
        <v>43088</v>
      </c>
      <c r="CI2408" s="2">
        <v>1</v>
      </c>
      <c r="CJ2408" s="2">
        <v>1</v>
      </c>
      <c r="CK2408" s="2">
        <v>21</v>
      </c>
      <c r="CL2408" s="2" t="s">
        <v>89</v>
      </c>
    </row>
    <row r="2409" spans="1:90">
      <c r="A2409" s="2" t="s">
        <v>71</v>
      </c>
      <c r="B2409" s="2" t="s">
        <v>72</v>
      </c>
      <c r="C2409" s="2" t="s">
        <v>73</v>
      </c>
      <c r="E2409" s="2" t="str">
        <f>"FES1162596367"</f>
        <v>FES1162596367</v>
      </c>
      <c r="F2409" s="3">
        <v>43084</v>
      </c>
      <c r="G2409" s="2">
        <v>201806</v>
      </c>
      <c r="H2409" s="2" t="s">
        <v>74</v>
      </c>
      <c r="I2409" s="2" t="s">
        <v>75</v>
      </c>
      <c r="J2409" s="2" t="s">
        <v>97</v>
      </c>
      <c r="K2409" s="2" t="s">
        <v>77</v>
      </c>
      <c r="L2409" s="2" t="s">
        <v>98</v>
      </c>
      <c r="M2409" s="2" t="s">
        <v>99</v>
      </c>
      <c r="N2409" s="2" t="s">
        <v>2402</v>
      </c>
      <c r="O2409" s="2" t="s">
        <v>101</v>
      </c>
      <c r="P2409" s="2" t="str">
        <f>"2170604384                    "</f>
        <v xml:space="preserve">2170604384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6.43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1</v>
      </c>
      <c r="BJ2409" s="2">
        <v>0.2</v>
      </c>
      <c r="BK2409" s="2">
        <v>1</v>
      </c>
      <c r="BL2409" s="2">
        <v>45.93</v>
      </c>
      <c r="BM2409" s="2">
        <v>6.43</v>
      </c>
      <c r="BN2409" s="2">
        <v>52.36</v>
      </c>
      <c r="BO2409" s="2">
        <v>52.36</v>
      </c>
      <c r="BR2409" s="2" t="s">
        <v>103</v>
      </c>
      <c r="BS2409" s="3">
        <v>43087</v>
      </c>
      <c r="BT2409" s="4">
        <v>0.39583333333333331</v>
      </c>
      <c r="BU2409" s="2" t="s">
        <v>2403</v>
      </c>
      <c r="BV2409" s="2" t="s">
        <v>85</v>
      </c>
      <c r="BY2409" s="2">
        <v>1200</v>
      </c>
      <c r="CA2409" s="2" t="s">
        <v>497</v>
      </c>
      <c r="CC2409" s="2" t="s">
        <v>99</v>
      </c>
      <c r="CD2409" s="2">
        <v>3201</v>
      </c>
      <c r="CE2409" s="2" t="s">
        <v>120</v>
      </c>
      <c r="CF2409" s="3">
        <v>43089</v>
      </c>
      <c r="CI2409" s="2">
        <v>1</v>
      </c>
      <c r="CJ2409" s="2">
        <v>1</v>
      </c>
      <c r="CK2409" s="2">
        <v>21</v>
      </c>
      <c r="CL2409" s="2" t="s">
        <v>89</v>
      </c>
    </row>
    <row r="2410" spans="1:90">
      <c r="A2410" s="2" t="s">
        <v>71</v>
      </c>
      <c r="B2410" s="2" t="s">
        <v>72</v>
      </c>
      <c r="C2410" s="2" t="s">
        <v>73</v>
      </c>
      <c r="E2410" s="2" t="str">
        <f>"FES1162596319"</f>
        <v>FES1162596319</v>
      </c>
      <c r="F2410" s="3">
        <v>43084</v>
      </c>
      <c r="G2410" s="2">
        <v>201806</v>
      </c>
      <c r="H2410" s="2" t="s">
        <v>74</v>
      </c>
      <c r="I2410" s="2" t="s">
        <v>75</v>
      </c>
      <c r="J2410" s="2" t="s">
        <v>97</v>
      </c>
      <c r="K2410" s="2" t="s">
        <v>77</v>
      </c>
      <c r="L2410" s="2" t="s">
        <v>168</v>
      </c>
      <c r="M2410" s="2" t="s">
        <v>169</v>
      </c>
      <c r="N2410" s="2" t="s">
        <v>217</v>
      </c>
      <c r="O2410" s="2" t="s">
        <v>101</v>
      </c>
      <c r="P2410" s="2" t="str">
        <f>"217060024                     "</f>
        <v xml:space="preserve">217060024 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6.43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1</v>
      </c>
      <c r="BJ2410" s="2">
        <v>0.5</v>
      </c>
      <c r="BK2410" s="2">
        <v>1</v>
      </c>
      <c r="BL2410" s="2">
        <v>45.93</v>
      </c>
      <c r="BM2410" s="2">
        <v>6.43</v>
      </c>
      <c r="BN2410" s="2">
        <v>52.36</v>
      </c>
      <c r="BO2410" s="2">
        <v>52.36</v>
      </c>
      <c r="BQ2410" s="2" t="s">
        <v>102</v>
      </c>
      <c r="BR2410" s="2" t="s">
        <v>103</v>
      </c>
      <c r="BS2410" s="3">
        <v>43087</v>
      </c>
      <c r="BT2410" s="4">
        <v>0.41666666666666669</v>
      </c>
      <c r="BU2410" s="2" t="s">
        <v>218</v>
      </c>
      <c r="BV2410" s="2" t="s">
        <v>85</v>
      </c>
      <c r="BY2410" s="2">
        <v>2400</v>
      </c>
      <c r="CA2410" s="2" t="s">
        <v>220</v>
      </c>
      <c r="CC2410" s="2" t="s">
        <v>169</v>
      </c>
      <c r="CD2410" s="2">
        <v>3620</v>
      </c>
      <c r="CE2410" s="2" t="s">
        <v>120</v>
      </c>
      <c r="CF2410" s="3">
        <v>43088</v>
      </c>
      <c r="CI2410" s="2">
        <v>1</v>
      </c>
      <c r="CJ2410" s="2">
        <v>1</v>
      </c>
      <c r="CK2410" s="2">
        <v>21</v>
      </c>
      <c r="CL2410" s="2" t="s">
        <v>89</v>
      </c>
    </row>
    <row r="2411" spans="1:90">
      <c r="A2411" s="2" t="s">
        <v>71</v>
      </c>
      <c r="B2411" s="2" t="s">
        <v>72</v>
      </c>
      <c r="C2411" s="2" t="s">
        <v>73</v>
      </c>
      <c r="E2411" s="2" t="str">
        <f>"FES1162596273"</f>
        <v>FES1162596273</v>
      </c>
      <c r="F2411" s="3">
        <v>43084</v>
      </c>
      <c r="G2411" s="2">
        <v>201806</v>
      </c>
      <c r="H2411" s="2" t="s">
        <v>74</v>
      </c>
      <c r="I2411" s="2" t="s">
        <v>75</v>
      </c>
      <c r="J2411" s="2" t="s">
        <v>97</v>
      </c>
      <c r="K2411" s="2" t="s">
        <v>77</v>
      </c>
      <c r="L2411" s="2" t="s">
        <v>759</v>
      </c>
      <c r="M2411" s="2" t="s">
        <v>760</v>
      </c>
      <c r="N2411" s="2" t="s">
        <v>761</v>
      </c>
      <c r="O2411" s="2" t="s">
        <v>101</v>
      </c>
      <c r="P2411" s="2" t="str">
        <f>"2170608021                    "</f>
        <v xml:space="preserve">2170608021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6.43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45.93</v>
      </c>
      <c r="BM2411" s="2">
        <v>6.43</v>
      </c>
      <c r="BN2411" s="2">
        <v>52.36</v>
      </c>
      <c r="BO2411" s="2">
        <v>52.36</v>
      </c>
      <c r="BQ2411" s="2" t="s">
        <v>82</v>
      </c>
      <c r="BR2411" s="2" t="s">
        <v>103</v>
      </c>
      <c r="BS2411" s="3">
        <v>43087</v>
      </c>
      <c r="BT2411" s="4">
        <v>0.37847222222222227</v>
      </c>
      <c r="BU2411" s="2" t="s">
        <v>1284</v>
      </c>
      <c r="BV2411" s="2" t="s">
        <v>85</v>
      </c>
      <c r="BY2411" s="2">
        <v>1200</v>
      </c>
      <c r="CA2411" s="2" t="s">
        <v>578</v>
      </c>
      <c r="CC2411" s="2" t="s">
        <v>760</v>
      </c>
      <c r="CD2411" s="2">
        <v>4026</v>
      </c>
      <c r="CE2411" s="2" t="s">
        <v>120</v>
      </c>
      <c r="CF2411" s="3">
        <v>43088</v>
      </c>
      <c r="CI2411" s="2">
        <v>1</v>
      </c>
      <c r="CJ2411" s="2">
        <v>1</v>
      </c>
      <c r="CK2411" s="2">
        <v>21</v>
      </c>
      <c r="CL2411" s="2" t="s">
        <v>89</v>
      </c>
    </row>
    <row r="2412" spans="1:90">
      <c r="A2412" s="2" t="s">
        <v>71</v>
      </c>
      <c r="B2412" s="2" t="s">
        <v>72</v>
      </c>
      <c r="C2412" s="2" t="s">
        <v>73</v>
      </c>
      <c r="E2412" s="2" t="str">
        <f>"FES1162596354"</f>
        <v>FES1162596354</v>
      </c>
      <c r="F2412" s="3">
        <v>43084</v>
      </c>
      <c r="G2412" s="2">
        <v>201806</v>
      </c>
      <c r="H2412" s="2" t="s">
        <v>74</v>
      </c>
      <c r="I2412" s="2" t="s">
        <v>75</v>
      </c>
      <c r="J2412" s="2" t="s">
        <v>97</v>
      </c>
      <c r="K2412" s="2" t="s">
        <v>77</v>
      </c>
      <c r="L2412" s="2" t="s">
        <v>125</v>
      </c>
      <c r="M2412" s="2" t="s">
        <v>126</v>
      </c>
      <c r="N2412" s="2" t="s">
        <v>141</v>
      </c>
      <c r="O2412" s="2" t="s">
        <v>101</v>
      </c>
      <c r="P2412" s="2" t="str">
        <f>"2170604201                    "</f>
        <v xml:space="preserve">2170604201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6.43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</v>
      </c>
      <c r="BJ2412" s="2">
        <v>0.2</v>
      </c>
      <c r="BK2412" s="2">
        <v>1</v>
      </c>
      <c r="BL2412" s="2">
        <v>45.93</v>
      </c>
      <c r="BM2412" s="2">
        <v>6.43</v>
      </c>
      <c r="BN2412" s="2">
        <v>52.36</v>
      </c>
      <c r="BO2412" s="2">
        <v>52.36</v>
      </c>
      <c r="BQ2412" s="2" t="s">
        <v>142</v>
      </c>
      <c r="BR2412" s="2" t="s">
        <v>103</v>
      </c>
      <c r="BS2412" s="3">
        <v>43087</v>
      </c>
      <c r="BT2412" s="4">
        <v>0.4236111111111111</v>
      </c>
      <c r="BU2412" s="2" t="s">
        <v>143</v>
      </c>
      <c r="BV2412" s="2" t="s">
        <v>85</v>
      </c>
      <c r="BY2412" s="2">
        <v>1200</v>
      </c>
      <c r="CA2412" s="2" t="s">
        <v>144</v>
      </c>
      <c r="CC2412" s="2" t="s">
        <v>126</v>
      </c>
      <c r="CD2412" s="2">
        <v>4067</v>
      </c>
      <c r="CE2412" s="2" t="s">
        <v>120</v>
      </c>
      <c r="CF2412" s="3">
        <v>43088</v>
      </c>
      <c r="CI2412" s="2">
        <v>1</v>
      </c>
      <c r="CJ2412" s="2">
        <v>1</v>
      </c>
      <c r="CK2412" s="2">
        <v>21</v>
      </c>
      <c r="CL2412" s="2" t="s">
        <v>89</v>
      </c>
    </row>
    <row r="2413" spans="1:90">
      <c r="A2413" s="2" t="s">
        <v>71</v>
      </c>
      <c r="B2413" s="2" t="s">
        <v>72</v>
      </c>
      <c r="C2413" s="2" t="s">
        <v>73</v>
      </c>
      <c r="E2413" s="2" t="str">
        <f>"FES1162596426"</f>
        <v>FES1162596426</v>
      </c>
      <c r="F2413" s="3">
        <v>43084</v>
      </c>
      <c r="G2413" s="2">
        <v>201806</v>
      </c>
      <c r="H2413" s="2" t="s">
        <v>74</v>
      </c>
      <c r="I2413" s="2" t="s">
        <v>75</v>
      </c>
      <c r="J2413" s="2" t="s">
        <v>97</v>
      </c>
      <c r="K2413" s="2" t="s">
        <v>77</v>
      </c>
      <c r="L2413" s="2" t="s">
        <v>759</v>
      </c>
      <c r="M2413" s="2" t="s">
        <v>760</v>
      </c>
      <c r="N2413" s="2" t="s">
        <v>761</v>
      </c>
      <c r="O2413" s="2" t="s">
        <v>101</v>
      </c>
      <c r="P2413" s="2" t="str">
        <f>"2170607922                    "</f>
        <v xml:space="preserve">2170607922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6.43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</v>
      </c>
      <c r="BJ2413" s="2">
        <v>0.2</v>
      </c>
      <c r="BK2413" s="2">
        <v>1</v>
      </c>
      <c r="BL2413" s="2">
        <v>45.93</v>
      </c>
      <c r="BM2413" s="2">
        <v>6.43</v>
      </c>
      <c r="BN2413" s="2">
        <v>52.36</v>
      </c>
      <c r="BO2413" s="2">
        <v>52.36</v>
      </c>
      <c r="BQ2413" s="2" t="s">
        <v>82</v>
      </c>
      <c r="BR2413" s="2" t="s">
        <v>103</v>
      </c>
      <c r="BS2413" s="3">
        <v>43087</v>
      </c>
      <c r="BT2413" s="4">
        <v>0.37916666666666665</v>
      </c>
      <c r="BU2413" s="2" t="s">
        <v>1284</v>
      </c>
      <c r="BV2413" s="2" t="s">
        <v>85</v>
      </c>
      <c r="BY2413" s="2">
        <v>1200</v>
      </c>
      <c r="CA2413" s="2" t="s">
        <v>578</v>
      </c>
      <c r="CC2413" s="2" t="s">
        <v>760</v>
      </c>
      <c r="CD2413" s="2">
        <v>4026</v>
      </c>
      <c r="CE2413" s="2" t="s">
        <v>120</v>
      </c>
      <c r="CF2413" s="3">
        <v>43088</v>
      </c>
      <c r="CI2413" s="2">
        <v>1</v>
      </c>
      <c r="CJ2413" s="2">
        <v>1</v>
      </c>
      <c r="CK2413" s="2">
        <v>21</v>
      </c>
      <c r="CL2413" s="2" t="s">
        <v>89</v>
      </c>
    </row>
    <row r="2414" spans="1:90">
      <c r="A2414" s="2" t="s">
        <v>71</v>
      </c>
      <c r="B2414" s="2" t="s">
        <v>72</v>
      </c>
      <c r="C2414" s="2" t="s">
        <v>73</v>
      </c>
      <c r="E2414" s="2" t="str">
        <f>"FES1162596347"</f>
        <v>FES1162596347</v>
      </c>
      <c r="F2414" s="3">
        <v>43084</v>
      </c>
      <c r="G2414" s="2">
        <v>201806</v>
      </c>
      <c r="H2414" s="2" t="s">
        <v>74</v>
      </c>
      <c r="I2414" s="2" t="s">
        <v>75</v>
      </c>
      <c r="J2414" s="2" t="s">
        <v>97</v>
      </c>
      <c r="K2414" s="2" t="s">
        <v>77</v>
      </c>
      <c r="L2414" s="2" t="s">
        <v>136</v>
      </c>
      <c r="M2414" s="2" t="s">
        <v>137</v>
      </c>
      <c r="N2414" s="2" t="s">
        <v>974</v>
      </c>
      <c r="O2414" s="2" t="s">
        <v>101</v>
      </c>
      <c r="P2414" s="2" t="str">
        <f>"2170604103                    "</f>
        <v xml:space="preserve">2170604103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6.43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45.93</v>
      </c>
      <c r="BM2414" s="2">
        <v>6.43</v>
      </c>
      <c r="BN2414" s="2">
        <v>52.36</v>
      </c>
      <c r="BO2414" s="2">
        <v>52.36</v>
      </c>
      <c r="BQ2414" s="2" t="s">
        <v>82</v>
      </c>
      <c r="BR2414" s="2" t="s">
        <v>103</v>
      </c>
      <c r="BS2414" s="3">
        <v>43087</v>
      </c>
      <c r="BT2414" s="4">
        <v>0.33124999999999999</v>
      </c>
      <c r="BU2414" s="2" t="s">
        <v>975</v>
      </c>
      <c r="BV2414" s="2" t="s">
        <v>85</v>
      </c>
      <c r="BY2414" s="2">
        <v>1200</v>
      </c>
      <c r="CA2414" s="2" t="s">
        <v>140</v>
      </c>
      <c r="CC2414" s="2" t="s">
        <v>137</v>
      </c>
      <c r="CD2414" s="2">
        <v>6001</v>
      </c>
      <c r="CE2414" s="2" t="s">
        <v>120</v>
      </c>
      <c r="CF2414" s="3">
        <v>43088</v>
      </c>
      <c r="CI2414" s="2">
        <v>1</v>
      </c>
      <c r="CJ2414" s="2">
        <v>1</v>
      </c>
      <c r="CK2414" s="2">
        <v>21</v>
      </c>
      <c r="CL2414" s="2" t="s">
        <v>89</v>
      </c>
    </row>
    <row r="2415" spans="1:90">
      <c r="A2415" s="2" t="s">
        <v>71</v>
      </c>
      <c r="B2415" s="2" t="s">
        <v>72</v>
      </c>
      <c r="C2415" s="2" t="s">
        <v>73</v>
      </c>
      <c r="E2415" s="2" t="str">
        <f>"FES1162596440"</f>
        <v>FES1162596440</v>
      </c>
      <c r="F2415" s="3">
        <v>43084</v>
      </c>
      <c r="G2415" s="2">
        <v>201806</v>
      </c>
      <c r="H2415" s="2" t="s">
        <v>74</v>
      </c>
      <c r="I2415" s="2" t="s">
        <v>75</v>
      </c>
      <c r="J2415" s="2" t="s">
        <v>97</v>
      </c>
      <c r="K2415" s="2" t="s">
        <v>77</v>
      </c>
      <c r="L2415" s="2" t="s">
        <v>145</v>
      </c>
      <c r="M2415" s="2" t="s">
        <v>146</v>
      </c>
      <c r="N2415" s="2" t="s">
        <v>1974</v>
      </c>
      <c r="O2415" s="2" t="s">
        <v>101</v>
      </c>
      <c r="P2415" s="2" t="str">
        <f>"2170607160                    "</f>
        <v xml:space="preserve">2170607160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6.43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</v>
      </c>
      <c r="BJ2415" s="2">
        <v>0.2</v>
      </c>
      <c r="BK2415" s="2">
        <v>1</v>
      </c>
      <c r="BL2415" s="2">
        <v>45.93</v>
      </c>
      <c r="BM2415" s="2">
        <v>6.43</v>
      </c>
      <c r="BN2415" s="2">
        <v>52.36</v>
      </c>
      <c r="BO2415" s="2">
        <v>52.36</v>
      </c>
      <c r="BQ2415" s="2" t="s">
        <v>82</v>
      </c>
      <c r="BR2415" s="2" t="s">
        <v>103</v>
      </c>
      <c r="BS2415" s="2" t="s">
        <v>185</v>
      </c>
      <c r="BY2415" s="2">
        <v>1200</v>
      </c>
      <c r="CC2415" s="2" t="s">
        <v>146</v>
      </c>
      <c r="CD2415" s="2">
        <v>5201</v>
      </c>
      <c r="CE2415" s="2" t="s">
        <v>120</v>
      </c>
      <c r="CI2415" s="2">
        <v>1</v>
      </c>
      <c r="CJ2415" s="2" t="s">
        <v>185</v>
      </c>
      <c r="CK2415" s="2">
        <v>21</v>
      </c>
      <c r="CL2415" s="2" t="s">
        <v>89</v>
      </c>
    </row>
    <row r="2416" spans="1:90">
      <c r="A2416" s="2" t="s">
        <v>71</v>
      </c>
      <c r="B2416" s="2" t="s">
        <v>72</v>
      </c>
      <c r="C2416" s="2" t="s">
        <v>73</v>
      </c>
      <c r="E2416" s="2" t="str">
        <f>"FES1162596386"</f>
        <v>FES1162596386</v>
      </c>
      <c r="F2416" s="3">
        <v>43084</v>
      </c>
      <c r="G2416" s="2">
        <v>201806</v>
      </c>
      <c r="H2416" s="2" t="s">
        <v>74</v>
      </c>
      <c r="I2416" s="2" t="s">
        <v>75</v>
      </c>
      <c r="J2416" s="2" t="s">
        <v>97</v>
      </c>
      <c r="K2416" s="2" t="s">
        <v>77</v>
      </c>
      <c r="L2416" s="2" t="s">
        <v>136</v>
      </c>
      <c r="M2416" s="2" t="s">
        <v>137</v>
      </c>
      <c r="N2416" s="2" t="s">
        <v>258</v>
      </c>
      <c r="O2416" s="2" t="s">
        <v>101</v>
      </c>
      <c r="P2416" s="2" t="str">
        <f>"2170604785                    "</f>
        <v xml:space="preserve">2170604785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6.43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</v>
      </c>
      <c r="BJ2416" s="2">
        <v>0.2</v>
      </c>
      <c r="BK2416" s="2">
        <v>1</v>
      </c>
      <c r="BL2416" s="2">
        <v>45.93</v>
      </c>
      <c r="BM2416" s="2">
        <v>6.43</v>
      </c>
      <c r="BN2416" s="2">
        <v>52.36</v>
      </c>
      <c r="BO2416" s="2">
        <v>52.36</v>
      </c>
      <c r="BQ2416" s="2" t="s">
        <v>102</v>
      </c>
      <c r="BR2416" s="2" t="s">
        <v>103</v>
      </c>
      <c r="BS2416" s="3">
        <v>43087</v>
      </c>
      <c r="BT2416" s="4">
        <v>0.41666666666666669</v>
      </c>
      <c r="BU2416" s="2" t="s">
        <v>2583</v>
      </c>
      <c r="BV2416" s="2" t="s">
        <v>85</v>
      </c>
      <c r="BY2416" s="2">
        <v>1200</v>
      </c>
      <c r="CC2416" s="2" t="s">
        <v>137</v>
      </c>
      <c r="CD2416" s="2">
        <v>6001</v>
      </c>
      <c r="CE2416" s="2" t="s">
        <v>120</v>
      </c>
      <c r="CF2416" s="3">
        <v>43088</v>
      </c>
      <c r="CI2416" s="2">
        <v>1</v>
      </c>
      <c r="CJ2416" s="2">
        <v>1</v>
      </c>
      <c r="CK2416" s="2">
        <v>21</v>
      </c>
      <c r="CL2416" s="2" t="s">
        <v>89</v>
      </c>
    </row>
    <row r="2417" spans="1:90">
      <c r="A2417" s="2" t="s">
        <v>71</v>
      </c>
      <c r="B2417" s="2" t="s">
        <v>72</v>
      </c>
      <c r="C2417" s="2" t="s">
        <v>73</v>
      </c>
      <c r="E2417" s="2" t="str">
        <f>"FES1162596325"</f>
        <v>FES1162596325</v>
      </c>
      <c r="F2417" s="3">
        <v>43084</v>
      </c>
      <c r="G2417" s="2">
        <v>201806</v>
      </c>
      <c r="H2417" s="2" t="s">
        <v>74</v>
      </c>
      <c r="I2417" s="2" t="s">
        <v>75</v>
      </c>
      <c r="J2417" s="2" t="s">
        <v>97</v>
      </c>
      <c r="K2417" s="2" t="s">
        <v>77</v>
      </c>
      <c r="L2417" s="2" t="s">
        <v>111</v>
      </c>
      <c r="M2417" s="2" t="s">
        <v>112</v>
      </c>
      <c r="N2417" s="2" t="s">
        <v>113</v>
      </c>
      <c r="O2417" s="2" t="s">
        <v>101</v>
      </c>
      <c r="P2417" s="2" t="str">
        <f>"2170601919                    "</f>
        <v xml:space="preserve">2170601919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6.43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</v>
      </c>
      <c r="BJ2417" s="2">
        <v>0.2</v>
      </c>
      <c r="BK2417" s="2">
        <v>1</v>
      </c>
      <c r="BL2417" s="2">
        <v>45.93</v>
      </c>
      <c r="BM2417" s="2">
        <v>6.43</v>
      </c>
      <c r="BN2417" s="2">
        <v>52.36</v>
      </c>
      <c r="BO2417" s="2">
        <v>52.36</v>
      </c>
      <c r="BQ2417" s="2" t="s">
        <v>82</v>
      </c>
      <c r="BR2417" s="2" t="s">
        <v>103</v>
      </c>
      <c r="BS2417" s="3">
        <v>43088</v>
      </c>
      <c r="BT2417" s="4">
        <v>0.38125000000000003</v>
      </c>
      <c r="BU2417" s="2" t="s">
        <v>114</v>
      </c>
      <c r="BV2417" s="2" t="s">
        <v>89</v>
      </c>
      <c r="BW2417" s="2" t="s">
        <v>313</v>
      </c>
      <c r="BX2417" s="2" t="s">
        <v>314</v>
      </c>
      <c r="BY2417" s="2">
        <v>1200</v>
      </c>
      <c r="CC2417" s="2" t="s">
        <v>112</v>
      </c>
      <c r="CD2417" s="2">
        <v>6220</v>
      </c>
      <c r="CE2417" s="2" t="s">
        <v>120</v>
      </c>
      <c r="CF2417" s="3">
        <v>43090</v>
      </c>
      <c r="CI2417" s="2">
        <v>1</v>
      </c>
      <c r="CJ2417" s="2">
        <v>2</v>
      </c>
      <c r="CK2417" s="2">
        <v>21</v>
      </c>
      <c r="CL2417" s="2" t="s">
        <v>89</v>
      </c>
    </row>
    <row r="2418" spans="1:90">
      <c r="A2418" s="2" t="s">
        <v>71</v>
      </c>
      <c r="B2418" s="2" t="s">
        <v>72</v>
      </c>
      <c r="C2418" s="2" t="s">
        <v>73</v>
      </c>
      <c r="E2418" s="2" t="str">
        <f>"FES1162596414"</f>
        <v>FES1162596414</v>
      </c>
      <c r="F2418" s="3">
        <v>43084</v>
      </c>
      <c r="G2418" s="2">
        <v>201806</v>
      </c>
      <c r="H2418" s="2" t="s">
        <v>74</v>
      </c>
      <c r="I2418" s="2" t="s">
        <v>75</v>
      </c>
      <c r="J2418" s="2" t="s">
        <v>97</v>
      </c>
      <c r="K2418" s="2" t="s">
        <v>77</v>
      </c>
      <c r="L2418" s="2" t="s">
        <v>145</v>
      </c>
      <c r="M2418" s="2" t="s">
        <v>146</v>
      </c>
      <c r="N2418" s="2" t="s">
        <v>753</v>
      </c>
      <c r="O2418" s="2" t="s">
        <v>101</v>
      </c>
      <c r="P2418" s="2" t="str">
        <f>"2170606519                    "</f>
        <v xml:space="preserve">2170606519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6.43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45.93</v>
      </c>
      <c r="BM2418" s="2">
        <v>6.43</v>
      </c>
      <c r="BN2418" s="2">
        <v>52.36</v>
      </c>
      <c r="BO2418" s="2">
        <v>52.36</v>
      </c>
      <c r="BQ2418" s="2" t="s">
        <v>82</v>
      </c>
      <c r="BR2418" s="2" t="s">
        <v>103</v>
      </c>
      <c r="BS2418" s="3">
        <v>43087</v>
      </c>
      <c r="BT2418" s="4">
        <v>0.40902777777777777</v>
      </c>
      <c r="BU2418" s="2" t="s">
        <v>901</v>
      </c>
      <c r="BV2418" s="2" t="s">
        <v>85</v>
      </c>
      <c r="BY2418" s="2">
        <v>1200</v>
      </c>
      <c r="CA2418" s="2" t="s">
        <v>754</v>
      </c>
      <c r="CC2418" s="2" t="s">
        <v>146</v>
      </c>
      <c r="CD2418" s="2">
        <v>5201</v>
      </c>
      <c r="CE2418" s="2" t="s">
        <v>120</v>
      </c>
      <c r="CF2418" s="3">
        <v>43088</v>
      </c>
      <c r="CI2418" s="2">
        <v>1</v>
      </c>
      <c r="CJ2418" s="2">
        <v>1</v>
      </c>
      <c r="CK2418" s="2">
        <v>21</v>
      </c>
      <c r="CL2418" s="2" t="s">
        <v>89</v>
      </c>
    </row>
    <row r="2419" spans="1:90">
      <c r="A2419" s="2" t="s">
        <v>71</v>
      </c>
      <c r="B2419" s="2" t="s">
        <v>72</v>
      </c>
      <c r="C2419" s="2" t="s">
        <v>73</v>
      </c>
      <c r="E2419" s="2" t="str">
        <f>"FES1162596357"</f>
        <v>FES1162596357</v>
      </c>
      <c r="F2419" s="3">
        <v>43084</v>
      </c>
      <c r="G2419" s="2">
        <v>201806</v>
      </c>
      <c r="H2419" s="2" t="s">
        <v>74</v>
      </c>
      <c r="I2419" s="2" t="s">
        <v>75</v>
      </c>
      <c r="J2419" s="2" t="s">
        <v>97</v>
      </c>
      <c r="K2419" s="2" t="s">
        <v>77</v>
      </c>
      <c r="L2419" s="2" t="s">
        <v>136</v>
      </c>
      <c r="M2419" s="2" t="s">
        <v>137</v>
      </c>
      <c r="N2419" s="2" t="s">
        <v>138</v>
      </c>
      <c r="O2419" s="2" t="s">
        <v>101</v>
      </c>
      <c r="P2419" s="2" t="str">
        <f>"2170604240                    "</f>
        <v xml:space="preserve">2170604240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6.43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45.93</v>
      </c>
      <c r="BM2419" s="2">
        <v>6.43</v>
      </c>
      <c r="BN2419" s="2">
        <v>52.36</v>
      </c>
      <c r="BO2419" s="2">
        <v>52.36</v>
      </c>
      <c r="BQ2419" s="2" t="s">
        <v>82</v>
      </c>
      <c r="BR2419" s="2" t="s">
        <v>103</v>
      </c>
      <c r="BS2419" s="3">
        <v>43087</v>
      </c>
      <c r="BT2419" s="4">
        <v>0.33333333333333331</v>
      </c>
      <c r="BU2419" s="2" t="s">
        <v>139</v>
      </c>
      <c r="BV2419" s="2" t="s">
        <v>85</v>
      </c>
      <c r="BY2419" s="2">
        <v>1200</v>
      </c>
      <c r="CA2419" s="2" t="s">
        <v>140</v>
      </c>
      <c r="CC2419" s="2" t="s">
        <v>137</v>
      </c>
      <c r="CD2419" s="2">
        <v>6001</v>
      </c>
      <c r="CE2419" s="2" t="s">
        <v>120</v>
      </c>
      <c r="CF2419" s="3">
        <v>43088</v>
      </c>
      <c r="CI2419" s="2">
        <v>1</v>
      </c>
      <c r="CJ2419" s="2">
        <v>1</v>
      </c>
      <c r="CK2419" s="2">
        <v>21</v>
      </c>
      <c r="CL2419" s="2" t="s">
        <v>89</v>
      </c>
    </row>
    <row r="2420" spans="1:90">
      <c r="A2420" s="2" t="s">
        <v>71</v>
      </c>
      <c r="B2420" s="2" t="s">
        <v>72</v>
      </c>
      <c r="C2420" s="2" t="s">
        <v>73</v>
      </c>
      <c r="E2420" s="2" t="str">
        <f>"FES1162595862"</f>
        <v>FES1162595862</v>
      </c>
      <c r="F2420" s="3">
        <v>43084</v>
      </c>
      <c r="G2420" s="2">
        <v>201806</v>
      </c>
      <c r="H2420" s="2" t="s">
        <v>74</v>
      </c>
      <c r="I2420" s="2" t="s">
        <v>75</v>
      </c>
      <c r="J2420" s="2" t="s">
        <v>97</v>
      </c>
      <c r="K2420" s="2" t="s">
        <v>77</v>
      </c>
      <c r="L2420" s="2" t="s">
        <v>136</v>
      </c>
      <c r="M2420" s="2" t="s">
        <v>137</v>
      </c>
      <c r="N2420" s="2" t="s">
        <v>446</v>
      </c>
      <c r="O2420" s="2" t="s">
        <v>101</v>
      </c>
      <c r="P2420" s="2" t="str">
        <f>"2170607695                    "</f>
        <v xml:space="preserve">2170607695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6.43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2</v>
      </c>
      <c r="BJ2420" s="2">
        <v>0.9</v>
      </c>
      <c r="BK2420" s="2">
        <v>2</v>
      </c>
      <c r="BL2420" s="2">
        <v>45.93</v>
      </c>
      <c r="BM2420" s="2">
        <v>6.43</v>
      </c>
      <c r="BN2420" s="2">
        <v>52.36</v>
      </c>
      <c r="BO2420" s="2">
        <v>52.36</v>
      </c>
      <c r="BQ2420" s="2" t="s">
        <v>102</v>
      </c>
      <c r="BR2420" s="2" t="s">
        <v>103</v>
      </c>
      <c r="BS2420" s="3">
        <v>43087</v>
      </c>
      <c r="BT2420" s="4">
        <v>0.3125</v>
      </c>
      <c r="BU2420" s="2" t="s">
        <v>2584</v>
      </c>
      <c r="BV2420" s="2" t="s">
        <v>85</v>
      </c>
      <c r="BY2420" s="2">
        <v>4558.3999999999996</v>
      </c>
      <c r="CA2420" s="2" t="s">
        <v>140</v>
      </c>
      <c r="CC2420" s="2" t="s">
        <v>137</v>
      </c>
      <c r="CD2420" s="2">
        <v>6012</v>
      </c>
      <c r="CE2420" s="2" t="s">
        <v>87</v>
      </c>
      <c r="CF2420" s="3">
        <v>43088</v>
      </c>
      <c r="CI2420" s="2">
        <v>1</v>
      </c>
      <c r="CJ2420" s="2">
        <v>1</v>
      </c>
      <c r="CK2420" s="2">
        <v>21</v>
      </c>
      <c r="CL2420" s="2" t="s">
        <v>89</v>
      </c>
    </row>
    <row r="2421" spans="1:90">
      <c r="A2421" s="2" t="s">
        <v>71</v>
      </c>
      <c r="B2421" s="2" t="s">
        <v>72</v>
      </c>
      <c r="C2421" s="2" t="s">
        <v>73</v>
      </c>
      <c r="E2421" s="2" t="str">
        <f>"FES1162596342"</f>
        <v>FES1162596342</v>
      </c>
      <c r="F2421" s="3">
        <v>43084</v>
      </c>
      <c r="G2421" s="2">
        <v>201806</v>
      </c>
      <c r="H2421" s="2" t="s">
        <v>74</v>
      </c>
      <c r="I2421" s="2" t="s">
        <v>75</v>
      </c>
      <c r="J2421" s="2" t="s">
        <v>97</v>
      </c>
      <c r="K2421" s="2" t="s">
        <v>77</v>
      </c>
      <c r="L2421" s="2" t="s">
        <v>136</v>
      </c>
      <c r="M2421" s="2" t="s">
        <v>137</v>
      </c>
      <c r="N2421" s="2" t="s">
        <v>2105</v>
      </c>
      <c r="O2421" s="2" t="s">
        <v>101</v>
      </c>
      <c r="P2421" s="2" t="str">
        <f>"2170603981                    "</f>
        <v xml:space="preserve">2170603981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6.43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1.8</v>
      </c>
      <c r="BJ2421" s="2">
        <v>0.9</v>
      </c>
      <c r="BK2421" s="2">
        <v>2</v>
      </c>
      <c r="BL2421" s="2">
        <v>45.93</v>
      </c>
      <c r="BM2421" s="2">
        <v>6.43</v>
      </c>
      <c r="BN2421" s="2">
        <v>52.36</v>
      </c>
      <c r="BO2421" s="2">
        <v>52.36</v>
      </c>
      <c r="BQ2421" s="2" t="s">
        <v>102</v>
      </c>
      <c r="BR2421" s="2" t="s">
        <v>103</v>
      </c>
      <c r="BS2421" s="3">
        <v>43089</v>
      </c>
      <c r="BT2421" s="4">
        <v>0.45833333333333331</v>
      </c>
      <c r="BU2421" s="2" t="s">
        <v>2585</v>
      </c>
      <c r="BV2421" s="2" t="s">
        <v>89</v>
      </c>
      <c r="BW2421" s="2" t="s">
        <v>2433</v>
      </c>
      <c r="BX2421" s="2" t="s">
        <v>314</v>
      </c>
      <c r="BY2421" s="2">
        <v>4692.6000000000004</v>
      </c>
      <c r="CA2421" s="2" t="s">
        <v>1050</v>
      </c>
      <c r="CC2421" s="2" t="s">
        <v>137</v>
      </c>
      <c r="CD2421" s="2">
        <v>6012</v>
      </c>
      <c r="CE2421" s="2" t="s">
        <v>87</v>
      </c>
      <c r="CF2421" s="3">
        <v>43090</v>
      </c>
      <c r="CI2421" s="2">
        <v>1</v>
      </c>
      <c r="CJ2421" s="2">
        <v>3</v>
      </c>
      <c r="CK2421" s="2">
        <v>21</v>
      </c>
      <c r="CL2421" s="2" t="s">
        <v>89</v>
      </c>
    </row>
    <row r="2422" spans="1:90">
      <c r="A2422" s="2" t="s">
        <v>71</v>
      </c>
      <c r="B2422" s="2" t="s">
        <v>72</v>
      </c>
      <c r="C2422" s="2" t="s">
        <v>73</v>
      </c>
      <c r="E2422" s="2" t="str">
        <f>"FES1162596309"</f>
        <v>FES1162596309</v>
      </c>
      <c r="F2422" s="3">
        <v>43084</v>
      </c>
      <c r="G2422" s="2">
        <v>201806</v>
      </c>
      <c r="H2422" s="2" t="s">
        <v>74</v>
      </c>
      <c r="I2422" s="2" t="s">
        <v>75</v>
      </c>
      <c r="J2422" s="2" t="s">
        <v>97</v>
      </c>
      <c r="K2422" s="2" t="s">
        <v>77</v>
      </c>
      <c r="L2422" s="2" t="s">
        <v>173</v>
      </c>
      <c r="M2422" s="2" t="s">
        <v>174</v>
      </c>
      <c r="N2422" s="2" t="s">
        <v>349</v>
      </c>
      <c r="O2422" s="2" t="s">
        <v>101</v>
      </c>
      <c r="P2422" s="2" t="str">
        <f>"2170591949                    "</f>
        <v xml:space="preserve">2170591949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17.690000000000001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4</v>
      </c>
      <c r="BJ2422" s="2">
        <v>5.2</v>
      </c>
      <c r="BK2422" s="2">
        <v>5.5</v>
      </c>
      <c r="BL2422" s="2">
        <v>126.28</v>
      </c>
      <c r="BM2422" s="2">
        <v>17.68</v>
      </c>
      <c r="BN2422" s="2">
        <v>143.96</v>
      </c>
      <c r="BO2422" s="2">
        <v>143.96</v>
      </c>
      <c r="BQ2422" s="2" t="s">
        <v>879</v>
      </c>
      <c r="BR2422" s="2" t="s">
        <v>103</v>
      </c>
      <c r="BS2422" s="3">
        <v>43087</v>
      </c>
      <c r="BT2422" s="4">
        <v>0.51736111111111105</v>
      </c>
      <c r="BU2422" s="2" t="s">
        <v>350</v>
      </c>
      <c r="BV2422" s="2" t="s">
        <v>89</v>
      </c>
      <c r="BW2422" s="2" t="s">
        <v>313</v>
      </c>
      <c r="BX2422" s="2" t="s">
        <v>246</v>
      </c>
      <c r="BY2422" s="2">
        <v>25947</v>
      </c>
      <c r="CA2422" s="2" t="s">
        <v>1713</v>
      </c>
      <c r="CC2422" s="2" t="s">
        <v>174</v>
      </c>
      <c r="CD2422" s="2">
        <v>7800</v>
      </c>
      <c r="CE2422" s="2" t="s">
        <v>87</v>
      </c>
      <c r="CF2422" s="3">
        <v>43088</v>
      </c>
      <c r="CI2422" s="2">
        <v>1</v>
      </c>
      <c r="CJ2422" s="2">
        <v>1</v>
      </c>
      <c r="CK2422" s="2">
        <v>21</v>
      </c>
      <c r="CL2422" s="2" t="s">
        <v>89</v>
      </c>
    </row>
    <row r="2423" spans="1:90">
      <c r="A2423" s="2" t="s">
        <v>71</v>
      </c>
      <c r="B2423" s="2" t="s">
        <v>72</v>
      </c>
      <c r="C2423" s="2" t="s">
        <v>73</v>
      </c>
      <c r="E2423" s="2" t="str">
        <f>"FES1162596339"</f>
        <v>FES1162596339</v>
      </c>
      <c r="F2423" s="3">
        <v>43084</v>
      </c>
      <c r="G2423" s="2">
        <v>201806</v>
      </c>
      <c r="H2423" s="2" t="s">
        <v>74</v>
      </c>
      <c r="I2423" s="2" t="s">
        <v>75</v>
      </c>
      <c r="J2423" s="2" t="s">
        <v>97</v>
      </c>
      <c r="K2423" s="2" t="s">
        <v>77</v>
      </c>
      <c r="L2423" s="2" t="s">
        <v>277</v>
      </c>
      <c r="M2423" s="2" t="s">
        <v>278</v>
      </c>
      <c r="N2423" s="2" t="s">
        <v>2586</v>
      </c>
      <c r="O2423" s="2" t="s">
        <v>101</v>
      </c>
      <c r="P2423" s="2" t="str">
        <f>"2170603953                    "</f>
        <v xml:space="preserve">2170603953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5.03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1</v>
      </c>
      <c r="BJ2423" s="2">
        <v>0.2</v>
      </c>
      <c r="BK2423" s="2">
        <v>1</v>
      </c>
      <c r="BL2423" s="2">
        <v>35.89</v>
      </c>
      <c r="BM2423" s="2">
        <v>5.0199999999999996</v>
      </c>
      <c r="BN2423" s="2">
        <v>40.909999999999997</v>
      </c>
      <c r="BO2423" s="2">
        <v>40.909999999999997</v>
      </c>
      <c r="BR2423" s="2" t="s">
        <v>103</v>
      </c>
      <c r="BS2423" s="3">
        <v>43087</v>
      </c>
      <c r="BT2423" s="4">
        <v>0.39583333333333331</v>
      </c>
      <c r="BU2423" s="2" t="s">
        <v>1474</v>
      </c>
      <c r="BV2423" s="2" t="s">
        <v>85</v>
      </c>
      <c r="BY2423" s="2">
        <v>1200</v>
      </c>
      <c r="CC2423" s="2" t="s">
        <v>278</v>
      </c>
      <c r="CD2423" s="2">
        <v>2125</v>
      </c>
      <c r="CE2423" s="2" t="s">
        <v>120</v>
      </c>
      <c r="CF2423" s="3">
        <v>43089</v>
      </c>
      <c r="CI2423" s="2">
        <v>1</v>
      </c>
      <c r="CJ2423" s="2">
        <v>1</v>
      </c>
      <c r="CK2423" s="2">
        <v>22</v>
      </c>
      <c r="CL2423" s="2" t="s">
        <v>89</v>
      </c>
    </row>
    <row r="2424" spans="1:90">
      <c r="A2424" s="2" t="s">
        <v>71</v>
      </c>
      <c r="B2424" s="2" t="s">
        <v>72</v>
      </c>
      <c r="C2424" s="2" t="s">
        <v>73</v>
      </c>
      <c r="E2424" s="2" t="str">
        <f>"FES1162596404"</f>
        <v>FES1162596404</v>
      </c>
      <c r="F2424" s="3">
        <v>43084</v>
      </c>
      <c r="G2424" s="2">
        <v>201806</v>
      </c>
      <c r="H2424" s="2" t="s">
        <v>74</v>
      </c>
      <c r="I2424" s="2" t="s">
        <v>75</v>
      </c>
      <c r="J2424" s="2" t="s">
        <v>97</v>
      </c>
      <c r="K2424" s="2" t="s">
        <v>77</v>
      </c>
      <c r="L2424" s="2" t="s">
        <v>136</v>
      </c>
      <c r="M2424" s="2" t="s">
        <v>137</v>
      </c>
      <c r="N2424" s="2" t="s">
        <v>662</v>
      </c>
      <c r="O2424" s="2" t="s">
        <v>101</v>
      </c>
      <c r="P2424" s="2" t="str">
        <f>"21706056666                   "</f>
        <v xml:space="preserve">21706056666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6.43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1</v>
      </c>
      <c r="BJ2424" s="2">
        <v>0.2</v>
      </c>
      <c r="BK2424" s="2">
        <v>1</v>
      </c>
      <c r="BL2424" s="2">
        <v>45.93</v>
      </c>
      <c r="BM2424" s="2">
        <v>6.43</v>
      </c>
      <c r="BN2424" s="2">
        <v>52.36</v>
      </c>
      <c r="BO2424" s="2">
        <v>52.36</v>
      </c>
      <c r="BQ2424" s="2" t="s">
        <v>128</v>
      </c>
      <c r="BR2424" s="2" t="s">
        <v>103</v>
      </c>
      <c r="BS2424" s="3">
        <v>43091</v>
      </c>
      <c r="BT2424" s="4">
        <v>0.41666666666666669</v>
      </c>
      <c r="BU2424" s="2" t="s">
        <v>2587</v>
      </c>
      <c r="BV2424" s="2" t="s">
        <v>89</v>
      </c>
      <c r="BW2424" s="2" t="s">
        <v>2433</v>
      </c>
      <c r="BX2424" s="2" t="s">
        <v>314</v>
      </c>
      <c r="BY2424" s="2">
        <v>1200</v>
      </c>
      <c r="CA2424" s="2" t="s">
        <v>1050</v>
      </c>
      <c r="CC2424" s="2" t="s">
        <v>137</v>
      </c>
      <c r="CD2424" s="2">
        <v>6012</v>
      </c>
      <c r="CE2424" s="2" t="s">
        <v>120</v>
      </c>
      <c r="CF2424" s="3">
        <v>43097</v>
      </c>
      <c r="CI2424" s="2">
        <v>1</v>
      </c>
      <c r="CJ2424" s="2">
        <v>5</v>
      </c>
      <c r="CK2424" s="2">
        <v>21</v>
      </c>
      <c r="CL2424" s="2" t="s">
        <v>89</v>
      </c>
    </row>
    <row r="2425" spans="1:90">
      <c r="A2425" s="2" t="s">
        <v>71</v>
      </c>
      <c r="B2425" s="2" t="s">
        <v>72</v>
      </c>
      <c r="C2425" s="2" t="s">
        <v>73</v>
      </c>
      <c r="E2425" s="2" t="str">
        <f>"FES1162596397"</f>
        <v>FES1162596397</v>
      </c>
      <c r="F2425" s="3">
        <v>43084</v>
      </c>
      <c r="G2425" s="2">
        <v>201806</v>
      </c>
      <c r="H2425" s="2" t="s">
        <v>74</v>
      </c>
      <c r="I2425" s="2" t="s">
        <v>75</v>
      </c>
      <c r="J2425" s="2" t="s">
        <v>97</v>
      </c>
      <c r="K2425" s="2" t="s">
        <v>77</v>
      </c>
      <c r="L2425" s="2" t="s">
        <v>136</v>
      </c>
      <c r="M2425" s="2" t="s">
        <v>137</v>
      </c>
      <c r="N2425" s="2" t="s">
        <v>138</v>
      </c>
      <c r="O2425" s="2" t="s">
        <v>101</v>
      </c>
      <c r="P2425" s="2" t="str">
        <f>"2170604962                    "</f>
        <v xml:space="preserve">2170604962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6.43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1</v>
      </c>
      <c r="BJ2425" s="2">
        <v>0.2</v>
      </c>
      <c r="BK2425" s="2">
        <v>1</v>
      </c>
      <c r="BL2425" s="2">
        <v>45.93</v>
      </c>
      <c r="BM2425" s="2">
        <v>6.43</v>
      </c>
      <c r="BN2425" s="2">
        <v>52.36</v>
      </c>
      <c r="BO2425" s="2">
        <v>52.36</v>
      </c>
      <c r="BQ2425" s="2" t="s">
        <v>82</v>
      </c>
      <c r="BR2425" s="2" t="s">
        <v>103</v>
      </c>
      <c r="BS2425" s="3">
        <v>43087</v>
      </c>
      <c r="BT2425" s="4">
        <v>0.33333333333333331</v>
      </c>
      <c r="BU2425" s="2" t="s">
        <v>139</v>
      </c>
      <c r="BV2425" s="2" t="s">
        <v>85</v>
      </c>
      <c r="BY2425" s="2">
        <v>1200</v>
      </c>
      <c r="CA2425" s="2" t="s">
        <v>140</v>
      </c>
      <c r="CC2425" s="2" t="s">
        <v>137</v>
      </c>
      <c r="CD2425" s="2">
        <v>6001</v>
      </c>
      <c r="CE2425" s="2" t="s">
        <v>120</v>
      </c>
      <c r="CF2425" s="3">
        <v>43088</v>
      </c>
      <c r="CI2425" s="2">
        <v>1</v>
      </c>
      <c r="CJ2425" s="2">
        <v>1</v>
      </c>
      <c r="CK2425" s="2">
        <v>21</v>
      </c>
      <c r="CL2425" s="2" t="s">
        <v>89</v>
      </c>
    </row>
    <row r="2426" spans="1:90">
      <c r="A2426" s="2" t="s">
        <v>71</v>
      </c>
      <c r="B2426" s="2" t="s">
        <v>72</v>
      </c>
      <c r="C2426" s="2" t="s">
        <v>73</v>
      </c>
      <c r="E2426" s="2" t="str">
        <f>"FES1162596424"</f>
        <v>FES1162596424</v>
      </c>
      <c r="F2426" s="3">
        <v>43084</v>
      </c>
      <c r="G2426" s="2">
        <v>201806</v>
      </c>
      <c r="H2426" s="2" t="s">
        <v>74</v>
      </c>
      <c r="I2426" s="2" t="s">
        <v>75</v>
      </c>
      <c r="J2426" s="2" t="s">
        <v>97</v>
      </c>
      <c r="K2426" s="2" t="s">
        <v>77</v>
      </c>
      <c r="L2426" s="2" t="s">
        <v>235</v>
      </c>
      <c r="M2426" s="2" t="s">
        <v>235</v>
      </c>
      <c r="N2426" s="2" t="s">
        <v>236</v>
      </c>
      <c r="O2426" s="2" t="s">
        <v>101</v>
      </c>
      <c r="P2426" s="2" t="str">
        <f>"2170607721                    "</f>
        <v xml:space="preserve">2170607721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12.47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1</v>
      </c>
      <c r="BJ2426" s="2">
        <v>0.2</v>
      </c>
      <c r="BK2426" s="2">
        <v>1</v>
      </c>
      <c r="BL2426" s="2">
        <v>89</v>
      </c>
      <c r="BM2426" s="2">
        <v>12.46</v>
      </c>
      <c r="BN2426" s="2">
        <v>101.46</v>
      </c>
      <c r="BO2426" s="2">
        <v>101.46</v>
      </c>
      <c r="BQ2426" s="2" t="s">
        <v>187</v>
      </c>
      <c r="BR2426" s="2" t="s">
        <v>103</v>
      </c>
      <c r="BS2426" s="3">
        <v>43088</v>
      </c>
      <c r="BT2426" s="4">
        <v>0.5</v>
      </c>
      <c r="BU2426" s="2" t="s">
        <v>237</v>
      </c>
      <c r="BV2426" s="2" t="s">
        <v>85</v>
      </c>
      <c r="BY2426" s="2">
        <v>1200</v>
      </c>
      <c r="CC2426" s="2" t="s">
        <v>235</v>
      </c>
      <c r="CD2426" s="2">
        <v>5470</v>
      </c>
      <c r="CE2426" s="2" t="s">
        <v>120</v>
      </c>
      <c r="CI2426" s="2">
        <v>4</v>
      </c>
      <c r="CJ2426" s="2">
        <v>2</v>
      </c>
      <c r="CK2426" s="2">
        <v>23</v>
      </c>
      <c r="CL2426" s="2" t="s">
        <v>89</v>
      </c>
    </row>
    <row r="2427" spans="1:90">
      <c r="A2427" s="2" t="s">
        <v>71</v>
      </c>
      <c r="B2427" s="2" t="s">
        <v>72</v>
      </c>
      <c r="C2427" s="2" t="s">
        <v>73</v>
      </c>
      <c r="E2427" s="2" t="str">
        <f>"FES1162596324"</f>
        <v>FES1162596324</v>
      </c>
      <c r="F2427" s="3">
        <v>43084</v>
      </c>
      <c r="G2427" s="2">
        <v>201806</v>
      </c>
      <c r="H2427" s="2" t="s">
        <v>74</v>
      </c>
      <c r="I2427" s="2" t="s">
        <v>75</v>
      </c>
      <c r="J2427" s="2" t="s">
        <v>97</v>
      </c>
      <c r="K2427" s="2" t="s">
        <v>77</v>
      </c>
      <c r="L2427" s="2" t="s">
        <v>136</v>
      </c>
      <c r="M2427" s="2" t="s">
        <v>137</v>
      </c>
      <c r="N2427" s="2" t="s">
        <v>138</v>
      </c>
      <c r="O2427" s="2" t="s">
        <v>101</v>
      </c>
      <c r="P2427" s="2" t="str">
        <f>"2170601829                    "</f>
        <v xml:space="preserve">2170601829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6.43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1</v>
      </c>
      <c r="BJ2427" s="2">
        <v>0.2</v>
      </c>
      <c r="BK2427" s="2">
        <v>1</v>
      </c>
      <c r="BL2427" s="2">
        <v>45.93</v>
      </c>
      <c r="BM2427" s="2">
        <v>6.43</v>
      </c>
      <c r="BN2427" s="2">
        <v>52.36</v>
      </c>
      <c r="BO2427" s="2">
        <v>52.36</v>
      </c>
      <c r="BQ2427" s="2" t="s">
        <v>82</v>
      </c>
      <c r="BR2427" s="2" t="s">
        <v>103</v>
      </c>
      <c r="BS2427" s="3">
        <v>43087</v>
      </c>
      <c r="BT2427" s="4">
        <v>0.33333333333333331</v>
      </c>
      <c r="BU2427" s="2" t="s">
        <v>139</v>
      </c>
      <c r="BV2427" s="2" t="s">
        <v>85</v>
      </c>
      <c r="BY2427" s="2">
        <v>1200</v>
      </c>
      <c r="CA2427" s="2" t="s">
        <v>140</v>
      </c>
      <c r="CC2427" s="2" t="s">
        <v>137</v>
      </c>
      <c r="CD2427" s="2">
        <v>6001</v>
      </c>
      <c r="CE2427" s="2" t="s">
        <v>120</v>
      </c>
      <c r="CF2427" s="3">
        <v>43088</v>
      </c>
      <c r="CI2427" s="2">
        <v>1</v>
      </c>
      <c r="CJ2427" s="2">
        <v>1</v>
      </c>
      <c r="CK2427" s="2">
        <v>21</v>
      </c>
      <c r="CL2427" s="2" t="s">
        <v>89</v>
      </c>
    </row>
    <row r="2428" spans="1:90">
      <c r="A2428" s="2" t="s">
        <v>71</v>
      </c>
      <c r="B2428" s="2" t="s">
        <v>72</v>
      </c>
      <c r="C2428" s="2" t="s">
        <v>73</v>
      </c>
      <c r="E2428" s="2" t="str">
        <f>"FES1162596370"</f>
        <v>FES1162596370</v>
      </c>
      <c r="F2428" s="3">
        <v>43084</v>
      </c>
      <c r="G2428" s="2">
        <v>201806</v>
      </c>
      <c r="H2428" s="2" t="s">
        <v>74</v>
      </c>
      <c r="I2428" s="2" t="s">
        <v>75</v>
      </c>
      <c r="J2428" s="2" t="s">
        <v>97</v>
      </c>
      <c r="K2428" s="2" t="s">
        <v>77</v>
      </c>
      <c r="L2428" s="2" t="s">
        <v>136</v>
      </c>
      <c r="M2428" s="2" t="s">
        <v>137</v>
      </c>
      <c r="N2428" s="2" t="s">
        <v>2588</v>
      </c>
      <c r="O2428" s="2" t="s">
        <v>101</v>
      </c>
      <c r="P2428" s="2" t="str">
        <f>"2170604469                    "</f>
        <v xml:space="preserve">2170604469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6.43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</v>
      </c>
      <c r="BJ2428" s="2">
        <v>0.2</v>
      </c>
      <c r="BK2428" s="2">
        <v>1</v>
      </c>
      <c r="BL2428" s="2">
        <v>45.93</v>
      </c>
      <c r="BM2428" s="2">
        <v>6.43</v>
      </c>
      <c r="BN2428" s="2">
        <v>52.36</v>
      </c>
      <c r="BO2428" s="2">
        <v>52.36</v>
      </c>
      <c r="BQ2428" s="2" t="s">
        <v>2589</v>
      </c>
      <c r="BR2428" s="2" t="s">
        <v>103</v>
      </c>
      <c r="BS2428" s="3">
        <v>43087</v>
      </c>
      <c r="BT2428" s="4">
        <v>0.52916666666666667</v>
      </c>
      <c r="BU2428" s="2" t="s">
        <v>2590</v>
      </c>
      <c r="BV2428" s="2" t="s">
        <v>89</v>
      </c>
      <c r="BW2428" s="2" t="s">
        <v>313</v>
      </c>
      <c r="BX2428" s="2" t="s">
        <v>314</v>
      </c>
      <c r="BY2428" s="2">
        <v>1200</v>
      </c>
      <c r="CA2428" s="2" t="s">
        <v>140</v>
      </c>
      <c r="CC2428" s="2" t="s">
        <v>137</v>
      </c>
      <c r="CD2428" s="2">
        <v>6001</v>
      </c>
      <c r="CE2428" s="2" t="s">
        <v>120</v>
      </c>
      <c r="CF2428" s="3">
        <v>43088</v>
      </c>
      <c r="CI2428" s="2">
        <v>1</v>
      </c>
      <c r="CJ2428" s="2">
        <v>1</v>
      </c>
      <c r="CK2428" s="2">
        <v>21</v>
      </c>
      <c r="CL2428" s="2" t="s">
        <v>89</v>
      </c>
    </row>
    <row r="2429" spans="1:90">
      <c r="A2429" s="2" t="s">
        <v>71</v>
      </c>
      <c r="B2429" s="2" t="s">
        <v>72</v>
      </c>
      <c r="C2429" s="2" t="s">
        <v>73</v>
      </c>
      <c r="E2429" s="2" t="str">
        <f>"FES1162596337"</f>
        <v>FES1162596337</v>
      </c>
      <c r="F2429" s="3">
        <v>43084</v>
      </c>
      <c r="G2429" s="2">
        <v>201806</v>
      </c>
      <c r="H2429" s="2" t="s">
        <v>74</v>
      </c>
      <c r="I2429" s="2" t="s">
        <v>75</v>
      </c>
      <c r="J2429" s="2" t="s">
        <v>97</v>
      </c>
      <c r="K2429" s="2" t="s">
        <v>77</v>
      </c>
      <c r="L2429" s="2" t="s">
        <v>860</v>
      </c>
      <c r="M2429" s="2" t="s">
        <v>861</v>
      </c>
      <c r="N2429" s="2" t="s">
        <v>862</v>
      </c>
      <c r="O2429" s="2" t="s">
        <v>101</v>
      </c>
      <c r="P2429" s="2" t="str">
        <f>"2170603915                    "</f>
        <v xml:space="preserve">2170603915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6.43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</v>
      </c>
      <c r="BJ2429" s="2">
        <v>0.2</v>
      </c>
      <c r="BK2429" s="2">
        <v>1</v>
      </c>
      <c r="BL2429" s="2">
        <v>45.93</v>
      </c>
      <c r="BM2429" s="2">
        <v>6.43</v>
      </c>
      <c r="BN2429" s="2">
        <v>52.36</v>
      </c>
      <c r="BO2429" s="2">
        <v>52.36</v>
      </c>
      <c r="BQ2429" s="2" t="s">
        <v>187</v>
      </c>
      <c r="BR2429" s="2" t="s">
        <v>103</v>
      </c>
      <c r="BS2429" s="2" t="s">
        <v>185</v>
      </c>
      <c r="BY2429" s="2">
        <v>1200</v>
      </c>
      <c r="CC2429" s="2" t="s">
        <v>861</v>
      </c>
      <c r="CD2429" s="2">
        <v>7140</v>
      </c>
      <c r="CE2429" s="2" t="s">
        <v>120</v>
      </c>
      <c r="CI2429" s="2">
        <v>1</v>
      </c>
      <c r="CJ2429" s="2" t="s">
        <v>185</v>
      </c>
      <c r="CK2429" s="2">
        <v>21</v>
      </c>
      <c r="CL2429" s="2" t="s">
        <v>89</v>
      </c>
    </row>
    <row r="2430" spans="1:90">
      <c r="A2430" s="2" t="s">
        <v>71</v>
      </c>
      <c r="B2430" s="2" t="s">
        <v>72</v>
      </c>
      <c r="C2430" s="2" t="s">
        <v>73</v>
      </c>
      <c r="E2430" s="2" t="str">
        <f>"FES1162596345"</f>
        <v>FES1162596345</v>
      </c>
      <c r="F2430" s="3">
        <v>43084</v>
      </c>
      <c r="G2430" s="2">
        <v>201806</v>
      </c>
      <c r="H2430" s="2" t="s">
        <v>74</v>
      </c>
      <c r="I2430" s="2" t="s">
        <v>75</v>
      </c>
      <c r="J2430" s="2" t="s">
        <v>97</v>
      </c>
      <c r="K2430" s="2" t="s">
        <v>77</v>
      </c>
      <c r="L2430" s="2" t="s">
        <v>98</v>
      </c>
      <c r="M2430" s="2" t="s">
        <v>99</v>
      </c>
      <c r="N2430" s="2" t="s">
        <v>670</v>
      </c>
      <c r="O2430" s="2" t="s">
        <v>101</v>
      </c>
      <c r="P2430" s="2" t="str">
        <f>"2170604079                    "</f>
        <v xml:space="preserve">2170604079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22.51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6.6</v>
      </c>
      <c r="BJ2430" s="2">
        <v>3.8</v>
      </c>
      <c r="BK2430" s="2">
        <v>7</v>
      </c>
      <c r="BL2430" s="2">
        <v>160.71</v>
      </c>
      <c r="BM2430" s="2">
        <v>22.5</v>
      </c>
      <c r="BN2430" s="2">
        <v>183.21</v>
      </c>
      <c r="BO2430" s="2">
        <v>183.21</v>
      </c>
      <c r="BQ2430" s="2" t="s">
        <v>102</v>
      </c>
      <c r="BR2430" s="2" t="s">
        <v>103</v>
      </c>
      <c r="BS2430" s="2" t="s">
        <v>185</v>
      </c>
      <c r="BY2430" s="2">
        <v>18819.16</v>
      </c>
      <c r="CC2430" s="2" t="s">
        <v>99</v>
      </c>
      <c r="CD2430" s="2">
        <v>3200</v>
      </c>
      <c r="CE2430" s="2" t="s">
        <v>95</v>
      </c>
      <c r="CI2430" s="2">
        <v>1</v>
      </c>
      <c r="CJ2430" s="2" t="s">
        <v>185</v>
      </c>
      <c r="CK2430" s="2">
        <v>21</v>
      </c>
      <c r="CL2430" s="2" t="s">
        <v>89</v>
      </c>
    </row>
    <row r="2431" spans="1:90">
      <c r="A2431" s="2" t="s">
        <v>71</v>
      </c>
      <c r="B2431" s="2" t="s">
        <v>72</v>
      </c>
      <c r="C2431" s="2" t="s">
        <v>73</v>
      </c>
      <c r="E2431" s="2" t="str">
        <f>"FES1162596274"</f>
        <v>FES1162596274</v>
      </c>
      <c r="F2431" s="3">
        <v>43084</v>
      </c>
      <c r="G2431" s="2">
        <v>201806</v>
      </c>
      <c r="H2431" s="2" t="s">
        <v>74</v>
      </c>
      <c r="I2431" s="2" t="s">
        <v>75</v>
      </c>
      <c r="J2431" s="2" t="s">
        <v>97</v>
      </c>
      <c r="K2431" s="2" t="s">
        <v>77</v>
      </c>
      <c r="L2431" s="2" t="s">
        <v>759</v>
      </c>
      <c r="M2431" s="2" t="s">
        <v>760</v>
      </c>
      <c r="N2431" s="2" t="s">
        <v>761</v>
      </c>
      <c r="O2431" s="2" t="s">
        <v>101</v>
      </c>
      <c r="P2431" s="2" t="str">
        <f>"2170608024                    "</f>
        <v xml:space="preserve">2170608024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6.43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0.7</v>
      </c>
      <c r="BJ2431" s="2">
        <v>1.6</v>
      </c>
      <c r="BK2431" s="2">
        <v>2</v>
      </c>
      <c r="BL2431" s="2">
        <v>45.93</v>
      </c>
      <c r="BM2431" s="2">
        <v>6.43</v>
      </c>
      <c r="BN2431" s="2">
        <v>52.36</v>
      </c>
      <c r="BO2431" s="2">
        <v>52.36</v>
      </c>
      <c r="BQ2431" s="2" t="s">
        <v>82</v>
      </c>
      <c r="BR2431" s="2" t="s">
        <v>103</v>
      </c>
      <c r="BS2431" s="3">
        <v>43087</v>
      </c>
      <c r="BT2431" s="4">
        <v>0.37916666666666665</v>
      </c>
      <c r="BU2431" s="2" t="s">
        <v>1284</v>
      </c>
      <c r="BV2431" s="2" t="s">
        <v>85</v>
      </c>
      <c r="BY2431" s="2">
        <v>7992.9</v>
      </c>
      <c r="CA2431" s="2" t="s">
        <v>578</v>
      </c>
      <c r="CC2431" s="2" t="s">
        <v>760</v>
      </c>
      <c r="CD2431" s="2">
        <v>4026</v>
      </c>
      <c r="CE2431" s="2" t="s">
        <v>95</v>
      </c>
      <c r="CF2431" s="3">
        <v>43088</v>
      </c>
      <c r="CI2431" s="2">
        <v>1</v>
      </c>
      <c r="CJ2431" s="2">
        <v>1</v>
      </c>
      <c r="CK2431" s="2">
        <v>21</v>
      </c>
      <c r="CL2431" s="2" t="s">
        <v>89</v>
      </c>
    </row>
    <row r="2432" spans="1:90">
      <c r="A2432" s="2" t="s">
        <v>71</v>
      </c>
      <c r="B2432" s="2" t="s">
        <v>72</v>
      </c>
      <c r="C2432" s="2" t="s">
        <v>73</v>
      </c>
      <c r="E2432" s="2" t="str">
        <f>"FES1162596410"</f>
        <v>FES1162596410</v>
      </c>
      <c r="F2432" s="3">
        <v>43084</v>
      </c>
      <c r="G2432" s="2">
        <v>201806</v>
      </c>
      <c r="H2432" s="2" t="s">
        <v>74</v>
      </c>
      <c r="I2432" s="2" t="s">
        <v>75</v>
      </c>
      <c r="J2432" s="2" t="s">
        <v>97</v>
      </c>
      <c r="K2432" s="2" t="s">
        <v>77</v>
      </c>
      <c r="L2432" s="2" t="s">
        <v>835</v>
      </c>
      <c r="M2432" s="2" t="s">
        <v>836</v>
      </c>
      <c r="N2432" s="2" t="s">
        <v>837</v>
      </c>
      <c r="O2432" s="2" t="s">
        <v>101</v>
      </c>
      <c r="P2432" s="2" t="str">
        <f>"2170603463                    "</f>
        <v xml:space="preserve">2170603463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12.47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1.6</v>
      </c>
      <c r="BJ2432" s="2">
        <v>1.5</v>
      </c>
      <c r="BK2432" s="2">
        <v>2</v>
      </c>
      <c r="BL2432" s="2">
        <v>89</v>
      </c>
      <c r="BM2432" s="2">
        <v>12.46</v>
      </c>
      <c r="BN2432" s="2">
        <v>101.46</v>
      </c>
      <c r="BO2432" s="2">
        <v>101.46</v>
      </c>
      <c r="BQ2432" s="2" t="s">
        <v>102</v>
      </c>
      <c r="BR2432" s="2" t="s">
        <v>103</v>
      </c>
      <c r="BS2432" s="3">
        <v>43087</v>
      </c>
      <c r="BT2432" s="4">
        <v>0.56388888888888888</v>
      </c>
      <c r="BU2432" s="2" t="s">
        <v>1496</v>
      </c>
      <c r="BV2432" s="2" t="s">
        <v>85</v>
      </c>
      <c r="BY2432" s="2">
        <v>7617.35</v>
      </c>
      <c r="CA2432" s="2" t="s">
        <v>840</v>
      </c>
      <c r="CC2432" s="2" t="s">
        <v>836</v>
      </c>
      <c r="CD2432" s="2">
        <v>7349</v>
      </c>
      <c r="CE2432" s="2" t="s">
        <v>95</v>
      </c>
      <c r="CF2432" s="3">
        <v>43088</v>
      </c>
      <c r="CI2432" s="2">
        <v>1</v>
      </c>
      <c r="CJ2432" s="2">
        <v>1</v>
      </c>
      <c r="CK2432" s="2">
        <v>23</v>
      </c>
      <c r="CL2432" s="2" t="s">
        <v>89</v>
      </c>
    </row>
    <row r="2433" spans="1:90">
      <c r="A2433" s="2" t="s">
        <v>71</v>
      </c>
      <c r="B2433" s="2" t="s">
        <v>72</v>
      </c>
      <c r="C2433" s="2" t="s">
        <v>73</v>
      </c>
      <c r="E2433" s="2" t="str">
        <f>"FES1162596366"</f>
        <v>FES1162596366</v>
      </c>
      <c r="F2433" s="3">
        <v>43084</v>
      </c>
      <c r="G2433" s="2">
        <v>201806</v>
      </c>
      <c r="H2433" s="2" t="s">
        <v>74</v>
      </c>
      <c r="I2433" s="2" t="s">
        <v>75</v>
      </c>
      <c r="J2433" s="2" t="s">
        <v>97</v>
      </c>
      <c r="K2433" s="2" t="s">
        <v>77</v>
      </c>
      <c r="L2433" s="2" t="s">
        <v>90</v>
      </c>
      <c r="M2433" s="2" t="s">
        <v>91</v>
      </c>
      <c r="N2433" s="2" t="s">
        <v>241</v>
      </c>
      <c r="O2433" s="2" t="s">
        <v>101</v>
      </c>
      <c r="P2433" s="2" t="str">
        <f>"2170604353                    "</f>
        <v xml:space="preserve">2170604353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5.03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1.8</v>
      </c>
      <c r="BJ2433" s="2">
        <v>1.8</v>
      </c>
      <c r="BK2433" s="2">
        <v>2</v>
      </c>
      <c r="BL2433" s="2">
        <v>35.89</v>
      </c>
      <c r="BM2433" s="2">
        <v>5.0199999999999996</v>
      </c>
      <c r="BN2433" s="2">
        <v>40.909999999999997</v>
      </c>
      <c r="BO2433" s="2">
        <v>40.909999999999997</v>
      </c>
      <c r="BQ2433" s="2" t="s">
        <v>82</v>
      </c>
      <c r="BR2433" s="2" t="s">
        <v>103</v>
      </c>
      <c r="BS2433" s="3">
        <v>43087</v>
      </c>
      <c r="BT2433" s="4">
        <v>0.4375</v>
      </c>
      <c r="BU2433" s="2" t="s">
        <v>106</v>
      </c>
      <c r="BV2433" s="2" t="s">
        <v>85</v>
      </c>
      <c r="BY2433" s="2">
        <v>9057.74</v>
      </c>
      <c r="CA2433" s="2" t="s">
        <v>347</v>
      </c>
      <c r="CC2433" s="2" t="s">
        <v>91</v>
      </c>
      <c r="CD2433" s="2">
        <v>1559</v>
      </c>
      <c r="CE2433" s="2" t="s">
        <v>87</v>
      </c>
      <c r="CF2433" s="3">
        <v>43089</v>
      </c>
      <c r="CI2433" s="2">
        <v>1</v>
      </c>
      <c r="CJ2433" s="2">
        <v>1</v>
      </c>
      <c r="CK2433" s="2">
        <v>22</v>
      </c>
      <c r="CL2433" s="2" t="s">
        <v>89</v>
      </c>
    </row>
    <row r="2434" spans="1:90">
      <c r="A2434" s="2" t="s">
        <v>71</v>
      </c>
      <c r="B2434" s="2" t="s">
        <v>72</v>
      </c>
      <c r="C2434" s="2" t="s">
        <v>73</v>
      </c>
      <c r="E2434" s="2" t="str">
        <f>"FES1162596419"</f>
        <v>FES1162596419</v>
      </c>
      <c r="F2434" s="3">
        <v>43084</v>
      </c>
      <c r="G2434" s="2">
        <v>201806</v>
      </c>
      <c r="H2434" s="2" t="s">
        <v>74</v>
      </c>
      <c r="I2434" s="2" t="s">
        <v>75</v>
      </c>
      <c r="J2434" s="2" t="s">
        <v>97</v>
      </c>
      <c r="K2434" s="2" t="s">
        <v>77</v>
      </c>
      <c r="L2434" s="2" t="s">
        <v>131</v>
      </c>
      <c r="M2434" s="2" t="s">
        <v>132</v>
      </c>
      <c r="N2434" s="2" t="s">
        <v>133</v>
      </c>
      <c r="O2434" s="2" t="s">
        <v>101</v>
      </c>
      <c r="P2434" s="2" t="str">
        <f>"2170607441                    "</f>
        <v xml:space="preserve">2170607441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6.43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1</v>
      </c>
      <c r="BJ2434" s="2">
        <v>0.2</v>
      </c>
      <c r="BK2434" s="2">
        <v>1</v>
      </c>
      <c r="BL2434" s="2">
        <v>45.93</v>
      </c>
      <c r="BM2434" s="2">
        <v>6.43</v>
      </c>
      <c r="BN2434" s="2">
        <v>52.36</v>
      </c>
      <c r="BO2434" s="2">
        <v>52.36</v>
      </c>
      <c r="BQ2434" s="2" t="s">
        <v>102</v>
      </c>
      <c r="BR2434" s="2" t="s">
        <v>103</v>
      </c>
      <c r="BS2434" s="3">
        <v>43087</v>
      </c>
      <c r="BT2434" s="4">
        <v>0.33888888888888885</v>
      </c>
      <c r="BU2434" s="2" t="s">
        <v>2419</v>
      </c>
      <c r="BV2434" s="2" t="s">
        <v>85</v>
      </c>
      <c r="BY2434" s="2">
        <v>1200</v>
      </c>
      <c r="CA2434" s="2" t="s">
        <v>135</v>
      </c>
      <c r="CC2434" s="2" t="s">
        <v>132</v>
      </c>
      <c r="CD2434" s="2">
        <v>4302</v>
      </c>
      <c r="CE2434" s="2" t="s">
        <v>120</v>
      </c>
      <c r="CF2434" s="3">
        <v>43088</v>
      </c>
      <c r="CI2434" s="2">
        <v>1</v>
      </c>
      <c r="CJ2434" s="2">
        <v>1</v>
      </c>
      <c r="CK2434" s="2">
        <v>21</v>
      </c>
      <c r="CL2434" s="2" t="s">
        <v>89</v>
      </c>
    </row>
    <row r="2435" spans="1:90">
      <c r="A2435" s="2" t="s">
        <v>71</v>
      </c>
      <c r="B2435" s="2" t="s">
        <v>72</v>
      </c>
      <c r="C2435" s="2" t="s">
        <v>73</v>
      </c>
      <c r="E2435" s="2" t="str">
        <f>"FES1162596253"</f>
        <v>FES1162596253</v>
      </c>
      <c r="F2435" s="3">
        <v>43084</v>
      </c>
      <c r="G2435" s="2">
        <v>201806</v>
      </c>
      <c r="H2435" s="2" t="s">
        <v>74</v>
      </c>
      <c r="I2435" s="2" t="s">
        <v>75</v>
      </c>
      <c r="J2435" s="2" t="s">
        <v>97</v>
      </c>
      <c r="K2435" s="2" t="s">
        <v>77</v>
      </c>
      <c r="L2435" s="2" t="s">
        <v>98</v>
      </c>
      <c r="M2435" s="2" t="s">
        <v>99</v>
      </c>
      <c r="N2435" s="2" t="s">
        <v>820</v>
      </c>
      <c r="O2435" s="2" t="s">
        <v>101</v>
      </c>
      <c r="P2435" s="2" t="str">
        <f>"217060505                     "</f>
        <v xml:space="preserve">217060505 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6.43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1</v>
      </c>
      <c r="BJ2435" s="2">
        <v>0.2</v>
      </c>
      <c r="BK2435" s="2">
        <v>1</v>
      </c>
      <c r="BL2435" s="2">
        <v>45.93</v>
      </c>
      <c r="BM2435" s="2">
        <v>6.43</v>
      </c>
      <c r="BN2435" s="2">
        <v>52.36</v>
      </c>
      <c r="BO2435" s="2">
        <v>52.36</v>
      </c>
      <c r="BQ2435" s="2" t="s">
        <v>821</v>
      </c>
      <c r="BR2435" s="2" t="s">
        <v>103</v>
      </c>
      <c r="BS2435" s="3">
        <v>43087</v>
      </c>
      <c r="BT2435" s="4">
        <v>0.40902777777777777</v>
      </c>
      <c r="BU2435" s="2" t="s">
        <v>2573</v>
      </c>
      <c r="BV2435" s="2" t="s">
        <v>85</v>
      </c>
      <c r="BY2435" s="2">
        <v>1200</v>
      </c>
      <c r="CA2435" s="2" t="s">
        <v>497</v>
      </c>
      <c r="CC2435" s="2" t="s">
        <v>99</v>
      </c>
      <c r="CD2435" s="2">
        <v>3200</v>
      </c>
      <c r="CE2435" s="2" t="s">
        <v>120</v>
      </c>
      <c r="CF2435" s="3">
        <v>43089</v>
      </c>
      <c r="CI2435" s="2">
        <v>1</v>
      </c>
      <c r="CJ2435" s="2">
        <v>1</v>
      </c>
      <c r="CK2435" s="2">
        <v>21</v>
      </c>
      <c r="CL2435" s="2" t="s">
        <v>89</v>
      </c>
    </row>
    <row r="2436" spans="1:90">
      <c r="A2436" s="2" t="s">
        <v>71</v>
      </c>
      <c r="B2436" s="2" t="s">
        <v>72</v>
      </c>
      <c r="C2436" s="2" t="s">
        <v>73</v>
      </c>
      <c r="E2436" s="2" t="str">
        <f>"FES1162596358"</f>
        <v>FES1162596358</v>
      </c>
      <c r="F2436" s="3">
        <v>43084</v>
      </c>
      <c r="G2436" s="2">
        <v>201806</v>
      </c>
      <c r="H2436" s="2" t="s">
        <v>74</v>
      </c>
      <c r="I2436" s="2" t="s">
        <v>75</v>
      </c>
      <c r="J2436" s="2" t="s">
        <v>97</v>
      </c>
      <c r="K2436" s="2" t="s">
        <v>77</v>
      </c>
      <c r="L2436" s="2" t="s">
        <v>136</v>
      </c>
      <c r="M2436" s="2" t="s">
        <v>137</v>
      </c>
      <c r="N2436" s="2" t="s">
        <v>178</v>
      </c>
      <c r="O2436" s="2" t="s">
        <v>101</v>
      </c>
      <c r="P2436" s="2" t="str">
        <f>"2170604241                    "</f>
        <v xml:space="preserve">2170604241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6.43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1</v>
      </c>
      <c r="BJ2436" s="2">
        <v>0.2</v>
      </c>
      <c r="BK2436" s="2">
        <v>1</v>
      </c>
      <c r="BL2436" s="2">
        <v>45.93</v>
      </c>
      <c r="BM2436" s="2">
        <v>6.43</v>
      </c>
      <c r="BN2436" s="2">
        <v>52.36</v>
      </c>
      <c r="BO2436" s="2">
        <v>52.36</v>
      </c>
      <c r="BQ2436" s="2" t="s">
        <v>102</v>
      </c>
      <c r="BR2436" s="2" t="s">
        <v>103</v>
      </c>
      <c r="BS2436" s="3">
        <v>43087</v>
      </c>
      <c r="BT2436" s="4">
        <v>0.40277777777777773</v>
      </c>
      <c r="BU2436" s="2" t="s">
        <v>179</v>
      </c>
      <c r="BV2436" s="2" t="s">
        <v>85</v>
      </c>
      <c r="BY2436" s="2">
        <v>1200</v>
      </c>
      <c r="CA2436" s="2" t="s">
        <v>180</v>
      </c>
      <c r="CC2436" s="2" t="s">
        <v>137</v>
      </c>
      <c r="CD2436" s="2">
        <v>6001</v>
      </c>
      <c r="CE2436" s="2" t="s">
        <v>120</v>
      </c>
      <c r="CF2436" s="3">
        <v>43088</v>
      </c>
      <c r="CI2436" s="2">
        <v>1</v>
      </c>
      <c r="CJ2436" s="2">
        <v>1</v>
      </c>
      <c r="CK2436" s="2">
        <v>21</v>
      </c>
      <c r="CL2436" s="2" t="s">
        <v>89</v>
      </c>
    </row>
    <row r="2437" spans="1:90">
      <c r="A2437" s="2" t="s">
        <v>71</v>
      </c>
      <c r="B2437" s="2" t="s">
        <v>72</v>
      </c>
      <c r="C2437" s="2" t="s">
        <v>73</v>
      </c>
      <c r="E2437" s="2" t="str">
        <f>"FES1162596326"</f>
        <v>FES1162596326</v>
      </c>
      <c r="F2437" s="3">
        <v>43084</v>
      </c>
      <c r="G2437" s="2">
        <v>201806</v>
      </c>
      <c r="H2437" s="2" t="s">
        <v>74</v>
      </c>
      <c r="I2437" s="2" t="s">
        <v>75</v>
      </c>
      <c r="J2437" s="2" t="s">
        <v>97</v>
      </c>
      <c r="K2437" s="2" t="s">
        <v>77</v>
      </c>
      <c r="L2437" s="2" t="s">
        <v>304</v>
      </c>
      <c r="M2437" s="2" t="s">
        <v>305</v>
      </c>
      <c r="N2437" s="2" t="s">
        <v>1608</v>
      </c>
      <c r="O2437" s="2" t="s">
        <v>101</v>
      </c>
      <c r="P2437" s="2" t="str">
        <f>"2170602168                    "</f>
        <v xml:space="preserve">2170602168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9.0500000000000007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64.599999999999994</v>
      </c>
      <c r="BM2437" s="2">
        <v>9.0399999999999991</v>
      </c>
      <c r="BN2437" s="2">
        <v>73.64</v>
      </c>
      <c r="BO2437" s="2">
        <v>73.64</v>
      </c>
      <c r="BQ2437" s="2" t="s">
        <v>128</v>
      </c>
      <c r="BR2437" s="2" t="s">
        <v>103</v>
      </c>
      <c r="BS2437" s="2" t="s">
        <v>185</v>
      </c>
      <c r="BY2437" s="2">
        <v>1200</v>
      </c>
      <c r="CC2437" s="2" t="s">
        <v>305</v>
      </c>
      <c r="CD2437" s="2">
        <v>1020</v>
      </c>
      <c r="CE2437" s="2" t="s">
        <v>120</v>
      </c>
      <c r="CI2437" s="2">
        <v>2</v>
      </c>
      <c r="CJ2437" s="2" t="s">
        <v>185</v>
      </c>
      <c r="CK2437" s="2">
        <v>24</v>
      </c>
      <c r="CL2437" s="2" t="s">
        <v>89</v>
      </c>
    </row>
    <row r="2438" spans="1:90">
      <c r="A2438" s="2" t="s">
        <v>71</v>
      </c>
      <c r="B2438" s="2" t="s">
        <v>72</v>
      </c>
      <c r="C2438" s="2" t="s">
        <v>73</v>
      </c>
      <c r="E2438" s="2" t="str">
        <f>"FES1162596485"</f>
        <v>FES1162596485</v>
      </c>
      <c r="F2438" s="3">
        <v>43084</v>
      </c>
      <c r="G2438" s="2">
        <v>201806</v>
      </c>
      <c r="H2438" s="2" t="s">
        <v>74</v>
      </c>
      <c r="I2438" s="2" t="s">
        <v>75</v>
      </c>
      <c r="J2438" s="2" t="s">
        <v>97</v>
      </c>
      <c r="K2438" s="2" t="s">
        <v>77</v>
      </c>
      <c r="L2438" s="2" t="s">
        <v>136</v>
      </c>
      <c r="M2438" s="2" t="s">
        <v>137</v>
      </c>
      <c r="N2438" s="2" t="s">
        <v>147</v>
      </c>
      <c r="O2438" s="2" t="s">
        <v>101</v>
      </c>
      <c r="P2438" s="2" t="str">
        <f>"2170608166                    "</f>
        <v xml:space="preserve">2170608166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6.43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45.93</v>
      </c>
      <c r="BM2438" s="2">
        <v>6.43</v>
      </c>
      <c r="BN2438" s="2">
        <v>52.36</v>
      </c>
      <c r="BO2438" s="2">
        <v>52.36</v>
      </c>
      <c r="BQ2438" s="2" t="s">
        <v>82</v>
      </c>
      <c r="BR2438" s="2" t="s">
        <v>103</v>
      </c>
      <c r="BS2438" s="3">
        <v>43087</v>
      </c>
      <c r="BT2438" s="4">
        <v>0.35069444444444442</v>
      </c>
      <c r="BU2438" s="2" t="s">
        <v>623</v>
      </c>
      <c r="BV2438" s="2" t="s">
        <v>85</v>
      </c>
      <c r="BY2438" s="2">
        <v>1200</v>
      </c>
      <c r="CA2438" s="2" t="s">
        <v>180</v>
      </c>
      <c r="CC2438" s="2" t="s">
        <v>137</v>
      </c>
      <c r="CD2438" s="2">
        <v>6014</v>
      </c>
      <c r="CE2438" s="2" t="s">
        <v>120</v>
      </c>
      <c r="CF2438" s="3">
        <v>43088</v>
      </c>
      <c r="CI2438" s="2">
        <v>1</v>
      </c>
      <c r="CJ2438" s="2">
        <v>1</v>
      </c>
      <c r="CK2438" s="2">
        <v>21</v>
      </c>
      <c r="CL2438" s="2" t="s">
        <v>89</v>
      </c>
    </row>
    <row r="2439" spans="1:90">
      <c r="A2439" s="2" t="s">
        <v>71</v>
      </c>
      <c r="B2439" s="2" t="s">
        <v>72</v>
      </c>
      <c r="C2439" s="2" t="s">
        <v>73</v>
      </c>
      <c r="E2439" s="2" t="str">
        <f>"FES1162593170"</f>
        <v>FES1162593170</v>
      </c>
      <c r="F2439" s="3">
        <v>43070</v>
      </c>
      <c r="G2439" s="2">
        <v>201806</v>
      </c>
      <c r="H2439" s="2" t="s">
        <v>74</v>
      </c>
      <c r="I2439" s="2" t="s">
        <v>75</v>
      </c>
      <c r="J2439" s="2" t="s">
        <v>97</v>
      </c>
      <c r="K2439" s="2" t="s">
        <v>77</v>
      </c>
      <c r="L2439" s="2" t="s">
        <v>521</v>
      </c>
      <c r="M2439" s="2" t="s">
        <v>522</v>
      </c>
      <c r="N2439" s="2" t="s">
        <v>523</v>
      </c>
      <c r="O2439" s="2" t="s">
        <v>81</v>
      </c>
      <c r="P2439" s="2" t="str">
        <f>"2170605504                    "</f>
        <v xml:space="preserve">2170605504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21.89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2</v>
      </c>
      <c r="BI2439" s="2">
        <v>24.5</v>
      </c>
      <c r="BJ2439" s="2">
        <v>10.4</v>
      </c>
      <c r="BK2439" s="2">
        <v>25</v>
      </c>
      <c r="BL2439" s="2">
        <v>179.97</v>
      </c>
      <c r="BM2439" s="2">
        <v>25.2</v>
      </c>
      <c r="BN2439" s="2">
        <v>205.17</v>
      </c>
      <c r="BO2439" s="2">
        <v>205.17</v>
      </c>
      <c r="BP2439" s="2" t="s">
        <v>302</v>
      </c>
      <c r="BQ2439" s="2" t="s">
        <v>102</v>
      </c>
      <c r="BR2439" s="2" t="s">
        <v>103</v>
      </c>
      <c r="BS2439" s="3">
        <v>43074</v>
      </c>
      <c r="BT2439" s="4">
        <v>0.74791666666666667</v>
      </c>
      <c r="BU2439" s="2" t="s">
        <v>524</v>
      </c>
      <c r="BY2439" s="2">
        <v>52081.38</v>
      </c>
      <c r="CA2439" s="2" t="s">
        <v>525</v>
      </c>
      <c r="CC2439" s="2" t="s">
        <v>522</v>
      </c>
      <c r="CD2439" s="2">
        <v>6536</v>
      </c>
      <c r="CE2439" s="2" t="s">
        <v>288</v>
      </c>
      <c r="CF2439" s="3">
        <v>43076</v>
      </c>
      <c r="CI2439" s="2">
        <v>0</v>
      </c>
      <c r="CJ2439" s="2">
        <v>0</v>
      </c>
      <c r="CK2439" s="2" t="s">
        <v>2591</v>
      </c>
      <c r="CL2439" s="2" t="s">
        <v>89</v>
      </c>
    </row>
    <row r="2440" spans="1:90">
      <c r="A2440" s="2" t="s">
        <v>71</v>
      </c>
      <c r="B2440" s="2" t="s">
        <v>72</v>
      </c>
      <c r="C2440" s="2" t="s">
        <v>73</v>
      </c>
      <c r="E2440" s="2" t="str">
        <f>"FES1162596235"</f>
        <v>FES1162596235</v>
      </c>
      <c r="F2440" s="3">
        <v>43084</v>
      </c>
      <c r="G2440" s="2">
        <v>201806</v>
      </c>
      <c r="H2440" s="2" t="s">
        <v>74</v>
      </c>
      <c r="I2440" s="2" t="s">
        <v>75</v>
      </c>
      <c r="J2440" s="2" t="s">
        <v>97</v>
      </c>
      <c r="K2440" s="2" t="s">
        <v>77</v>
      </c>
      <c r="L2440" s="2" t="s">
        <v>325</v>
      </c>
      <c r="M2440" s="2" t="s">
        <v>326</v>
      </c>
      <c r="N2440" s="2" t="s">
        <v>1129</v>
      </c>
      <c r="O2440" s="2" t="s">
        <v>81</v>
      </c>
      <c r="P2440" s="2" t="str">
        <f>"2170607211                    "</f>
        <v xml:space="preserve">2170607211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17.22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3</v>
      </c>
      <c r="BI2440" s="2">
        <v>33</v>
      </c>
      <c r="BJ2440" s="2">
        <v>15.4</v>
      </c>
      <c r="BK2440" s="2">
        <v>33</v>
      </c>
      <c r="BL2440" s="2">
        <v>127.91</v>
      </c>
      <c r="BM2440" s="2">
        <v>17.91</v>
      </c>
      <c r="BN2440" s="2">
        <v>145.82</v>
      </c>
      <c r="BO2440" s="2">
        <v>145.82</v>
      </c>
      <c r="BQ2440" s="2" t="s">
        <v>102</v>
      </c>
      <c r="BR2440" s="2" t="s">
        <v>103</v>
      </c>
      <c r="BS2440" s="3">
        <v>43090</v>
      </c>
      <c r="BT2440" s="4">
        <v>0.60069444444444442</v>
      </c>
      <c r="BU2440" s="2" t="s">
        <v>2592</v>
      </c>
      <c r="BV2440" s="2" t="s">
        <v>89</v>
      </c>
      <c r="BY2440" s="2">
        <v>39000</v>
      </c>
      <c r="CA2440" s="2" t="s">
        <v>1050</v>
      </c>
      <c r="CC2440" s="2" t="s">
        <v>326</v>
      </c>
      <c r="CD2440" s="2">
        <v>1939</v>
      </c>
      <c r="CE2440" s="2" t="s">
        <v>120</v>
      </c>
      <c r="CI2440" s="2">
        <v>1</v>
      </c>
      <c r="CJ2440" s="2">
        <v>4</v>
      </c>
      <c r="CK2440" s="2" t="s">
        <v>289</v>
      </c>
      <c r="CL2440" s="2" t="s">
        <v>89</v>
      </c>
    </row>
    <row r="2441" spans="1:90">
      <c r="A2441" s="2" t="s">
        <v>71</v>
      </c>
      <c r="B2441" s="2" t="s">
        <v>72</v>
      </c>
      <c r="C2441" s="2" t="s">
        <v>73</v>
      </c>
      <c r="E2441" s="2" t="str">
        <f>"FES1162596197"</f>
        <v>FES1162596197</v>
      </c>
      <c r="F2441" s="3">
        <v>43084</v>
      </c>
      <c r="G2441" s="2">
        <v>201806</v>
      </c>
      <c r="H2441" s="2" t="s">
        <v>74</v>
      </c>
      <c r="I2441" s="2" t="s">
        <v>75</v>
      </c>
      <c r="J2441" s="2" t="s">
        <v>97</v>
      </c>
      <c r="K2441" s="2" t="s">
        <v>77</v>
      </c>
      <c r="L2441" s="2" t="s">
        <v>1085</v>
      </c>
      <c r="M2441" s="2" t="s">
        <v>174</v>
      </c>
      <c r="N2441" s="2" t="s">
        <v>2042</v>
      </c>
      <c r="O2441" s="2" t="s">
        <v>81</v>
      </c>
      <c r="P2441" s="2" t="str">
        <f>"2170607199                    "</f>
        <v xml:space="preserve">2170607199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15.99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2</v>
      </c>
      <c r="BI2441" s="2">
        <v>20</v>
      </c>
      <c r="BJ2441" s="2">
        <v>7.1</v>
      </c>
      <c r="BK2441" s="2">
        <v>20</v>
      </c>
      <c r="BL2441" s="2">
        <v>119.15</v>
      </c>
      <c r="BM2441" s="2">
        <v>16.68</v>
      </c>
      <c r="BN2441" s="2">
        <v>135.83000000000001</v>
      </c>
      <c r="BO2441" s="2">
        <v>135.83000000000001</v>
      </c>
      <c r="BQ2441" s="2" t="s">
        <v>128</v>
      </c>
      <c r="BR2441" s="2" t="s">
        <v>103</v>
      </c>
      <c r="BS2441" s="3">
        <v>43089</v>
      </c>
      <c r="BT2441" s="4">
        <v>0.41666666666666669</v>
      </c>
      <c r="BU2441" s="2" t="s">
        <v>2593</v>
      </c>
      <c r="BV2441" s="2" t="s">
        <v>89</v>
      </c>
      <c r="BW2441" s="2" t="s">
        <v>313</v>
      </c>
      <c r="BX2441" s="2" t="s">
        <v>368</v>
      </c>
      <c r="BY2441" s="2">
        <v>38177.379999999997</v>
      </c>
      <c r="CA2441" s="2" t="s">
        <v>2594</v>
      </c>
      <c r="CC2441" s="2" t="s">
        <v>174</v>
      </c>
      <c r="CD2441" s="2">
        <v>7925</v>
      </c>
      <c r="CE2441" s="2" t="s">
        <v>95</v>
      </c>
      <c r="CF2441" s="3">
        <v>43090</v>
      </c>
      <c r="CI2441" s="2">
        <v>2</v>
      </c>
      <c r="CJ2441" s="2">
        <v>3</v>
      </c>
      <c r="CK2441" s="2" t="s">
        <v>271</v>
      </c>
      <c r="CL2441" s="2" t="s">
        <v>89</v>
      </c>
    </row>
    <row r="2442" spans="1:90">
      <c r="A2442" s="2" t="s">
        <v>71</v>
      </c>
      <c r="B2442" s="2" t="s">
        <v>72</v>
      </c>
      <c r="C2442" s="2" t="s">
        <v>73</v>
      </c>
      <c r="E2442" s="2" t="str">
        <f>"FES1162596245"</f>
        <v>FES1162596245</v>
      </c>
      <c r="F2442" s="3">
        <v>43084</v>
      </c>
      <c r="G2442" s="2">
        <v>201806</v>
      </c>
      <c r="H2442" s="2" t="s">
        <v>74</v>
      </c>
      <c r="I2442" s="2" t="s">
        <v>75</v>
      </c>
      <c r="J2442" s="2" t="s">
        <v>97</v>
      </c>
      <c r="K2442" s="2" t="s">
        <v>77</v>
      </c>
      <c r="L2442" s="2" t="s">
        <v>74</v>
      </c>
      <c r="M2442" s="2" t="s">
        <v>75</v>
      </c>
      <c r="N2442" s="2" t="s">
        <v>1864</v>
      </c>
      <c r="O2442" s="2" t="s">
        <v>81</v>
      </c>
      <c r="P2442" s="2" t="str">
        <f>"217060559317                  "</f>
        <v xml:space="preserve">217060559317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16.02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2</v>
      </c>
      <c r="BI2442" s="2">
        <v>37.4</v>
      </c>
      <c r="BJ2442" s="2">
        <v>18.5</v>
      </c>
      <c r="BK2442" s="2">
        <v>38</v>
      </c>
      <c r="BL2442" s="2">
        <v>119.35</v>
      </c>
      <c r="BM2442" s="2">
        <v>16.71</v>
      </c>
      <c r="BN2442" s="2">
        <v>136.06</v>
      </c>
      <c r="BO2442" s="2">
        <v>136.06</v>
      </c>
      <c r="BQ2442" s="2" t="s">
        <v>102</v>
      </c>
      <c r="BR2442" s="2" t="s">
        <v>103</v>
      </c>
      <c r="BS2442" s="3">
        <v>43088</v>
      </c>
      <c r="BT2442" s="4">
        <v>0.47847222222222219</v>
      </c>
      <c r="BU2442" s="2" t="s">
        <v>114</v>
      </c>
      <c r="BV2442" s="2" t="s">
        <v>89</v>
      </c>
      <c r="BW2442" s="2" t="s">
        <v>149</v>
      </c>
      <c r="BX2442" s="2" t="s">
        <v>292</v>
      </c>
      <c r="BY2442" s="2">
        <v>92311.43</v>
      </c>
      <c r="CA2442" s="2" t="s">
        <v>203</v>
      </c>
      <c r="CC2442" s="2" t="s">
        <v>75</v>
      </c>
      <c r="CD2442" s="2">
        <v>1666</v>
      </c>
      <c r="CE2442" s="2" t="s">
        <v>95</v>
      </c>
      <c r="CF2442" s="3">
        <v>43089</v>
      </c>
      <c r="CI2442" s="2">
        <v>1</v>
      </c>
      <c r="CJ2442" s="2">
        <v>2</v>
      </c>
      <c r="CK2442" s="2" t="s">
        <v>96</v>
      </c>
      <c r="CL2442" s="2" t="s">
        <v>89</v>
      </c>
    </row>
    <row r="2443" spans="1:90">
      <c r="A2443" s="2" t="s">
        <v>71</v>
      </c>
      <c r="B2443" s="2" t="s">
        <v>72</v>
      </c>
      <c r="C2443" s="2" t="s">
        <v>73</v>
      </c>
      <c r="E2443" s="2" t="str">
        <f>"FES1162596314"</f>
        <v>FES1162596314</v>
      </c>
      <c r="F2443" s="3">
        <v>43084</v>
      </c>
      <c r="G2443" s="2">
        <v>201806</v>
      </c>
      <c r="H2443" s="2" t="s">
        <v>74</v>
      </c>
      <c r="I2443" s="2" t="s">
        <v>75</v>
      </c>
      <c r="J2443" s="2" t="s">
        <v>97</v>
      </c>
      <c r="K2443" s="2" t="s">
        <v>77</v>
      </c>
      <c r="L2443" s="2" t="s">
        <v>2139</v>
      </c>
      <c r="M2443" s="2" t="s">
        <v>2140</v>
      </c>
      <c r="N2443" s="2" t="s">
        <v>2595</v>
      </c>
      <c r="O2443" s="2" t="s">
        <v>81</v>
      </c>
      <c r="P2443" s="2" t="str">
        <f>"2170607278                    "</f>
        <v xml:space="preserve">2170607278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11.78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2</v>
      </c>
      <c r="BI2443" s="2">
        <v>21.5</v>
      </c>
      <c r="BJ2443" s="2">
        <v>18.399999999999999</v>
      </c>
      <c r="BK2443" s="2">
        <v>24</v>
      </c>
      <c r="BL2443" s="2">
        <v>89.07</v>
      </c>
      <c r="BM2443" s="2">
        <v>12.47</v>
      </c>
      <c r="BN2443" s="2">
        <v>101.54</v>
      </c>
      <c r="BO2443" s="2">
        <v>101.54</v>
      </c>
      <c r="BR2443" s="2" t="s">
        <v>103</v>
      </c>
      <c r="BS2443" s="2" t="s">
        <v>185</v>
      </c>
      <c r="BY2443" s="2">
        <v>91755.6</v>
      </c>
      <c r="CC2443" s="2" t="s">
        <v>2140</v>
      </c>
      <c r="CD2443" s="2">
        <v>1682</v>
      </c>
      <c r="CE2443" s="2" t="s">
        <v>95</v>
      </c>
      <c r="CI2443" s="2">
        <v>1</v>
      </c>
      <c r="CJ2443" s="2" t="s">
        <v>185</v>
      </c>
      <c r="CK2443" s="2" t="s">
        <v>96</v>
      </c>
      <c r="CL2443" s="2" t="s">
        <v>89</v>
      </c>
    </row>
    <row r="2444" spans="1:90">
      <c r="A2444" s="2" t="s">
        <v>71</v>
      </c>
      <c r="B2444" s="2" t="s">
        <v>72</v>
      </c>
      <c r="C2444" s="2" t="s">
        <v>73</v>
      </c>
      <c r="E2444" s="2" t="str">
        <f>"FES1162596237"</f>
        <v>FES1162596237</v>
      </c>
      <c r="F2444" s="3">
        <v>43084</v>
      </c>
      <c r="G2444" s="2">
        <v>201806</v>
      </c>
      <c r="H2444" s="2" t="s">
        <v>74</v>
      </c>
      <c r="I2444" s="2" t="s">
        <v>75</v>
      </c>
      <c r="J2444" s="2" t="s">
        <v>97</v>
      </c>
      <c r="K2444" s="2" t="s">
        <v>77</v>
      </c>
      <c r="L2444" s="2" t="s">
        <v>651</v>
      </c>
      <c r="M2444" s="2" t="s">
        <v>652</v>
      </c>
      <c r="N2444" s="2" t="s">
        <v>953</v>
      </c>
      <c r="O2444" s="2" t="s">
        <v>81</v>
      </c>
      <c r="P2444" s="2" t="str">
        <f>"2170608001                    "</f>
        <v xml:space="preserve">2170608001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15.15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2</v>
      </c>
      <c r="BI2444" s="2">
        <v>21.4</v>
      </c>
      <c r="BJ2444" s="2">
        <v>18.5</v>
      </c>
      <c r="BK2444" s="2">
        <v>22</v>
      </c>
      <c r="BL2444" s="2">
        <v>113.18</v>
      </c>
      <c r="BM2444" s="2">
        <v>15.85</v>
      </c>
      <c r="BN2444" s="2">
        <v>129.03</v>
      </c>
      <c r="BO2444" s="2">
        <v>129.03</v>
      </c>
      <c r="BQ2444" s="2" t="s">
        <v>82</v>
      </c>
      <c r="BR2444" s="2" t="s">
        <v>103</v>
      </c>
      <c r="BS2444" s="2" t="s">
        <v>185</v>
      </c>
      <c r="BY2444" s="2">
        <v>92307.61</v>
      </c>
      <c r="CC2444" s="2" t="s">
        <v>652</v>
      </c>
      <c r="CD2444" s="2">
        <v>250</v>
      </c>
      <c r="CE2444" s="2" t="s">
        <v>95</v>
      </c>
      <c r="CI2444" s="2">
        <v>0</v>
      </c>
      <c r="CJ2444" s="2">
        <v>0</v>
      </c>
      <c r="CK2444" s="2" t="s">
        <v>88</v>
      </c>
      <c r="CL2444" s="2" t="s">
        <v>89</v>
      </c>
    </row>
    <row r="2445" spans="1:90">
      <c r="A2445" s="2" t="s">
        <v>71</v>
      </c>
      <c r="B2445" s="2" t="s">
        <v>72</v>
      </c>
      <c r="C2445" s="2" t="s">
        <v>73</v>
      </c>
      <c r="E2445" s="2" t="str">
        <f>"FES1162596356"</f>
        <v>FES1162596356</v>
      </c>
      <c r="F2445" s="3">
        <v>43084</v>
      </c>
      <c r="G2445" s="2">
        <v>201806</v>
      </c>
      <c r="H2445" s="2" t="s">
        <v>74</v>
      </c>
      <c r="I2445" s="2" t="s">
        <v>75</v>
      </c>
      <c r="J2445" s="2" t="s">
        <v>97</v>
      </c>
      <c r="K2445" s="2" t="s">
        <v>77</v>
      </c>
      <c r="L2445" s="2" t="s">
        <v>136</v>
      </c>
      <c r="M2445" s="2" t="s">
        <v>137</v>
      </c>
      <c r="N2445" s="2" t="s">
        <v>178</v>
      </c>
      <c r="O2445" s="2" t="s">
        <v>81</v>
      </c>
      <c r="P2445" s="2" t="str">
        <f>"2170604224                    "</f>
        <v xml:space="preserve">2170604224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15.99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19.3</v>
      </c>
      <c r="BJ2445" s="2">
        <v>5.4</v>
      </c>
      <c r="BK2445" s="2">
        <v>20</v>
      </c>
      <c r="BL2445" s="2">
        <v>119.15</v>
      </c>
      <c r="BM2445" s="2">
        <v>16.68</v>
      </c>
      <c r="BN2445" s="2">
        <v>135.83000000000001</v>
      </c>
      <c r="BO2445" s="2">
        <v>135.83000000000001</v>
      </c>
      <c r="BQ2445" s="2" t="s">
        <v>102</v>
      </c>
      <c r="BR2445" s="2" t="s">
        <v>103</v>
      </c>
      <c r="BS2445" s="3">
        <v>43087</v>
      </c>
      <c r="BT2445" s="4">
        <v>0.40277777777777773</v>
      </c>
      <c r="BU2445" s="2" t="s">
        <v>179</v>
      </c>
      <c r="BV2445" s="2" t="s">
        <v>85</v>
      </c>
      <c r="BY2445" s="2">
        <v>27147.48</v>
      </c>
      <c r="CA2445" s="2" t="s">
        <v>180</v>
      </c>
      <c r="CC2445" s="2" t="s">
        <v>137</v>
      </c>
      <c r="CD2445" s="2">
        <v>6001</v>
      </c>
      <c r="CE2445" s="2" t="s">
        <v>87</v>
      </c>
      <c r="CF2445" s="3">
        <v>43088</v>
      </c>
      <c r="CI2445" s="2">
        <v>2</v>
      </c>
      <c r="CJ2445" s="2">
        <v>1</v>
      </c>
      <c r="CK2445" s="2" t="s">
        <v>271</v>
      </c>
      <c r="CL2445" s="2" t="s">
        <v>89</v>
      </c>
    </row>
    <row r="2446" spans="1:90">
      <c r="A2446" s="2" t="s">
        <v>71</v>
      </c>
      <c r="B2446" s="2" t="s">
        <v>72</v>
      </c>
      <c r="C2446" s="2" t="s">
        <v>73</v>
      </c>
      <c r="E2446" s="2" t="str">
        <f>"FES1162596300"</f>
        <v>FES1162596300</v>
      </c>
      <c r="F2446" s="3">
        <v>43084</v>
      </c>
      <c r="G2446" s="2">
        <v>201806</v>
      </c>
      <c r="H2446" s="2" t="s">
        <v>74</v>
      </c>
      <c r="I2446" s="2" t="s">
        <v>75</v>
      </c>
      <c r="J2446" s="2" t="s">
        <v>97</v>
      </c>
      <c r="K2446" s="2" t="s">
        <v>77</v>
      </c>
      <c r="L2446" s="2" t="s">
        <v>2596</v>
      </c>
      <c r="M2446" s="2" t="s">
        <v>2597</v>
      </c>
      <c r="N2446" s="2" t="s">
        <v>2598</v>
      </c>
      <c r="O2446" s="2" t="s">
        <v>81</v>
      </c>
      <c r="P2446" s="2" t="str">
        <f>"2170600718                    "</f>
        <v xml:space="preserve">2170600718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93.41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99</v>
      </c>
      <c r="BJ2446" s="2">
        <v>61.3</v>
      </c>
      <c r="BK2446" s="2">
        <v>99</v>
      </c>
      <c r="BL2446" s="2">
        <v>671.81</v>
      </c>
      <c r="BM2446" s="2">
        <v>94.05</v>
      </c>
      <c r="BN2446" s="2">
        <v>765.86</v>
      </c>
      <c r="BO2446" s="2">
        <v>765.86</v>
      </c>
      <c r="BQ2446" s="2" t="s">
        <v>128</v>
      </c>
      <c r="BR2446" s="2" t="s">
        <v>103</v>
      </c>
      <c r="BS2446" s="3">
        <v>43089</v>
      </c>
      <c r="BT2446" s="4">
        <v>0.61111111111111105</v>
      </c>
      <c r="BU2446" s="2" t="s">
        <v>2599</v>
      </c>
      <c r="BY2446" s="2">
        <v>306342</v>
      </c>
      <c r="CA2446" s="2" t="s">
        <v>1050</v>
      </c>
      <c r="CC2446" s="2" t="s">
        <v>2597</v>
      </c>
      <c r="CD2446" s="2">
        <v>1133</v>
      </c>
      <c r="CE2446" s="2" t="s">
        <v>2600</v>
      </c>
      <c r="CF2446" s="3">
        <v>43090</v>
      </c>
      <c r="CI2446" s="2">
        <v>0</v>
      </c>
      <c r="CJ2446" s="2">
        <v>0</v>
      </c>
      <c r="CK2446" s="2" t="s">
        <v>2601</v>
      </c>
      <c r="CL2446" s="2" t="s">
        <v>89</v>
      </c>
    </row>
    <row r="2447" spans="1:90">
      <c r="A2447" s="2" t="s">
        <v>71</v>
      </c>
      <c r="B2447" s="2" t="s">
        <v>72</v>
      </c>
      <c r="C2447" s="2" t="s">
        <v>73</v>
      </c>
      <c r="E2447" s="2" t="str">
        <f>"FES1162596460"</f>
        <v>FES1162596460</v>
      </c>
      <c r="F2447" s="3">
        <v>43084</v>
      </c>
      <c r="G2447" s="2">
        <v>201806</v>
      </c>
      <c r="H2447" s="2" t="s">
        <v>74</v>
      </c>
      <c r="I2447" s="2" t="s">
        <v>75</v>
      </c>
      <c r="J2447" s="2" t="s">
        <v>97</v>
      </c>
      <c r="K2447" s="2" t="s">
        <v>77</v>
      </c>
      <c r="L2447" s="2" t="s">
        <v>325</v>
      </c>
      <c r="M2447" s="2" t="s">
        <v>326</v>
      </c>
      <c r="N2447" s="2" t="s">
        <v>1129</v>
      </c>
      <c r="O2447" s="2" t="s">
        <v>81</v>
      </c>
      <c r="P2447" s="2" t="str">
        <f>"2170607211                    "</f>
        <v xml:space="preserve">2170607211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16.53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30.2</v>
      </c>
      <c r="BJ2447" s="2">
        <v>18.399999999999999</v>
      </c>
      <c r="BK2447" s="2">
        <v>31</v>
      </c>
      <c r="BL2447" s="2">
        <v>123.02</v>
      </c>
      <c r="BM2447" s="2">
        <v>17.22</v>
      </c>
      <c r="BN2447" s="2">
        <v>140.24</v>
      </c>
      <c r="BO2447" s="2">
        <v>140.24</v>
      </c>
      <c r="BQ2447" s="2" t="s">
        <v>102</v>
      </c>
      <c r="BR2447" s="2" t="s">
        <v>103</v>
      </c>
      <c r="BS2447" s="2" t="s">
        <v>185</v>
      </c>
      <c r="BY2447" s="2">
        <v>91812.78</v>
      </c>
      <c r="CC2447" s="2" t="s">
        <v>326</v>
      </c>
      <c r="CD2447" s="2">
        <v>1939</v>
      </c>
      <c r="CE2447" s="2" t="s">
        <v>95</v>
      </c>
      <c r="CI2447" s="2">
        <v>1</v>
      </c>
      <c r="CJ2447" s="2" t="s">
        <v>185</v>
      </c>
      <c r="CK2447" s="2" t="s">
        <v>289</v>
      </c>
      <c r="CL2447" s="2" t="s">
        <v>89</v>
      </c>
    </row>
    <row r="2448" spans="1:90">
      <c r="A2448" s="2" t="s">
        <v>71</v>
      </c>
      <c r="B2448" s="2" t="s">
        <v>72</v>
      </c>
      <c r="C2448" s="2" t="s">
        <v>73</v>
      </c>
      <c r="E2448" s="2" t="str">
        <f>"019910627019"</f>
        <v>019910627019</v>
      </c>
      <c r="F2448" s="3">
        <v>43084</v>
      </c>
      <c r="G2448" s="2">
        <v>201806</v>
      </c>
      <c r="H2448" s="2" t="s">
        <v>173</v>
      </c>
      <c r="I2448" s="2" t="s">
        <v>174</v>
      </c>
      <c r="J2448" s="2" t="s">
        <v>92</v>
      </c>
      <c r="K2448" s="2" t="s">
        <v>77</v>
      </c>
      <c r="L2448" s="2" t="s">
        <v>74</v>
      </c>
      <c r="M2448" s="2" t="s">
        <v>75</v>
      </c>
      <c r="N2448" s="2" t="s">
        <v>76</v>
      </c>
      <c r="O2448" s="2" t="s">
        <v>101</v>
      </c>
      <c r="P2448" s="2" t="str">
        <f>"                              "</f>
        <v xml:space="preserve">          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8.0399999999999991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0.5</v>
      </c>
      <c r="BJ2448" s="2">
        <v>2.2999999999999998</v>
      </c>
      <c r="BK2448" s="2">
        <v>2.5</v>
      </c>
      <c r="BL2448" s="2">
        <v>57.41</v>
      </c>
      <c r="BM2448" s="2">
        <v>8.0399999999999991</v>
      </c>
      <c r="BN2448" s="2">
        <v>65.45</v>
      </c>
      <c r="BO2448" s="2">
        <v>65.45</v>
      </c>
      <c r="BQ2448" s="2" t="s">
        <v>364</v>
      </c>
      <c r="BR2448" s="2" t="s">
        <v>2602</v>
      </c>
      <c r="BS2448" s="3">
        <v>43087</v>
      </c>
      <c r="BT2448" s="4">
        <v>0.37847222222222227</v>
      </c>
      <c r="BU2448" s="2" t="s">
        <v>1724</v>
      </c>
      <c r="BV2448" s="2" t="s">
        <v>85</v>
      </c>
      <c r="BY2448" s="2">
        <v>11442.69</v>
      </c>
      <c r="BZ2448" s="2" t="s">
        <v>27</v>
      </c>
      <c r="CA2448" s="2" t="s">
        <v>366</v>
      </c>
      <c r="CC2448" s="2" t="s">
        <v>75</v>
      </c>
      <c r="CD2448" s="2">
        <v>1600</v>
      </c>
      <c r="CE2448" s="2" t="s">
        <v>2603</v>
      </c>
      <c r="CF2448" s="3">
        <v>43089</v>
      </c>
      <c r="CI2448" s="2">
        <v>1</v>
      </c>
      <c r="CJ2448" s="2">
        <v>1</v>
      </c>
      <c r="CK2448" s="2">
        <v>21</v>
      </c>
      <c r="CL2448" s="2" t="s">
        <v>89</v>
      </c>
    </row>
    <row r="2449" spans="1:90">
      <c r="A2449" s="2" t="s">
        <v>612</v>
      </c>
      <c r="B2449" s="2" t="s">
        <v>72</v>
      </c>
      <c r="C2449" s="2" t="s">
        <v>73</v>
      </c>
      <c r="E2449" s="2" t="str">
        <f>"029908036492"</f>
        <v>029908036492</v>
      </c>
      <c r="F2449" s="3">
        <v>43084</v>
      </c>
      <c r="G2449" s="2">
        <v>201806</v>
      </c>
      <c r="H2449" s="2" t="s">
        <v>125</v>
      </c>
      <c r="I2449" s="2" t="s">
        <v>126</v>
      </c>
      <c r="J2449" s="2" t="s">
        <v>290</v>
      </c>
      <c r="K2449" s="2" t="s">
        <v>77</v>
      </c>
      <c r="L2449" s="2" t="s">
        <v>74</v>
      </c>
      <c r="M2449" s="2" t="s">
        <v>75</v>
      </c>
      <c r="N2449" s="2" t="s">
        <v>76</v>
      </c>
      <c r="O2449" s="2" t="s">
        <v>81</v>
      </c>
      <c r="P2449" s="2" t="str">
        <f>"                              "</f>
        <v xml:space="preserve">          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12.06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1</v>
      </c>
      <c r="BJ2449" s="2">
        <v>2.4</v>
      </c>
      <c r="BK2449" s="2">
        <v>3</v>
      </c>
      <c r="BL2449" s="2">
        <v>91.12</v>
      </c>
      <c r="BM2449" s="2">
        <v>12.76</v>
      </c>
      <c r="BN2449" s="2">
        <v>103.88</v>
      </c>
      <c r="BO2449" s="2">
        <v>103.88</v>
      </c>
      <c r="BR2449" s="2" t="s">
        <v>2604</v>
      </c>
      <c r="BS2449" s="3">
        <v>43087</v>
      </c>
      <c r="BT2449" s="4">
        <v>0.40277777777777773</v>
      </c>
      <c r="BU2449" s="2" t="s">
        <v>1724</v>
      </c>
      <c r="BV2449" s="2" t="s">
        <v>85</v>
      </c>
      <c r="BY2449" s="2">
        <v>12000</v>
      </c>
      <c r="CC2449" s="2" t="s">
        <v>75</v>
      </c>
      <c r="CD2449" s="2">
        <v>1600</v>
      </c>
      <c r="CE2449" s="2" t="s">
        <v>95</v>
      </c>
      <c r="CF2449" s="3">
        <v>43089</v>
      </c>
      <c r="CI2449" s="2">
        <v>1</v>
      </c>
      <c r="CJ2449" s="2">
        <v>1</v>
      </c>
      <c r="CK2449" s="2" t="s">
        <v>294</v>
      </c>
      <c r="CL2449" s="2" t="s">
        <v>89</v>
      </c>
    </row>
    <row r="2450" spans="1:90">
      <c r="A2450" s="2" t="s">
        <v>71</v>
      </c>
      <c r="B2450" s="2" t="s">
        <v>72</v>
      </c>
      <c r="C2450" s="2" t="s">
        <v>73</v>
      </c>
      <c r="E2450" s="2" t="str">
        <f>"FES1162593587"</f>
        <v>FES1162593587</v>
      </c>
      <c r="F2450" s="3">
        <v>43073</v>
      </c>
      <c r="G2450" s="2">
        <v>201806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106</v>
      </c>
      <c r="M2450" s="2" t="s">
        <v>107</v>
      </c>
      <c r="N2450" s="2" t="s">
        <v>108</v>
      </c>
      <c r="O2450" s="2" t="s">
        <v>81</v>
      </c>
      <c r="P2450" s="2" t="str">
        <f>"2170605695                    "</f>
        <v xml:space="preserve">2170605695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9.01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13.3</v>
      </c>
      <c r="BJ2450" s="2">
        <v>18.600000000000001</v>
      </c>
      <c r="BK2450" s="2">
        <v>19</v>
      </c>
      <c r="BL2450" s="2">
        <v>77</v>
      </c>
      <c r="BM2450" s="2">
        <v>10.78</v>
      </c>
      <c r="BN2450" s="2">
        <v>87.78</v>
      </c>
      <c r="BO2450" s="2">
        <v>87.78</v>
      </c>
      <c r="BQ2450" s="2" t="s">
        <v>82</v>
      </c>
      <c r="BR2450" s="2" t="s">
        <v>83</v>
      </c>
      <c r="BS2450" s="3">
        <v>43074</v>
      </c>
      <c r="BT2450" s="4">
        <v>0.37708333333333338</v>
      </c>
      <c r="BU2450" s="2" t="s">
        <v>563</v>
      </c>
      <c r="BV2450" s="2" t="s">
        <v>85</v>
      </c>
      <c r="BY2450" s="2">
        <v>93138.880000000005</v>
      </c>
      <c r="CA2450" s="2" t="s">
        <v>110</v>
      </c>
      <c r="CC2450" s="2" t="s">
        <v>107</v>
      </c>
      <c r="CD2450" s="2">
        <v>2094</v>
      </c>
      <c r="CE2450" s="2" t="s">
        <v>95</v>
      </c>
      <c r="CF2450" s="3">
        <v>43077</v>
      </c>
      <c r="CI2450" s="2">
        <v>1</v>
      </c>
      <c r="CJ2450" s="2">
        <v>1</v>
      </c>
      <c r="CK2450" s="2" t="s">
        <v>96</v>
      </c>
      <c r="CL2450" s="2" t="s">
        <v>89</v>
      </c>
    </row>
    <row r="2451" spans="1:90">
      <c r="A2451" s="2" t="s">
        <v>71</v>
      </c>
      <c r="B2451" s="2" t="s">
        <v>72</v>
      </c>
      <c r="C2451" s="2" t="s">
        <v>73</v>
      </c>
      <c r="E2451" s="2" t="str">
        <f>"FES1162594137"</f>
        <v>FES1162594137</v>
      </c>
      <c r="F2451" s="3">
        <v>43075</v>
      </c>
      <c r="G2451" s="2">
        <v>201806</v>
      </c>
      <c r="H2451" s="2" t="s">
        <v>74</v>
      </c>
      <c r="I2451" s="2" t="s">
        <v>75</v>
      </c>
      <c r="J2451" s="2" t="s">
        <v>97</v>
      </c>
      <c r="K2451" s="2" t="s">
        <v>77</v>
      </c>
      <c r="L2451" s="2" t="s">
        <v>547</v>
      </c>
      <c r="M2451" s="2" t="s">
        <v>548</v>
      </c>
      <c r="N2451" s="2" t="s">
        <v>2605</v>
      </c>
      <c r="O2451" s="2" t="s">
        <v>81</v>
      </c>
      <c r="P2451" s="2" t="str">
        <f>"2170602581                    "</f>
        <v xml:space="preserve">2170602581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15.71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2</v>
      </c>
      <c r="BI2451" s="2">
        <v>36.1</v>
      </c>
      <c r="BJ2451" s="2">
        <v>37</v>
      </c>
      <c r="BK2451" s="2">
        <v>37</v>
      </c>
      <c r="BL2451" s="2">
        <v>117.18</v>
      </c>
      <c r="BM2451" s="2">
        <v>16.41</v>
      </c>
      <c r="BN2451" s="2">
        <v>133.59</v>
      </c>
      <c r="BO2451" s="2">
        <v>133.59</v>
      </c>
      <c r="BR2451" s="2" t="s">
        <v>103</v>
      </c>
      <c r="BS2451" s="3">
        <v>43076</v>
      </c>
      <c r="BT2451" s="4">
        <v>0.47916666666666669</v>
      </c>
      <c r="BU2451" s="2" t="s">
        <v>165</v>
      </c>
      <c r="BV2451" s="2" t="s">
        <v>85</v>
      </c>
      <c r="BY2451" s="2">
        <v>184926.22</v>
      </c>
      <c r="CC2451" s="2" t="s">
        <v>548</v>
      </c>
      <c r="CD2451" s="2">
        <v>1500</v>
      </c>
      <c r="CE2451" s="2" t="s">
        <v>288</v>
      </c>
      <c r="CF2451" s="3">
        <v>43077</v>
      </c>
      <c r="CI2451" s="2">
        <v>1</v>
      </c>
      <c r="CJ2451" s="2">
        <v>1</v>
      </c>
      <c r="CK2451" s="2" t="s">
        <v>96</v>
      </c>
      <c r="CL2451" s="2" t="s">
        <v>89</v>
      </c>
    </row>
    <row r="2452" spans="1:90">
      <c r="A2452" s="2" t="s">
        <v>71</v>
      </c>
      <c r="B2452" s="2" t="s">
        <v>72</v>
      </c>
      <c r="C2452" s="2" t="s">
        <v>73</v>
      </c>
      <c r="E2452" s="2" t="str">
        <f>"FES1162597279"</f>
        <v>FES1162597279</v>
      </c>
      <c r="F2452" s="3">
        <v>43089</v>
      </c>
      <c r="G2452" s="2">
        <v>201806</v>
      </c>
      <c r="H2452" s="2" t="s">
        <v>74</v>
      </c>
      <c r="I2452" s="2" t="s">
        <v>75</v>
      </c>
      <c r="J2452" s="2" t="s">
        <v>97</v>
      </c>
      <c r="K2452" s="2" t="s">
        <v>77</v>
      </c>
      <c r="L2452" s="2" t="s">
        <v>651</v>
      </c>
      <c r="M2452" s="2" t="s">
        <v>652</v>
      </c>
      <c r="N2452" s="2" t="s">
        <v>2174</v>
      </c>
      <c r="O2452" s="2" t="s">
        <v>101</v>
      </c>
      <c r="P2452" s="2" t="str">
        <f>"2170606341                    "</f>
        <v xml:space="preserve">2170606341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9.0500000000000007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1</v>
      </c>
      <c r="BJ2452" s="2">
        <v>0.2</v>
      </c>
      <c r="BK2452" s="2">
        <v>1</v>
      </c>
      <c r="BL2452" s="2">
        <v>64.599999999999994</v>
      </c>
      <c r="BM2452" s="2">
        <v>9.0399999999999991</v>
      </c>
      <c r="BN2452" s="2">
        <v>73.64</v>
      </c>
      <c r="BO2452" s="2">
        <v>73.64</v>
      </c>
      <c r="BQ2452" s="2" t="s">
        <v>2395</v>
      </c>
      <c r="BR2452" s="2" t="s">
        <v>103</v>
      </c>
      <c r="BS2452" s="2" t="s">
        <v>185</v>
      </c>
      <c r="BY2452" s="2">
        <v>1200</v>
      </c>
      <c r="CC2452" s="2" t="s">
        <v>652</v>
      </c>
      <c r="CD2452" s="2">
        <v>250</v>
      </c>
      <c r="CE2452" s="2" t="s">
        <v>120</v>
      </c>
      <c r="CI2452" s="2">
        <v>1</v>
      </c>
      <c r="CJ2452" s="2" t="s">
        <v>185</v>
      </c>
      <c r="CK2452" s="2">
        <v>24</v>
      </c>
      <c r="CL2452" s="2" t="s">
        <v>89</v>
      </c>
    </row>
    <row r="2453" spans="1:90">
      <c r="A2453" s="2" t="s">
        <v>71</v>
      </c>
      <c r="B2453" s="2" t="s">
        <v>72</v>
      </c>
      <c r="C2453" s="2" t="s">
        <v>73</v>
      </c>
      <c r="E2453" s="2" t="str">
        <f>"009936832413"</f>
        <v>009936832413</v>
      </c>
      <c r="F2453" s="3">
        <v>43084</v>
      </c>
      <c r="G2453" s="2">
        <v>201806</v>
      </c>
      <c r="H2453" s="2" t="s">
        <v>115</v>
      </c>
      <c r="I2453" s="2" t="s">
        <v>116</v>
      </c>
      <c r="J2453" s="2" t="s">
        <v>2606</v>
      </c>
      <c r="K2453" s="2" t="s">
        <v>77</v>
      </c>
      <c r="L2453" s="2" t="s">
        <v>74</v>
      </c>
      <c r="M2453" s="2" t="s">
        <v>75</v>
      </c>
      <c r="N2453" s="2" t="s">
        <v>76</v>
      </c>
      <c r="O2453" s="2" t="s">
        <v>101</v>
      </c>
      <c r="P2453" s="2" t="str">
        <f>"                              "</f>
        <v xml:space="preserve">          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5.03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1.4</v>
      </c>
      <c r="BJ2453" s="2">
        <v>2.2000000000000002</v>
      </c>
      <c r="BK2453" s="2">
        <v>3</v>
      </c>
      <c r="BL2453" s="2">
        <v>35.89</v>
      </c>
      <c r="BM2453" s="2">
        <v>5.0199999999999996</v>
      </c>
      <c r="BN2453" s="2">
        <v>40.909999999999997</v>
      </c>
      <c r="BO2453" s="2">
        <v>40.909999999999997</v>
      </c>
      <c r="BR2453" s="2" t="s">
        <v>2607</v>
      </c>
      <c r="BS2453" s="3">
        <v>43087</v>
      </c>
      <c r="BT2453" s="4">
        <v>0.37847222222222227</v>
      </c>
      <c r="BU2453" s="2" t="s">
        <v>375</v>
      </c>
      <c r="BV2453" s="2" t="s">
        <v>85</v>
      </c>
      <c r="BY2453" s="2">
        <v>11210.3</v>
      </c>
      <c r="BZ2453" s="2" t="s">
        <v>27</v>
      </c>
      <c r="CA2453" s="2" t="s">
        <v>366</v>
      </c>
      <c r="CC2453" s="2" t="s">
        <v>75</v>
      </c>
      <c r="CD2453" s="2">
        <v>1600</v>
      </c>
      <c r="CE2453" s="2" t="s">
        <v>95</v>
      </c>
      <c r="CF2453" s="3">
        <v>43089</v>
      </c>
      <c r="CI2453" s="2">
        <v>1</v>
      </c>
      <c r="CJ2453" s="2">
        <v>1</v>
      </c>
      <c r="CK2453" s="2">
        <v>22</v>
      </c>
      <c r="CL2453" s="2" t="s">
        <v>89</v>
      </c>
    </row>
    <row r="2454" spans="1:90">
      <c r="A2454" s="2" t="s">
        <v>71</v>
      </c>
      <c r="B2454" s="2" t="s">
        <v>72</v>
      </c>
      <c r="C2454" s="2" t="s">
        <v>73</v>
      </c>
      <c r="E2454" s="2" t="str">
        <f>"FES1162593906"</f>
        <v>FES1162593906</v>
      </c>
      <c r="F2454" s="3">
        <v>43074</v>
      </c>
      <c r="G2454" s="2">
        <v>201806</v>
      </c>
      <c r="H2454" s="2" t="s">
        <v>74</v>
      </c>
      <c r="I2454" s="2" t="s">
        <v>75</v>
      </c>
      <c r="J2454" s="2" t="s">
        <v>97</v>
      </c>
      <c r="K2454" s="2" t="s">
        <v>77</v>
      </c>
      <c r="L2454" s="2" t="s">
        <v>173</v>
      </c>
      <c r="M2454" s="2" t="s">
        <v>174</v>
      </c>
      <c r="N2454" s="2" t="s">
        <v>2608</v>
      </c>
      <c r="O2454" s="2" t="s">
        <v>81</v>
      </c>
      <c r="P2454" s="2" t="str">
        <f>"2170605944                    "</f>
        <v xml:space="preserve">2170605944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11.56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2</v>
      </c>
      <c r="BI2454" s="2">
        <v>5.8</v>
      </c>
      <c r="BJ2454" s="2">
        <v>3.5</v>
      </c>
      <c r="BK2454" s="2">
        <v>6</v>
      </c>
      <c r="BL2454" s="2">
        <v>97.42</v>
      </c>
      <c r="BM2454" s="2">
        <v>13.64</v>
      </c>
      <c r="BN2454" s="2">
        <v>111.06</v>
      </c>
      <c r="BO2454" s="2">
        <v>111.06</v>
      </c>
      <c r="BP2454" s="2" t="s">
        <v>1658</v>
      </c>
      <c r="BQ2454" s="2" t="s">
        <v>2609</v>
      </c>
      <c r="BR2454" s="2" t="s">
        <v>103</v>
      </c>
      <c r="BS2454" s="3">
        <v>43076</v>
      </c>
      <c r="BT2454" s="4">
        <v>0.41666666666666669</v>
      </c>
      <c r="BU2454" s="2" t="s">
        <v>1470</v>
      </c>
      <c r="BV2454" s="2" t="s">
        <v>85</v>
      </c>
      <c r="BY2454" s="2">
        <v>17275.66</v>
      </c>
      <c r="CC2454" s="2" t="s">
        <v>174</v>
      </c>
      <c r="CD2454" s="2">
        <v>7460</v>
      </c>
      <c r="CE2454" s="2" t="s">
        <v>282</v>
      </c>
      <c r="CF2454" s="3">
        <v>43077</v>
      </c>
      <c r="CI2454" s="2">
        <v>2</v>
      </c>
      <c r="CJ2454" s="2">
        <v>2</v>
      </c>
      <c r="CK2454" s="2" t="s">
        <v>271</v>
      </c>
      <c r="CL2454" s="2" t="s">
        <v>89</v>
      </c>
    </row>
    <row r="2455" spans="1:90">
      <c r="A2455" s="2" t="s">
        <v>71</v>
      </c>
      <c r="B2455" s="2" t="s">
        <v>72</v>
      </c>
      <c r="C2455" s="2" t="s">
        <v>73</v>
      </c>
      <c r="E2455" s="2" t="str">
        <f>"FES1162593240"</f>
        <v>FES1162593240</v>
      </c>
      <c r="F2455" s="3">
        <v>43073</v>
      </c>
      <c r="G2455" s="2">
        <v>201806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189</v>
      </c>
      <c r="M2455" s="2" t="s">
        <v>190</v>
      </c>
      <c r="N2455" s="2" t="s">
        <v>199</v>
      </c>
      <c r="O2455" s="2" t="s">
        <v>81</v>
      </c>
      <c r="P2455" s="2" t="str">
        <f>"2170605538                    "</f>
        <v xml:space="preserve">2170605538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9.7100000000000009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2</v>
      </c>
      <c r="BI2455" s="2">
        <v>14.2</v>
      </c>
      <c r="BJ2455" s="2">
        <v>6.5</v>
      </c>
      <c r="BK2455" s="2">
        <v>15</v>
      </c>
      <c r="BL2455" s="2">
        <v>82.6</v>
      </c>
      <c r="BM2455" s="2">
        <v>11.56</v>
      </c>
      <c r="BN2455" s="2">
        <v>94.16</v>
      </c>
      <c r="BO2455" s="2">
        <v>94.16</v>
      </c>
      <c r="BQ2455" s="2" t="s">
        <v>82</v>
      </c>
      <c r="BR2455" s="2" t="s">
        <v>83</v>
      </c>
      <c r="BS2455" s="3">
        <v>43074</v>
      </c>
      <c r="BT2455" s="4">
        <v>0.51180555555555551</v>
      </c>
      <c r="BU2455" s="2" t="s">
        <v>667</v>
      </c>
      <c r="BV2455" s="2" t="s">
        <v>89</v>
      </c>
      <c r="BW2455" s="2" t="s">
        <v>156</v>
      </c>
      <c r="BX2455" s="2" t="s">
        <v>668</v>
      </c>
      <c r="BY2455" s="2">
        <v>32680.16</v>
      </c>
      <c r="CA2455" s="2" t="s">
        <v>669</v>
      </c>
      <c r="CC2455" s="2" t="s">
        <v>190</v>
      </c>
      <c r="CD2455" s="2">
        <v>157</v>
      </c>
      <c r="CE2455" s="2" t="s">
        <v>95</v>
      </c>
      <c r="CF2455" s="3">
        <v>43076</v>
      </c>
      <c r="CI2455" s="2">
        <v>0</v>
      </c>
      <c r="CJ2455" s="2">
        <v>0</v>
      </c>
      <c r="CK2455" s="2" t="s">
        <v>289</v>
      </c>
      <c r="CL2455" s="2" t="s">
        <v>89</v>
      </c>
    </row>
    <row r="2456" spans="1:90">
      <c r="A2456" s="2" t="s">
        <v>71</v>
      </c>
      <c r="B2456" s="2" t="s">
        <v>72</v>
      </c>
      <c r="C2456" s="2" t="s">
        <v>73</v>
      </c>
      <c r="E2456" s="2" t="str">
        <f>"FES1162593892"</f>
        <v>FES1162593892</v>
      </c>
      <c r="F2456" s="3">
        <v>43074</v>
      </c>
      <c r="G2456" s="2">
        <v>201806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566</v>
      </c>
      <c r="M2456" s="2" t="s">
        <v>567</v>
      </c>
      <c r="N2456" s="2" t="s">
        <v>164</v>
      </c>
      <c r="O2456" s="2" t="s">
        <v>81</v>
      </c>
      <c r="P2456" s="2" t="str">
        <f>"2170605917                    "</f>
        <v xml:space="preserve">2170605917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12.2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15.3</v>
      </c>
      <c r="BJ2456" s="2">
        <v>30.8</v>
      </c>
      <c r="BK2456" s="2">
        <v>31</v>
      </c>
      <c r="BL2456" s="2">
        <v>102.51</v>
      </c>
      <c r="BM2456" s="2">
        <v>14.35</v>
      </c>
      <c r="BN2456" s="2">
        <v>116.86</v>
      </c>
      <c r="BO2456" s="2">
        <v>116.86</v>
      </c>
      <c r="BQ2456" s="2" t="s">
        <v>82</v>
      </c>
      <c r="BR2456" s="2" t="s">
        <v>83</v>
      </c>
      <c r="BS2456" s="3">
        <v>43075</v>
      </c>
      <c r="BT2456" s="4">
        <v>0.29166666666666669</v>
      </c>
      <c r="BU2456" s="2" t="s">
        <v>2610</v>
      </c>
      <c r="BV2456" s="2" t="s">
        <v>85</v>
      </c>
      <c r="BY2456" s="2">
        <v>154038.35999999999</v>
      </c>
      <c r="CA2456" s="2" t="s">
        <v>2169</v>
      </c>
      <c r="CC2456" s="2" t="s">
        <v>567</v>
      </c>
      <c r="CD2456" s="2">
        <v>1754</v>
      </c>
      <c r="CE2456" s="2" t="s">
        <v>87</v>
      </c>
      <c r="CF2456" s="3">
        <v>43077</v>
      </c>
      <c r="CI2456" s="2">
        <v>1</v>
      </c>
      <c r="CJ2456" s="2">
        <v>1</v>
      </c>
      <c r="CK2456" s="2" t="s">
        <v>96</v>
      </c>
      <c r="CL2456" s="2" t="s">
        <v>89</v>
      </c>
    </row>
    <row r="2457" spans="1:90">
      <c r="A2457" s="2" t="s">
        <v>71</v>
      </c>
      <c r="B2457" s="2" t="s">
        <v>72</v>
      </c>
      <c r="C2457" s="2" t="s">
        <v>73</v>
      </c>
      <c r="E2457" s="2" t="str">
        <f>"FES1162595998"</f>
        <v>FES1162595998</v>
      </c>
      <c r="F2457" s="3">
        <v>43083</v>
      </c>
      <c r="G2457" s="2">
        <v>201806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449</v>
      </c>
      <c r="M2457" s="2" t="s">
        <v>450</v>
      </c>
      <c r="N2457" s="2" t="s">
        <v>841</v>
      </c>
      <c r="O2457" s="2" t="s">
        <v>339</v>
      </c>
      <c r="P2457" s="2" t="str">
        <f>"2170604620                    "</f>
        <v xml:space="preserve">2170604620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9.5399999999999991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6</v>
      </c>
      <c r="BJ2457" s="2">
        <v>15.2</v>
      </c>
      <c r="BK2457" s="2">
        <v>16</v>
      </c>
      <c r="BL2457" s="2">
        <v>68.08</v>
      </c>
      <c r="BM2457" s="2">
        <v>9.5299999999999994</v>
      </c>
      <c r="BN2457" s="2">
        <v>77.61</v>
      </c>
      <c r="BO2457" s="2">
        <v>77.61</v>
      </c>
      <c r="BQ2457" s="2" t="s">
        <v>82</v>
      </c>
      <c r="BR2457" s="2" t="s">
        <v>83</v>
      </c>
      <c r="BS2457" s="3">
        <v>43084</v>
      </c>
      <c r="BT2457" s="4">
        <v>0.34166666666666662</v>
      </c>
      <c r="BU2457" s="2" t="s">
        <v>1655</v>
      </c>
      <c r="BV2457" s="2" t="s">
        <v>85</v>
      </c>
      <c r="BY2457" s="2">
        <v>75786.42</v>
      </c>
      <c r="BZ2457" s="2" t="s">
        <v>27</v>
      </c>
      <c r="CA2457" s="2" t="s">
        <v>843</v>
      </c>
      <c r="CC2457" s="2" t="s">
        <v>450</v>
      </c>
      <c r="CD2457" s="2">
        <v>1724</v>
      </c>
      <c r="CE2457" s="2" t="s">
        <v>95</v>
      </c>
      <c r="CF2457" s="3">
        <v>43087</v>
      </c>
      <c r="CI2457" s="2">
        <v>1</v>
      </c>
      <c r="CJ2457" s="2">
        <v>1</v>
      </c>
      <c r="CK2457" s="2">
        <v>32</v>
      </c>
      <c r="CL2457" s="2" t="s">
        <v>89</v>
      </c>
    </row>
    <row r="2458" spans="1:90">
      <c r="A2458" s="2" t="s">
        <v>71</v>
      </c>
      <c r="B2458" s="2" t="s">
        <v>72</v>
      </c>
      <c r="C2458" s="2" t="s">
        <v>73</v>
      </c>
      <c r="E2458" s="2" t="str">
        <f>"FES1162594909"</f>
        <v>FES1162594909</v>
      </c>
      <c r="F2458" s="3">
        <v>43082</v>
      </c>
      <c r="G2458" s="2">
        <v>201806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121</v>
      </c>
      <c r="M2458" s="2" t="s">
        <v>122</v>
      </c>
      <c r="N2458" s="2" t="s">
        <v>123</v>
      </c>
      <c r="O2458" s="2" t="s">
        <v>339</v>
      </c>
      <c r="P2458" s="2" t="str">
        <f>"2170606803                    "</f>
        <v xml:space="preserve">2170606803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22.63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6.1</v>
      </c>
      <c r="BJ2458" s="2">
        <v>8.6</v>
      </c>
      <c r="BK2458" s="2">
        <v>9</v>
      </c>
      <c r="BL2458" s="2">
        <v>161.53</v>
      </c>
      <c r="BM2458" s="2">
        <v>22.61</v>
      </c>
      <c r="BN2458" s="2">
        <v>184.14</v>
      </c>
      <c r="BO2458" s="2">
        <v>184.14</v>
      </c>
      <c r="BQ2458" s="2" t="s">
        <v>82</v>
      </c>
      <c r="BR2458" s="2" t="s">
        <v>83</v>
      </c>
      <c r="BS2458" s="3">
        <v>43083</v>
      </c>
      <c r="BT2458" s="4">
        <v>0.46597222222222223</v>
      </c>
      <c r="BU2458" s="2" t="s">
        <v>2011</v>
      </c>
      <c r="BV2458" s="2" t="s">
        <v>85</v>
      </c>
      <c r="BY2458" s="2">
        <v>42848.959999999999</v>
      </c>
      <c r="BZ2458" s="2" t="s">
        <v>27</v>
      </c>
      <c r="CC2458" s="2" t="s">
        <v>122</v>
      </c>
      <c r="CD2458" s="2">
        <v>2210</v>
      </c>
      <c r="CE2458" s="2" t="s">
        <v>87</v>
      </c>
      <c r="CF2458" s="3">
        <v>43084</v>
      </c>
      <c r="CI2458" s="2">
        <v>1</v>
      </c>
      <c r="CJ2458" s="2">
        <v>1</v>
      </c>
      <c r="CK2458" s="2">
        <v>34</v>
      </c>
      <c r="CL2458" s="2" t="s">
        <v>89</v>
      </c>
    </row>
    <row r="2459" spans="1:90">
      <c r="A2459" s="2" t="s">
        <v>71</v>
      </c>
      <c r="B2459" s="2" t="s">
        <v>72</v>
      </c>
      <c r="C2459" s="2" t="s">
        <v>73</v>
      </c>
      <c r="E2459" s="2" t="str">
        <f>"FES1162596124"</f>
        <v>FES1162596124</v>
      </c>
      <c r="F2459" s="3">
        <v>43083</v>
      </c>
      <c r="G2459" s="2">
        <v>201806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440</v>
      </c>
      <c r="M2459" s="2" t="s">
        <v>441</v>
      </c>
      <c r="N2459" s="2" t="s">
        <v>442</v>
      </c>
      <c r="O2459" s="2" t="s">
        <v>339</v>
      </c>
      <c r="P2459" s="2" t="str">
        <f>"2170605798                    "</f>
        <v xml:space="preserve">2170605798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9.0500000000000007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2.4</v>
      </c>
      <c r="BJ2459" s="2">
        <v>0.9</v>
      </c>
      <c r="BK2459" s="2">
        <v>3</v>
      </c>
      <c r="BL2459" s="2">
        <v>64.599999999999994</v>
      </c>
      <c r="BM2459" s="2">
        <v>9.0399999999999991</v>
      </c>
      <c r="BN2459" s="2">
        <v>73.64</v>
      </c>
      <c r="BO2459" s="2">
        <v>73.64</v>
      </c>
      <c r="BQ2459" s="2" t="s">
        <v>82</v>
      </c>
      <c r="BR2459" s="2" t="s">
        <v>83</v>
      </c>
      <c r="BS2459" s="3">
        <v>43084</v>
      </c>
      <c r="BT2459" s="4">
        <v>0.43333333333333335</v>
      </c>
      <c r="BU2459" s="2" t="s">
        <v>1461</v>
      </c>
      <c r="BV2459" s="2" t="s">
        <v>85</v>
      </c>
      <c r="BY2459" s="2">
        <v>4688.4399999999996</v>
      </c>
      <c r="BZ2459" s="2" t="s">
        <v>27</v>
      </c>
      <c r="CC2459" s="2" t="s">
        <v>441</v>
      </c>
      <c r="CD2459" s="2">
        <v>1759</v>
      </c>
      <c r="CE2459" s="2" t="s">
        <v>87</v>
      </c>
      <c r="CF2459" s="3">
        <v>43088</v>
      </c>
      <c r="CI2459" s="2">
        <v>1</v>
      </c>
      <c r="CJ2459" s="2">
        <v>1</v>
      </c>
      <c r="CK2459" s="2">
        <v>34</v>
      </c>
      <c r="CL2459" s="2" t="s">
        <v>89</v>
      </c>
    </row>
    <row r="2460" spans="1:90">
      <c r="A2460" s="2" t="s">
        <v>71</v>
      </c>
      <c r="B2460" s="2" t="s">
        <v>72</v>
      </c>
      <c r="C2460" s="2" t="s">
        <v>73</v>
      </c>
      <c r="E2460" s="2" t="str">
        <f>"FES1162595734"</f>
        <v>FES1162595734</v>
      </c>
      <c r="F2460" s="3">
        <v>43082</v>
      </c>
      <c r="G2460" s="2">
        <v>201806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90</v>
      </c>
      <c r="M2460" s="2" t="s">
        <v>91</v>
      </c>
      <c r="N2460" s="2" t="s">
        <v>92</v>
      </c>
      <c r="O2460" s="2" t="s">
        <v>339</v>
      </c>
      <c r="P2460" s="2" t="str">
        <f>"2170603655                    "</f>
        <v xml:space="preserve">2170603655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5.59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2</v>
      </c>
      <c r="BI2460" s="2">
        <v>4</v>
      </c>
      <c r="BJ2460" s="2">
        <v>8.1</v>
      </c>
      <c r="BK2460" s="2">
        <v>9</v>
      </c>
      <c r="BL2460" s="2">
        <v>39.909999999999997</v>
      </c>
      <c r="BM2460" s="2">
        <v>5.59</v>
      </c>
      <c r="BN2460" s="2">
        <v>45.5</v>
      </c>
      <c r="BO2460" s="2">
        <v>45.5</v>
      </c>
      <c r="BQ2460" s="2" t="s">
        <v>82</v>
      </c>
      <c r="BR2460" s="2" t="s">
        <v>83</v>
      </c>
      <c r="BS2460" s="3">
        <v>43088</v>
      </c>
      <c r="BT2460" s="4">
        <v>0.4236111111111111</v>
      </c>
      <c r="BU2460" s="2" t="s">
        <v>1693</v>
      </c>
      <c r="BV2460" s="2" t="s">
        <v>89</v>
      </c>
      <c r="BY2460" s="2">
        <v>40596.379999999997</v>
      </c>
      <c r="BZ2460" s="2" t="s">
        <v>27</v>
      </c>
      <c r="CC2460" s="2" t="s">
        <v>91</v>
      </c>
      <c r="CD2460" s="2">
        <v>1559</v>
      </c>
      <c r="CE2460" s="2" t="s">
        <v>120</v>
      </c>
      <c r="CF2460" s="3">
        <v>43090</v>
      </c>
      <c r="CI2460" s="2">
        <v>1</v>
      </c>
      <c r="CJ2460" s="2">
        <v>4</v>
      </c>
      <c r="CK2460" s="2">
        <v>32</v>
      </c>
      <c r="CL2460" s="2" t="s">
        <v>89</v>
      </c>
    </row>
    <row r="2461" spans="1:90">
      <c r="A2461" s="2" t="s">
        <v>71</v>
      </c>
      <c r="B2461" s="2" t="s">
        <v>72</v>
      </c>
      <c r="C2461" s="2" t="s">
        <v>73</v>
      </c>
      <c r="E2461" s="2" t="str">
        <f>"FES1162595622"</f>
        <v>FES1162595622</v>
      </c>
      <c r="F2461" s="3">
        <v>43082</v>
      </c>
      <c r="G2461" s="2">
        <v>201806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2139</v>
      </c>
      <c r="M2461" s="2" t="s">
        <v>2140</v>
      </c>
      <c r="N2461" s="2" t="s">
        <v>2611</v>
      </c>
      <c r="O2461" s="2" t="s">
        <v>339</v>
      </c>
      <c r="P2461" s="2" t="str">
        <f>"2170607442                    "</f>
        <v xml:space="preserve">2170607442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10.1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2</v>
      </c>
      <c r="BI2461" s="2">
        <v>16.100000000000001</v>
      </c>
      <c r="BJ2461" s="2">
        <v>4.7</v>
      </c>
      <c r="BK2461" s="2">
        <v>17</v>
      </c>
      <c r="BL2461" s="2">
        <v>72.099999999999994</v>
      </c>
      <c r="BM2461" s="2">
        <v>10.09</v>
      </c>
      <c r="BN2461" s="2">
        <v>82.19</v>
      </c>
      <c r="BO2461" s="2">
        <v>82.19</v>
      </c>
      <c r="BQ2461" s="2" t="s">
        <v>2612</v>
      </c>
      <c r="BR2461" s="2" t="s">
        <v>83</v>
      </c>
      <c r="BS2461" s="3">
        <v>43083</v>
      </c>
      <c r="BT2461" s="4">
        <v>0.4513888888888889</v>
      </c>
      <c r="BU2461" s="2" t="s">
        <v>512</v>
      </c>
      <c r="BV2461" s="2" t="s">
        <v>85</v>
      </c>
      <c r="BY2461" s="2">
        <v>23644.21</v>
      </c>
      <c r="BZ2461" s="2" t="s">
        <v>27</v>
      </c>
      <c r="CC2461" s="2" t="s">
        <v>2140</v>
      </c>
      <c r="CD2461" s="2">
        <v>1685</v>
      </c>
      <c r="CE2461" s="2" t="s">
        <v>87</v>
      </c>
      <c r="CF2461" s="3">
        <v>43088</v>
      </c>
      <c r="CI2461" s="2">
        <v>1</v>
      </c>
      <c r="CJ2461" s="2">
        <v>1</v>
      </c>
      <c r="CK2461" s="2">
        <v>32</v>
      </c>
      <c r="CL2461" s="2" t="s">
        <v>89</v>
      </c>
    </row>
    <row r="2462" spans="1:90">
      <c r="A2462" s="2" t="s">
        <v>71</v>
      </c>
      <c r="B2462" s="2" t="s">
        <v>72</v>
      </c>
      <c r="C2462" s="2" t="s">
        <v>73</v>
      </c>
      <c r="E2462" s="2" t="str">
        <f>"FES1162593055"</f>
        <v>FES1162593055</v>
      </c>
      <c r="F2462" s="3">
        <v>43070</v>
      </c>
      <c r="G2462" s="2">
        <v>201806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106</v>
      </c>
      <c r="M2462" s="2" t="s">
        <v>107</v>
      </c>
      <c r="N2462" s="2" t="s">
        <v>108</v>
      </c>
      <c r="O2462" s="2" t="s">
        <v>339</v>
      </c>
      <c r="P2462" s="2" t="str">
        <f>"2170601655                    "</f>
        <v xml:space="preserve">2170601655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7.88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15</v>
      </c>
      <c r="BJ2462" s="2">
        <v>12.5</v>
      </c>
      <c r="BK2462" s="2">
        <v>15</v>
      </c>
      <c r="BL2462" s="2">
        <v>62.96</v>
      </c>
      <c r="BM2462" s="2">
        <v>8.81</v>
      </c>
      <c r="BN2462" s="2">
        <v>71.77</v>
      </c>
      <c r="BO2462" s="2">
        <v>71.77</v>
      </c>
      <c r="BQ2462" s="2" t="s">
        <v>82</v>
      </c>
      <c r="BR2462" s="2" t="s">
        <v>83</v>
      </c>
      <c r="BS2462" s="3">
        <v>43073</v>
      </c>
      <c r="BT2462" s="4">
        <v>0.39097222222222222</v>
      </c>
      <c r="BU2462" s="2" t="s">
        <v>643</v>
      </c>
      <c r="BV2462" s="2" t="s">
        <v>85</v>
      </c>
      <c r="BY2462" s="2">
        <v>62426</v>
      </c>
      <c r="BZ2462" s="2" t="s">
        <v>27</v>
      </c>
      <c r="CA2462" s="2" t="s">
        <v>644</v>
      </c>
      <c r="CC2462" s="2" t="s">
        <v>107</v>
      </c>
      <c r="CD2462" s="2">
        <v>2094</v>
      </c>
      <c r="CE2462" s="2" t="s">
        <v>87</v>
      </c>
      <c r="CF2462" s="3">
        <v>43075</v>
      </c>
      <c r="CI2462" s="2">
        <v>1</v>
      </c>
      <c r="CJ2462" s="2">
        <v>1</v>
      </c>
      <c r="CK2462" s="2">
        <v>32</v>
      </c>
      <c r="CL2462" s="2" t="s">
        <v>89</v>
      </c>
    </row>
    <row r="2463" spans="1:90">
      <c r="A2463" s="2" t="s">
        <v>71</v>
      </c>
      <c r="B2463" s="2" t="s">
        <v>72</v>
      </c>
      <c r="C2463" s="2" t="s">
        <v>73</v>
      </c>
      <c r="E2463" s="2" t="str">
        <f>"FES1162595841"</f>
        <v>FES1162595841</v>
      </c>
      <c r="F2463" s="3">
        <v>43082</v>
      </c>
      <c r="G2463" s="2">
        <v>201806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74</v>
      </c>
      <c r="M2463" s="2" t="s">
        <v>75</v>
      </c>
      <c r="N2463" s="2" t="s">
        <v>1251</v>
      </c>
      <c r="O2463" s="2" t="s">
        <v>339</v>
      </c>
      <c r="P2463" s="2" t="str">
        <f>"2170607673                    "</f>
        <v xml:space="preserve">2170607673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7.85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2</v>
      </c>
      <c r="BI2463" s="2">
        <v>13</v>
      </c>
      <c r="BJ2463" s="2">
        <v>3.8</v>
      </c>
      <c r="BK2463" s="2">
        <v>13</v>
      </c>
      <c r="BL2463" s="2">
        <v>56.01</v>
      </c>
      <c r="BM2463" s="2">
        <v>7.84</v>
      </c>
      <c r="BN2463" s="2">
        <v>63.85</v>
      </c>
      <c r="BO2463" s="2">
        <v>63.85</v>
      </c>
      <c r="BQ2463" s="2" t="s">
        <v>82</v>
      </c>
      <c r="BR2463" s="2" t="s">
        <v>83</v>
      </c>
      <c r="BS2463" s="3">
        <v>43083</v>
      </c>
      <c r="BT2463" s="4">
        <v>0.35694444444444445</v>
      </c>
      <c r="BU2463" s="2" t="s">
        <v>1429</v>
      </c>
      <c r="BV2463" s="2" t="s">
        <v>85</v>
      </c>
      <c r="BY2463" s="2">
        <v>19109</v>
      </c>
      <c r="BZ2463" s="2" t="s">
        <v>27</v>
      </c>
      <c r="CA2463" s="2" t="s">
        <v>392</v>
      </c>
      <c r="CC2463" s="2" t="s">
        <v>75</v>
      </c>
      <c r="CD2463" s="2">
        <v>1609</v>
      </c>
      <c r="CE2463" s="2" t="s">
        <v>87</v>
      </c>
      <c r="CF2463" s="3">
        <v>43084</v>
      </c>
      <c r="CI2463" s="2">
        <v>1</v>
      </c>
      <c r="CJ2463" s="2">
        <v>1</v>
      </c>
      <c r="CK2463" s="2">
        <v>32</v>
      </c>
      <c r="CL2463" s="2" t="s">
        <v>89</v>
      </c>
    </row>
    <row r="2464" spans="1:90">
      <c r="A2464" s="2" t="s">
        <v>71</v>
      </c>
      <c r="B2464" s="2" t="s">
        <v>72</v>
      </c>
      <c r="C2464" s="2" t="s">
        <v>73</v>
      </c>
      <c r="E2464" s="2" t="str">
        <f>"FES1162593948"</f>
        <v>FES1162593948</v>
      </c>
      <c r="F2464" s="3">
        <v>43074</v>
      </c>
      <c r="G2464" s="2">
        <v>201806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566</v>
      </c>
      <c r="M2464" s="2" t="s">
        <v>567</v>
      </c>
      <c r="N2464" s="2" t="s">
        <v>164</v>
      </c>
      <c r="O2464" s="2" t="s">
        <v>339</v>
      </c>
      <c r="P2464" s="2" t="str">
        <f>"2170605978                    "</f>
        <v xml:space="preserve">2170605978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19.86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2</v>
      </c>
      <c r="BI2464" s="2">
        <v>9</v>
      </c>
      <c r="BJ2464" s="2">
        <v>2.4</v>
      </c>
      <c r="BK2464" s="2">
        <v>9</v>
      </c>
      <c r="BL2464" s="2">
        <v>158.76</v>
      </c>
      <c r="BM2464" s="2">
        <v>22.23</v>
      </c>
      <c r="BN2464" s="2">
        <v>180.99</v>
      </c>
      <c r="BO2464" s="2">
        <v>180.99</v>
      </c>
      <c r="BQ2464" s="2" t="s">
        <v>82</v>
      </c>
      <c r="BR2464" s="2" t="s">
        <v>83</v>
      </c>
      <c r="BS2464" s="3">
        <v>43075</v>
      </c>
      <c r="BT2464" s="4">
        <v>0.29166666666666669</v>
      </c>
      <c r="BU2464" s="2" t="s">
        <v>2610</v>
      </c>
      <c r="BV2464" s="2" t="s">
        <v>85</v>
      </c>
      <c r="BY2464" s="2">
        <v>12240</v>
      </c>
      <c r="BZ2464" s="2" t="s">
        <v>27</v>
      </c>
      <c r="CC2464" s="2" t="s">
        <v>567</v>
      </c>
      <c r="CD2464" s="2">
        <v>1754</v>
      </c>
      <c r="CE2464" s="2" t="s">
        <v>95</v>
      </c>
      <c r="CF2464" s="3">
        <v>43077</v>
      </c>
      <c r="CI2464" s="2">
        <v>1</v>
      </c>
      <c r="CJ2464" s="2">
        <v>1</v>
      </c>
      <c r="CK2464" s="2">
        <v>34</v>
      </c>
      <c r="CL2464" s="2" t="s">
        <v>89</v>
      </c>
    </row>
    <row r="2465" spans="1:90">
      <c r="A2465" s="2" t="s">
        <v>71</v>
      </c>
      <c r="B2465" s="2" t="s">
        <v>72</v>
      </c>
      <c r="C2465" s="2" t="s">
        <v>73</v>
      </c>
      <c r="E2465" s="2" t="str">
        <f>"FES1162595831"</f>
        <v>FES1162595831</v>
      </c>
      <c r="F2465" s="3">
        <v>43082</v>
      </c>
      <c r="G2465" s="2">
        <v>201806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1278</v>
      </c>
      <c r="M2465" s="2" t="s">
        <v>1279</v>
      </c>
      <c r="N2465" s="2" t="s">
        <v>1280</v>
      </c>
      <c r="O2465" s="2" t="s">
        <v>339</v>
      </c>
      <c r="P2465" s="2" t="str">
        <f>"2170607659                    "</f>
        <v xml:space="preserve">2170607659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14.48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6</v>
      </c>
      <c r="BJ2465" s="2">
        <v>0.8</v>
      </c>
      <c r="BK2465" s="2">
        <v>6</v>
      </c>
      <c r="BL2465" s="2">
        <v>103.37</v>
      </c>
      <c r="BM2465" s="2">
        <v>14.47</v>
      </c>
      <c r="BN2465" s="2">
        <v>117.84</v>
      </c>
      <c r="BO2465" s="2">
        <v>117.84</v>
      </c>
      <c r="BQ2465" s="2" t="s">
        <v>82</v>
      </c>
      <c r="BR2465" s="2" t="s">
        <v>83</v>
      </c>
      <c r="BS2465" s="3">
        <v>43084</v>
      </c>
      <c r="BT2465" s="4">
        <v>0.31180555555555556</v>
      </c>
      <c r="BU2465" s="2" t="s">
        <v>2179</v>
      </c>
      <c r="BV2465" s="2" t="s">
        <v>89</v>
      </c>
      <c r="BW2465" s="2" t="s">
        <v>149</v>
      </c>
      <c r="BX2465" s="2" t="s">
        <v>513</v>
      </c>
      <c r="BY2465" s="2">
        <v>4123</v>
      </c>
      <c r="BZ2465" s="2" t="s">
        <v>27</v>
      </c>
      <c r="CA2465" s="2" t="s">
        <v>2180</v>
      </c>
      <c r="CC2465" s="2" t="s">
        <v>1279</v>
      </c>
      <c r="CD2465" s="2">
        <v>2410</v>
      </c>
      <c r="CE2465" s="2" t="s">
        <v>87</v>
      </c>
      <c r="CF2465" s="3">
        <v>43088</v>
      </c>
      <c r="CI2465" s="2">
        <v>1</v>
      </c>
      <c r="CJ2465" s="2">
        <v>2</v>
      </c>
      <c r="CK2465" s="2">
        <v>34</v>
      </c>
      <c r="CL2465" s="2" t="s">
        <v>89</v>
      </c>
    </row>
    <row r="2466" spans="1:90">
      <c r="A2466" s="2" t="s">
        <v>71</v>
      </c>
      <c r="B2466" s="2" t="s">
        <v>72</v>
      </c>
      <c r="C2466" s="2" t="s">
        <v>73</v>
      </c>
      <c r="E2466" s="2" t="str">
        <f>"FES1162594061"</f>
        <v>FES1162594061</v>
      </c>
      <c r="F2466" s="3">
        <v>43074</v>
      </c>
      <c r="G2466" s="2">
        <v>201806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106</v>
      </c>
      <c r="M2466" s="2" t="s">
        <v>107</v>
      </c>
      <c r="N2466" s="2" t="s">
        <v>1464</v>
      </c>
      <c r="O2466" s="2" t="s">
        <v>339</v>
      </c>
      <c r="P2466" s="2" t="str">
        <f>"2170606066                    "</f>
        <v xml:space="preserve">2170606066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7.88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8.4</v>
      </c>
      <c r="BJ2466" s="2">
        <v>14.6</v>
      </c>
      <c r="BK2466" s="2">
        <v>15</v>
      </c>
      <c r="BL2466" s="2">
        <v>62.96</v>
      </c>
      <c r="BM2466" s="2">
        <v>8.81</v>
      </c>
      <c r="BN2466" s="2">
        <v>71.77</v>
      </c>
      <c r="BO2466" s="2">
        <v>71.77</v>
      </c>
      <c r="BQ2466" s="2" t="s">
        <v>82</v>
      </c>
      <c r="BR2466" s="2" t="s">
        <v>83</v>
      </c>
      <c r="BS2466" s="3">
        <v>43076</v>
      </c>
      <c r="BT2466" s="4">
        <v>0.43402777777777773</v>
      </c>
      <c r="BU2466" s="2" t="s">
        <v>755</v>
      </c>
      <c r="BV2466" s="2" t="s">
        <v>89</v>
      </c>
      <c r="BW2466" s="2" t="s">
        <v>437</v>
      </c>
      <c r="BX2466" s="2" t="s">
        <v>1140</v>
      </c>
      <c r="BY2466" s="2">
        <v>73085</v>
      </c>
      <c r="BZ2466" s="2" t="s">
        <v>27</v>
      </c>
      <c r="CC2466" s="2" t="s">
        <v>107</v>
      </c>
      <c r="CD2466" s="2">
        <v>2091</v>
      </c>
      <c r="CE2466" s="2" t="s">
        <v>87</v>
      </c>
      <c r="CF2466" s="3">
        <v>43077</v>
      </c>
      <c r="CI2466" s="2">
        <v>1</v>
      </c>
      <c r="CJ2466" s="2">
        <v>2</v>
      </c>
      <c r="CK2466" s="2">
        <v>32</v>
      </c>
      <c r="CL2466" s="2" t="s">
        <v>89</v>
      </c>
    </row>
    <row r="2467" spans="1:90">
      <c r="A2467" s="2" t="s">
        <v>71</v>
      </c>
      <c r="B2467" s="2" t="s">
        <v>72</v>
      </c>
      <c r="C2467" s="2" t="s">
        <v>73</v>
      </c>
      <c r="E2467" s="2" t="str">
        <f>"FES1162595786"</f>
        <v>FES1162595786</v>
      </c>
      <c r="F2467" s="3">
        <v>43083</v>
      </c>
      <c r="G2467" s="2">
        <v>201806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325</v>
      </c>
      <c r="M2467" s="2" t="s">
        <v>326</v>
      </c>
      <c r="N2467" s="2" t="s">
        <v>1831</v>
      </c>
      <c r="O2467" s="2" t="s">
        <v>339</v>
      </c>
      <c r="P2467" s="2" t="str">
        <f>"2170602382                    "</f>
        <v xml:space="preserve">2170602382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11.76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4.7</v>
      </c>
      <c r="BJ2467" s="2">
        <v>1.6</v>
      </c>
      <c r="BK2467" s="2">
        <v>5</v>
      </c>
      <c r="BL2467" s="2">
        <v>83.98</v>
      </c>
      <c r="BM2467" s="2">
        <v>11.76</v>
      </c>
      <c r="BN2467" s="2">
        <v>95.74</v>
      </c>
      <c r="BO2467" s="2">
        <v>95.74</v>
      </c>
      <c r="BQ2467" s="2" t="s">
        <v>82</v>
      </c>
      <c r="BR2467" s="2" t="s">
        <v>83</v>
      </c>
      <c r="BS2467" s="3">
        <v>43084</v>
      </c>
      <c r="BT2467" s="4">
        <v>0.59722222222222221</v>
      </c>
      <c r="BU2467" s="2" t="s">
        <v>2521</v>
      </c>
      <c r="BV2467" s="2" t="s">
        <v>89</v>
      </c>
      <c r="BY2467" s="2">
        <v>8200.9599999999991</v>
      </c>
      <c r="BZ2467" s="2" t="s">
        <v>27</v>
      </c>
      <c r="CC2467" s="2" t="s">
        <v>326</v>
      </c>
      <c r="CD2467" s="2">
        <v>1961</v>
      </c>
      <c r="CE2467" s="2" t="s">
        <v>95</v>
      </c>
      <c r="CF2467" s="3">
        <v>43088</v>
      </c>
      <c r="CI2467" s="2">
        <v>1</v>
      </c>
      <c r="CJ2467" s="2">
        <v>1</v>
      </c>
      <c r="CK2467" s="2">
        <v>34</v>
      </c>
      <c r="CL2467" s="2" t="s">
        <v>89</v>
      </c>
    </row>
    <row r="2468" spans="1:90">
      <c r="A2468" s="2" t="s">
        <v>71</v>
      </c>
      <c r="B2468" s="2" t="s">
        <v>72</v>
      </c>
      <c r="C2468" s="2" t="s">
        <v>73</v>
      </c>
      <c r="E2468" s="2" t="str">
        <f>"FES1162596102"</f>
        <v>FES1162596102</v>
      </c>
      <c r="F2468" s="3">
        <v>43083</v>
      </c>
      <c r="G2468" s="2">
        <v>201806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115</v>
      </c>
      <c r="M2468" s="2" t="s">
        <v>116</v>
      </c>
      <c r="N2468" s="2" t="s">
        <v>283</v>
      </c>
      <c r="O2468" s="2" t="s">
        <v>339</v>
      </c>
      <c r="P2468" s="2" t="str">
        <f>"2170605852                    "</f>
        <v xml:space="preserve">2170605852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10.66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17.899999999999999</v>
      </c>
      <c r="BJ2468" s="2">
        <v>7.2</v>
      </c>
      <c r="BK2468" s="2">
        <v>18</v>
      </c>
      <c r="BL2468" s="2">
        <v>76.12</v>
      </c>
      <c r="BM2468" s="2">
        <v>10.66</v>
      </c>
      <c r="BN2468" s="2">
        <v>86.78</v>
      </c>
      <c r="BO2468" s="2">
        <v>86.78</v>
      </c>
      <c r="BQ2468" s="2" t="s">
        <v>82</v>
      </c>
      <c r="BR2468" s="2" t="s">
        <v>83</v>
      </c>
      <c r="BS2468" s="3">
        <v>43089</v>
      </c>
      <c r="BT2468" s="4">
        <v>0.4375</v>
      </c>
      <c r="BU2468" s="2" t="s">
        <v>579</v>
      </c>
      <c r="BV2468" s="2" t="s">
        <v>89</v>
      </c>
      <c r="BW2468" s="2" t="s">
        <v>149</v>
      </c>
      <c r="BX2468" s="2" t="s">
        <v>456</v>
      </c>
      <c r="BY2468" s="2">
        <v>35858.589999999997</v>
      </c>
      <c r="BZ2468" s="2" t="s">
        <v>27</v>
      </c>
      <c r="CC2468" s="2" t="s">
        <v>116</v>
      </c>
      <c r="CD2468" s="2">
        <v>1459</v>
      </c>
      <c r="CE2468" s="2" t="s">
        <v>87</v>
      </c>
      <c r="CF2468" s="3">
        <v>43090</v>
      </c>
      <c r="CI2468" s="2">
        <v>1</v>
      </c>
      <c r="CJ2468" s="2">
        <v>4</v>
      </c>
      <c r="CK2468" s="2">
        <v>32</v>
      </c>
      <c r="CL2468" s="2" t="s">
        <v>89</v>
      </c>
    </row>
    <row r="2469" spans="1:90">
      <c r="A2469" s="2" t="s">
        <v>71</v>
      </c>
      <c r="B2469" s="2" t="s">
        <v>72</v>
      </c>
      <c r="C2469" s="2" t="s">
        <v>73</v>
      </c>
      <c r="E2469" s="2" t="str">
        <f>"FES1162595904"</f>
        <v>FES1162595904</v>
      </c>
      <c r="F2469" s="3">
        <v>43083</v>
      </c>
      <c r="G2469" s="2">
        <v>201806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440</v>
      </c>
      <c r="M2469" s="2" t="s">
        <v>441</v>
      </c>
      <c r="N2469" s="2" t="s">
        <v>1844</v>
      </c>
      <c r="O2469" s="2" t="s">
        <v>339</v>
      </c>
      <c r="P2469" s="2" t="str">
        <f>"2170607733                    "</f>
        <v xml:space="preserve">2170607733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9.0500000000000007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4</v>
      </c>
      <c r="BJ2469" s="2">
        <v>0.2</v>
      </c>
      <c r="BK2469" s="2">
        <v>4</v>
      </c>
      <c r="BL2469" s="2">
        <v>64.599999999999994</v>
      </c>
      <c r="BM2469" s="2">
        <v>9.0399999999999991</v>
      </c>
      <c r="BN2469" s="2">
        <v>73.64</v>
      </c>
      <c r="BO2469" s="2">
        <v>73.64</v>
      </c>
      <c r="BQ2469" s="2" t="s">
        <v>82</v>
      </c>
      <c r="BR2469" s="2" t="s">
        <v>83</v>
      </c>
      <c r="BS2469" s="3">
        <v>43084</v>
      </c>
      <c r="BT2469" s="4">
        <v>0.43402777777777773</v>
      </c>
      <c r="BU2469" s="2" t="s">
        <v>2399</v>
      </c>
      <c r="BV2469" s="2" t="s">
        <v>85</v>
      </c>
      <c r="BY2469" s="2">
        <v>1200</v>
      </c>
      <c r="BZ2469" s="2" t="s">
        <v>27</v>
      </c>
      <c r="CC2469" s="2" t="s">
        <v>441</v>
      </c>
      <c r="CD2469" s="2">
        <v>1759</v>
      </c>
      <c r="CE2469" s="2" t="s">
        <v>120</v>
      </c>
      <c r="CF2469" s="3">
        <v>43088</v>
      </c>
      <c r="CI2469" s="2">
        <v>1</v>
      </c>
      <c r="CJ2469" s="2">
        <v>1</v>
      </c>
      <c r="CK2469" s="2">
        <v>34</v>
      </c>
      <c r="CL2469" s="2" t="s">
        <v>89</v>
      </c>
    </row>
    <row r="2470" spans="1:90">
      <c r="A2470" s="2" t="s">
        <v>71</v>
      </c>
      <c r="B2470" s="2" t="s">
        <v>72</v>
      </c>
      <c r="C2470" s="2" t="s">
        <v>73</v>
      </c>
      <c r="E2470" s="2" t="str">
        <f>"FES1162595989"</f>
        <v>FES1162595989</v>
      </c>
      <c r="F2470" s="3">
        <v>43083</v>
      </c>
      <c r="G2470" s="2">
        <v>201806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277</v>
      </c>
      <c r="M2470" s="2" t="s">
        <v>278</v>
      </c>
      <c r="N2470" s="2" t="s">
        <v>2613</v>
      </c>
      <c r="O2470" s="2" t="s">
        <v>339</v>
      </c>
      <c r="P2470" s="2" t="str">
        <f>"2170604332                    "</f>
        <v xml:space="preserve">2170604332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7.28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2</v>
      </c>
      <c r="BI2470" s="2">
        <v>5.5</v>
      </c>
      <c r="BJ2470" s="2">
        <v>11.9</v>
      </c>
      <c r="BK2470" s="2">
        <v>12</v>
      </c>
      <c r="BL2470" s="2">
        <v>51.98</v>
      </c>
      <c r="BM2470" s="2">
        <v>7.28</v>
      </c>
      <c r="BN2470" s="2">
        <v>59.26</v>
      </c>
      <c r="BO2470" s="2">
        <v>59.26</v>
      </c>
      <c r="BQ2470" s="2" t="s">
        <v>82</v>
      </c>
      <c r="BR2470" s="2" t="s">
        <v>83</v>
      </c>
      <c r="BS2470" s="3">
        <v>43087</v>
      </c>
      <c r="BT2470" s="4">
        <v>0.61388888888888882</v>
      </c>
      <c r="BU2470" s="2" t="s">
        <v>2614</v>
      </c>
      <c r="BV2470" s="2" t="s">
        <v>89</v>
      </c>
      <c r="BY2470" s="2">
        <v>59706.52</v>
      </c>
      <c r="BZ2470" s="2" t="s">
        <v>27</v>
      </c>
      <c r="CA2470" s="2" t="s">
        <v>2615</v>
      </c>
      <c r="CC2470" s="2" t="s">
        <v>278</v>
      </c>
      <c r="CD2470" s="2">
        <v>2163</v>
      </c>
      <c r="CE2470" s="2" t="s">
        <v>95</v>
      </c>
      <c r="CF2470" s="3">
        <v>43091</v>
      </c>
      <c r="CI2470" s="2">
        <v>1</v>
      </c>
      <c r="CJ2470" s="2">
        <v>2</v>
      </c>
      <c r="CK2470" s="2">
        <v>32</v>
      </c>
      <c r="CL2470" s="2" t="s">
        <v>89</v>
      </c>
    </row>
    <row r="2471" spans="1:90">
      <c r="A2471" s="2" t="s">
        <v>71</v>
      </c>
      <c r="B2471" s="2" t="s">
        <v>72</v>
      </c>
      <c r="C2471" s="2" t="s">
        <v>73</v>
      </c>
      <c r="E2471" s="2" t="str">
        <f>"FES1162595415"</f>
        <v>FES1162595415</v>
      </c>
      <c r="F2471" s="3">
        <v>43082</v>
      </c>
      <c r="G2471" s="2">
        <v>201806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295</v>
      </c>
      <c r="M2471" s="2" t="s">
        <v>296</v>
      </c>
      <c r="N2471" s="2" t="s">
        <v>657</v>
      </c>
      <c r="O2471" s="2" t="s">
        <v>339</v>
      </c>
      <c r="P2471" s="2" t="str">
        <f>"2170607254                    "</f>
        <v xml:space="preserve">2170607254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9.0500000000000007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2.7</v>
      </c>
      <c r="BJ2471" s="2">
        <v>1.6</v>
      </c>
      <c r="BK2471" s="2">
        <v>3</v>
      </c>
      <c r="BL2471" s="2">
        <v>64.599999999999994</v>
      </c>
      <c r="BM2471" s="2">
        <v>9.0399999999999991</v>
      </c>
      <c r="BN2471" s="2">
        <v>73.64</v>
      </c>
      <c r="BO2471" s="2">
        <v>73.64</v>
      </c>
      <c r="BQ2471" s="2" t="s">
        <v>82</v>
      </c>
      <c r="BR2471" s="2" t="s">
        <v>83</v>
      </c>
      <c r="BS2471" s="3">
        <v>43083</v>
      </c>
      <c r="BT2471" s="4">
        <v>0.52916666666666667</v>
      </c>
      <c r="BU2471" s="2" t="s">
        <v>2616</v>
      </c>
      <c r="BV2471" s="2" t="s">
        <v>85</v>
      </c>
      <c r="BY2471" s="2">
        <v>8089.26</v>
      </c>
      <c r="BZ2471" s="2" t="s">
        <v>27</v>
      </c>
      <c r="CC2471" s="2" t="s">
        <v>296</v>
      </c>
      <c r="CD2471" s="2">
        <v>208</v>
      </c>
      <c r="CE2471" s="2" t="s">
        <v>95</v>
      </c>
      <c r="CF2471" s="3">
        <v>43089</v>
      </c>
      <c r="CI2471" s="2">
        <v>1</v>
      </c>
      <c r="CJ2471" s="2">
        <v>1</v>
      </c>
      <c r="CK2471" s="2">
        <v>34</v>
      </c>
      <c r="CL2471" s="2" t="s">
        <v>89</v>
      </c>
    </row>
    <row r="2472" spans="1:90">
      <c r="A2472" s="2" t="s">
        <v>71</v>
      </c>
      <c r="B2472" s="2" t="s">
        <v>72</v>
      </c>
      <c r="C2472" s="2" t="s">
        <v>73</v>
      </c>
      <c r="E2472" s="2" t="str">
        <f>"FES1162596052"</f>
        <v>FES1162596052</v>
      </c>
      <c r="F2472" s="3">
        <v>43083</v>
      </c>
      <c r="G2472" s="2">
        <v>201806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121</v>
      </c>
      <c r="M2472" s="2" t="s">
        <v>122</v>
      </c>
      <c r="N2472" s="2" t="s">
        <v>2495</v>
      </c>
      <c r="O2472" s="2" t="s">
        <v>339</v>
      </c>
      <c r="P2472" s="2" t="str">
        <f>"2170607777                    "</f>
        <v xml:space="preserve">2170607777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17.2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6</v>
      </c>
      <c r="BJ2472" s="2">
        <v>6.8</v>
      </c>
      <c r="BK2472" s="2">
        <v>7</v>
      </c>
      <c r="BL2472" s="2">
        <v>122.76</v>
      </c>
      <c r="BM2472" s="2">
        <v>17.190000000000001</v>
      </c>
      <c r="BN2472" s="2">
        <v>139.94999999999999</v>
      </c>
      <c r="BO2472" s="2">
        <v>139.94999999999999</v>
      </c>
      <c r="BQ2472" s="2" t="s">
        <v>82</v>
      </c>
      <c r="BR2472" s="2" t="s">
        <v>83</v>
      </c>
      <c r="BS2472" s="3">
        <v>43084</v>
      </c>
      <c r="BT2472" s="4">
        <v>0.41666666666666669</v>
      </c>
      <c r="BU2472" s="2" t="s">
        <v>2617</v>
      </c>
      <c r="BV2472" s="2" t="s">
        <v>85</v>
      </c>
      <c r="BY2472" s="2">
        <v>33750</v>
      </c>
      <c r="BZ2472" s="2" t="s">
        <v>27</v>
      </c>
      <c r="CC2472" s="2" t="s">
        <v>122</v>
      </c>
      <c r="CD2472" s="2">
        <v>2200</v>
      </c>
      <c r="CE2472" s="2" t="s">
        <v>356</v>
      </c>
      <c r="CF2472" s="3">
        <v>43088</v>
      </c>
      <c r="CI2472" s="2">
        <v>1</v>
      </c>
      <c r="CJ2472" s="2">
        <v>1</v>
      </c>
      <c r="CK2472" s="2">
        <v>34</v>
      </c>
      <c r="CL2472" s="2" t="s">
        <v>89</v>
      </c>
    </row>
    <row r="2473" spans="1:90">
      <c r="A2473" s="2" t="s">
        <v>71</v>
      </c>
      <c r="B2473" s="2" t="s">
        <v>72</v>
      </c>
      <c r="C2473" s="2" t="s">
        <v>73</v>
      </c>
      <c r="E2473" s="2" t="str">
        <f>"FES1162593504"</f>
        <v>FES1162593504</v>
      </c>
      <c r="F2473" s="3">
        <v>43073</v>
      </c>
      <c r="G2473" s="2">
        <v>201806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1278</v>
      </c>
      <c r="M2473" s="2" t="s">
        <v>1279</v>
      </c>
      <c r="N2473" s="2" t="s">
        <v>1280</v>
      </c>
      <c r="O2473" s="2" t="s">
        <v>339</v>
      </c>
      <c r="P2473" s="2" t="str">
        <f>"2170605481                    "</f>
        <v xml:space="preserve">2170605481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15.1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6.1</v>
      </c>
      <c r="BJ2473" s="2">
        <v>3.4</v>
      </c>
      <c r="BK2473" s="2">
        <v>7</v>
      </c>
      <c r="BL2473" s="2">
        <v>120.66</v>
      </c>
      <c r="BM2473" s="2">
        <v>16.89</v>
      </c>
      <c r="BN2473" s="2">
        <v>137.55000000000001</v>
      </c>
      <c r="BO2473" s="2">
        <v>137.55000000000001</v>
      </c>
      <c r="BQ2473" s="2" t="s">
        <v>82</v>
      </c>
      <c r="BR2473" s="2" t="s">
        <v>83</v>
      </c>
      <c r="BS2473" s="3">
        <v>43074</v>
      </c>
      <c r="BT2473" s="4">
        <v>0.34930555555555554</v>
      </c>
      <c r="BU2473" s="2" t="s">
        <v>2618</v>
      </c>
      <c r="BV2473" s="2" t="s">
        <v>85</v>
      </c>
      <c r="BY2473" s="2">
        <v>16838.560000000001</v>
      </c>
      <c r="BZ2473" s="2" t="s">
        <v>27</v>
      </c>
      <c r="CA2473" s="2" t="s">
        <v>1282</v>
      </c>
      <c r="CC2473" s="2" t="s">
        <v>1279</v>
      </c>
      <c r="CD2473" s="2">
        <v>2410</v>
      </c>
      <c r="CE2473" s="2" t="s">
        <v>95</v>
      </c>
      <c r="CF2473" s="3">
        <v>43076</v>
      </c>
      <c r="CI2473" s="2">
        <v>1</v>
      </c>
      <c r="CJ2473" s="2">
        <v>1</v>
      </c>
      <c r="CK2473" s="2">
        <v>34</v>
      </c>
      <c r="CL2473" s="2" t="s">
        <v>89</v>
      </c>
    </row>
    <row r="2474" spans="1:90">
      <c r="A2474" s="2" t="s">
        <v>71</v>
      </c>
      <c r="B2474" s="2" t="s">
        <v>72</v>
      </c>
      <c r="C2474" s="2" t="s">
        <v>73</v>
      </c>
      <c r="E2474" s="2" t="str">
        <f>"FES1162594388"</f>
        <v>FES1162594388</v>
      </c>
      <c r="F2474" s="3">
        <v>43076</v>
      </c>
      <c r="G2474" s="2">
        <v>201806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74</v>
      </c>
      <c r="M2474" s="2" t="s">
        <v>75</v>
      </c>
      <c r="N2474" s="2" t="s">
        <v>503</v>
      </c>
      <c r="O2474" s="2" t="s">
        <v>81</v>
      </c>
      <c r="P2474" s="2" t="str">
        <f>"2170606242                    "</f>
        <v xml:space="preserve">2170606242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10.26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8.1</v>
      </c>
      <c r="BJ2474" s="2">
        <v>18.7</v>
      </c>
      <c r="BK2474" s="2">
        <v>19</v>
      </c>
      <c r="BL2474" s="2">
        <v>78.25</v>
      </c>
      <c r="BM2474" s="2">
        <v>10.96</v>
      </c>
      <c r="BN2474" s="2">
        <v>89.21</v>
      </c>
      <c r="BO2474" s="2">
        <v>89.21</v>
      </c>
      <c r="BQ2474" s="2" t="s">
        <v>128</v>
      </c>
      <c r="BR2474" s="2" t="s">
        <v>83</v>
      </c>
      <c r="BS2474" s="3">
        <v>43077</v>
      </c>
      <c r="BT2474" s="4">
        <v>0.4375</v>
      </c>
      <c r="BU2474" s="2" t="s">
        <v>2619</v>
      </c>
      <c r="BV2474" s="2" t="s">
        <v>85</v>
      </c>
      <c r="BY2474" s="2">
        <v>93338.57</v>
      </c>
      <c r="CC2474" s="2" t="s">
        <v>75</v>
      </c>
      <c r="CD2474" s="2">
        <v>1665</v>
      </c>
      <c r="CE2474" s="2" t="s">
        <v>95</v>
      </c>
      <c r="CF2474" s="3">
        <v>43080</v>
      </c>
      <c r="CI2474" s="2">
        <v>1</v>
      </c>
      <c r="CJ2474" s="2">
        <v>1</v>
      </c>
      <c r="CK2474" s="2" t="s">
        <v>96</v>
      </c>
      <c r="CL2474" s="2" t="s">
        <v>89</v>
      </c>
    </row>
    <row r="2475" spans="1:90">
      <c r="A2475" s="2" t="s">
        <v>71</v>
      </c>
      <c r="B2475" s="2" t="s">
        <v>72</v>
      </c>
      <c r="C2475" s="2" t="s">
        <v>73</v>
      </c>
      <c r="E2475" s="2" t="str">
        <f>"FES1162594427"</f>
        <v>FES1162594427</v>
      </c>
      <c r="F2475" s="3">
        <v>43076</v>
      </c>
      <c r="G2475" s="2">
        <v>201806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189</v>
      </c>
      <c r="M2475" s="2" t="s">
        <v>190</v>
      </c>
      <c r="N2475" s="2" t="s">
        <v>2620</v>
      </c>
      <c r="O2475" s="2" t="s">
        <v>81</v>
      </c>
      <c r="P2475" s="2" t="str">
        <f>"2170605891                    "</f>
        <v xml:space="preserve">2170605891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11.06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4</v>
      </c>
      <c r="BJ2475" s="2">
        <v>2.5</v>
      </c>
      <c r="BK2475" s="2">
        <v>4</v>
      </c>
      <c r="BL2475" s="2">
        <v>83.95</v>
      </c>
      <c r="BM2475" s="2">
        <v>11.75</v>
      </c>
      <c r="BN2475" s="2">
        <v>95.7</v>
      </c>
      <c r="BO2475" s="2">
        <v>95.7</v>
      </c>
      <c r="BQ2475" s="2" t="s">
        <v>82</v>
      </c>
      <c r="BR2475" s="2" t="s">
        <v>83</v>
      </c>
      <c r="BS2475" s="3">
        <v>43077</v>
      </c>
      <c r="BT2475" s="4">
        <v>0.40625</v>
      </c>
      <c r="BU2475" s="2" t="s">
        <v>2621</v>
      </c>
      <c r="BY2475" s="2">
        <v>12740</v>
      </c>
      <c r="CC2475" s="2" t="s">
        <v>190</v>
      </c>
      <c r="CD2475" s="2">
        <v>157</v>
      </c>
      <c r="CE2475" s="2" t="s">
        <v>95</v>
      </c>
      <c r="CF2475" s="3">
        <v>43080</v>
      </c>
      <c r="CI2475" s="2">
        <v>0</v>
      </c>
      <c r="CJ2475" s="2">
        <v>0</v>
      </c>
      <c r="CK2475" s="2" t="s">
        <v>289</v>
      </c>
      <c r="CL2475" s="2" t="s">
        <v>89</v>
      </c>
    </row>
    <row r="2476" spans="1:90">
      <c r="A2476" s="2" t="s">
        <v>71</v>
      </c>
      <c r="B2476" s="2" t="s">
        <v>72</v>
      </c>
      <c r="C2476" s="2" t="s">
        <v>73</v>
      </c>
      <c r="E2476" s="2" t="str">
        <f>"FES1162593259"</f>
        <v>FES1162593259</v>
      </c>
      <c r="F2476" s="3">
        <v>43070</v>
      </c>
      <c r="G2476" s="2">
        <v>201806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285</v>
      </c>
      <c r="M2476" s="2" t="s">
        <v>159</v>
      </c>
      <c r="N2476" s="2" t="s">
        <v>700</v>
      </c>
      <c r="O2476" s="2" t="s">
        <v>81</v>
      </c>
      <c r="P2476" s="2" t="str">
        <f>"2170600785                    "</f>
        <v xml:space="preserve">2170600785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9.7100000000000009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4.4000000000000004</v>
      </c>
      <c r="BJ2476" s="2">
        <v>1.4</v>
      </c>
      <c r="BK2476" s="2">
        <v>5</v>
      </c>
      <c r="BL2476" s="2">
        <v>82.6</v>
      </c>
      <c r="BM2476" s="2">
        <v>11.56</v>
      </c>
      <c r="BN2476" s="2">
        <v>94.16</v>
      </c>
      <c r="BO2476" s="2">
        <v>94.16</v>
      </c>
      <c r="BQ2476" s="2" t="s">
        <v>82</v>
      </c>
      <c r="BR2476" s="2" t="s">
        <v>83</v>
      </c>
      <c r="BS2476" s="3">
        <v>43073</v>
      </c>
      <c r="BT2476" s="4">
        <v>0.40972222222222227</v>
      </c>
      <c r="BU2476" s="2" t="s">
        <v>701</v>
      </c>
      <c r="BV2476" s="2" t="s">
        <v>85</v>
      </c>
      <c r="BY2476" s="2">
        <v>7218.07</v>
      </c>
      <c r="CA2476" s="2" t="s">
        <v>702</v>
      </c>
      <c r="CC2476" s="2" t="s">
        <v>159</v>
      </c>
      <c r="CD2476" s="2">
        <v>184</v>
      </c>
      <c r="CE2476" s="2" t="s">
        <v>95</v>
      </c>
      <c r="CF2476" s="3">
        <v>43075</v>
      </c>
      <c r="CI2476" s="2">
        <v>0</v>
      </c>
      <c r="CJ2476" s="2">
        <v>0</v>
      </c>
      <c r="CK2476" s="2" t="s">
        <v>289</v>
      </c>
      <c r="CL2476" s="2" t="s">
        <v>89</v>
      </c>
    </row>
    <row r="2477" spans="1:90">
      <c r="A2477" s="2" t="s">
        <v>71</v>
      </c>
      <c r="B2477" s="2" t="s">
        <v>72</v>
      </c>
      <c r="C2477" s="2" t="s">
        <v>73</v>
      </c>
      <c r="E2477" s="2" t="str">
        <f>"FES1162593079"</f>
        <v>FES1162593079</v>
      </c>
      <c r="F2477" s="3">
        <v>43070</v>
      </c>
      <c r="G2477" s="2">
        <v>201806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462</v>
      </c>
      <c r="M2477" s="2" t="s">
        <v>463</v>
      </c>
      <c r="N2477" s="2" t="s">
        <v>464</v>
      </c>
      <c r="O2477" s="2" t="s">
        <v>81</v>
      </c>
      <c r="P2477" s="2" t="str">
        <f>"2170605435                    "</f>
        <v xml:space="preserve">2170605435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14.04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19.600000000000001</v>
      </c>
      <c r="BJ2477" s="2">
        <v>9</v>
      </c>
      <c r="BK2477" s="2">
        <v>20</v>
      </c>
      <c r="BL2477" s="2">
        <v>117.2</v>
      </c>
      <c r="BM2477" s="2">
        <v>16.41</v>
      </c>
      <c r="BN2477" s="2">
        <v>133.61000000000001</v>
      </c>
      <c r="BO2477" s="2">
        <v>133.61000000000001</v>
      </c>
      <c r="BQ2477" s="2" t="s">
        <v>82</v>
      </c>
      <c r="BR2477" s="2" t="s">
        <v>83</v>
      </c>
      <c r="BS2477" s="3">
        <v>43073</v>
      </c>
      <c r="BT2477" s="4">
        <v>0.57777777777777783</v>
      </c>
      <c r="BU2477" s="2" t="s">
        <v>466</v>
      </c>
      <c r="BV2477" s="2" t="s">
        <v>85</v>
      </c>
      <c r="BY2477" s="2">
        <v>45123.61</v>
      </c>
      <c r="CA2477" s="2" t="s">
        <v>542</v>
      </c>
      <c r="CC2477" s="2" t="s">
        <v>463</v>
      </c>
      <c r="CD2477" s="2">
        <v>7130</v>
      </c>
      <c r="CE2477" s="2" t="s">
        <v>95</v>
      </c>
      <c r="CF2477" s="3">
        <v>43074</v>
      </c>
      <c r="CI2477" s="2">
        <v>2</v>
      </c>
      <c r="CJ2477" s="2">
        <v>1</v>
      </c>
      <c r="CK2477" s="2" t="s">
        <v>271</v>
      </c>
      <c r="CL2477" s="2" t="s">
        <v>89</v>
      </c>
    </row>
    <row r="2478" spans="1:90">
      <c r="A2478" s="2" t="s">
        <v>71</v>
      </c>
      <c r="B2478" s="2" t="s">
        <v>72</v>
      </c>
      <c r="C2478" s="2" t="s">
        <v>73</v>
      </c>
      <c r="E2478" s="2" t="str">
        <f>"FES1162595112"</f>
        <v>FES1162595112</v>
      </c>
      <c r="F2478" s="3">
        <v>43081</v>
      </c>
      <c r="G2478" s="2">
        <v>201806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121</v>
      </c>
      <c r="M2478" s="2" t="s">
        <v>122</v>
      </c>
      <c r="N2478" s="2" t="s">
        <v>511</v>
      </c>
      <c r="O2478" s="2" t="s">
        <v>81</v>
      </c>
      <c r="P2478" s="2" t="str">
        <f>"2170607011                    "</f>
        <v xml:space="preserve">2170607011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19.13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20.100000000000001</v>
      </c>
      <c r="BJ2478" s="2">
        <v>30.6</v>
      </c>
      <c r="BK2478" s="2">
        <v>31</v>
      </c>
      <c r="BL2478" s="2">
        <v>141.55000000000001</v>
      </c>
      <c r="BM2478" s="2">
        <v>19.82</v>
      </c>
      <c r="BN2478" s="2">
        <v>161.37</v>
      </c>
      <c r="BO2478" s="2">
        <v>161.37</v>
      </c>
      <c r="BQ2478" s="2" t="s">
        <v>82</v>
      </c>
      <c r="BR2478" s="2" t="s">
        <v>83</v>
      </c>
      <c r="BS2478" s="3">
        <v>43083</v>
      </c>
      <c r="BT2478" s="4">
        <v>0.4236111111111111</v>
      </c>
      <c r="BU2478" s="2" t="s">
        <v>114</v>
      </c>
      <c r="BV2478" s="2" t="s">
        <v>89</v>
      </c>
      <c r="BW2478" s="2" t="s">
        <v>149</v>
      </c>
      <c r="BX2478" s="2" t="s">
        <v>292</v>
      </c>
      <c r="BY2478" s="2">
        <v>152975.20000000001</v>
      </c>
      <c r="CC2478" s="2" t="s">
        <v>122</v>
      </c>
      <c r="CD2478" s="2">
        <v>2200</v>
      </c>
      <c r="CE2478" s="2" t="s">
        <v>95</v>
      </c>
      <c r="CF2478" s="3">
        <v>43084</v>
      </c>
      <c r="CI2478" s="2">
        <v>1</v>
      </c>
      <c r="CJ2478" s="2">
        <v>2</v>
      </c>
      <c r="CK2478" s="2" t="s">
        <v>88</v>
      </c>
      <c r="CL2478" s="2" t="s">
        <v>89</v>
      </c>
    </row>
    <row r="2479" spans="1:90">
      <c r="A2479" s="2" t="s">
        <v>71</v>
      </c>
      <c r="B2479" s="2" t="s">
        <v>72</v>
      </c>
      <c r="C2479" s="2" t="s">
        <v>73</v>
      </c>
      <c r="E2479" s="2" t="str">
        <f>"FES1162594815"</f>
        <v>FES1162594815</v>
      </c>
      <c r="F2479" s="3">
        <v>43080</v>
      </c>
      <c r="G2479" s="2">
        <v>201806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440</v>
      </c>
      <c r="M2479" s="2" t="s">
        <v>441</v>
      </c>
      <c r="N2479" s="2" t="s">
        <v>442</v>
      </c>
      <c r="O2479" s="2" t="s">
        <v>81</v>
      </c>
      <c r="P2479" s="2" t="str">
        <f>"2170606692                    "</f>
        <v xml:space="preserve">2170606692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9.66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2</v>
      </c>
      <c r="BI2479" s="2">
        <v>17</v>
      </c>
      <c r="BJ2479" s="2">
        <v>5.8</v>
      </c>
      <c r="BK2479" s="2">
        <v>17</v>
      </c>
      <c r="BL2479" s="2">
        <v>73.930000000000007</v>
      </c>
      <c r="BM2479" s="2">
        <v>10.35</v>
      </c>
      <c r="BN2479" s="2">
        <v>84.28</v>
      </c>
      <c r="BO2479" s="2">
        <v>84.28</v>
      </c>
      <c r="BQ2479" s="2" t="s">
        <v>82</v>
      </c>
      <c r="BR2479" s="2" t="s">
        <v>83</v>
      </c>
      <c r="BS2479" s="3">
        <v>43081</v>
      </c>
      <c r="BT2479" s="4">
        <v>0.4236111111111111</v>
      </c>
      <c r="BU2479" s="2" t="s">
        <v>443</v>
      </c>
      <c r="BV2479" s="2" t="s">
        <v>85</v>
      </c>
      <c r="BY2479" s="2">
        <v>28955</v>
      </c>
      <c r="CC2479" s="2" t="s">
        <v>441</v>
      </c>
      <c r="CD2479" s="2">
        <v>1759</v>
      </c>
      <c r="CE2479" s="2" t="s">
        <v>87</v>
      </c>
      <c r="CF2479" s="3">
        <v>43082</v>
      </c>
      <c r="CI2479" s="2">
        <v>1</v>
      </c>
      <c r="CJ2479" s="2">
        <v>1</v>
      </c>
      <c r="CK2479" s="2" t="s">
        <v>96</v>
      </c>
      <c r="CL2479" s="2" t="s">
        <v>89</v>
      </c>
    </row>
    <row r="2480" spans="1:90">
      <c r="A2480" s="2" t="s">
        <v>71</v>
      </c>
      <c r="B2480" s="2" t="s">
        <v>72</v>
      </c>
      <c r="C2480" s="2" t="s">
        <v>73</v>
      </c>
      <c r="E2480" s="2" t="str">
        <f>"FES1162592492"</f>
        <v>FES1162592492</v>
      </c>
      <c r="F2480" s="3">
        <v>43068</v>
      </c>
      <c r="G2480" s="2">
        <v>201806</v>
      </c>
      <c r="H2480" s="2" t="s">
        <v>74</v>
      </c>
      <c r="I2480" s="2" t="s">
        <v>75</v>
      </c>
      <c r="J2480" s="2" t="s">
        <v>97</v>
      </c>
      <c r="K2480" s="2" t="s">
        <v>77</v>
      </c>
      <c r="L2480" s="2" t="s">
        <v>158</v>
      </c>
      <c r="M2480" s="2" t="s">
        <v>159</v>
      </c>
      <c r="N2480" s="2" t="s">
        <v>1320</v>
      </c>
      <c r="O2480" s="2" t="s">
        <v>81</v>
      </c>
      <c r="P2480" s="2" t="str">
        <f>"2170598765                    "</f>
        <v xml:space="preserve">2170598765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10.01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2</v>
      </c>
      <c r="BI2480" s="2">
        <v>15.9</v>
      </c>
      <c r="BJ2480" s="2">
        <v>5.0999999999999996</v>
      </c>
      <c r="BK2480" s="2">
        <v>16</v>
      </c>
      <c r="BL2480" s="2">
        <v>85</v>
      </c>
      <c r="BM2480" s="2">
        <v>11.9</v>
      </c>
      <c r="BN2480" s="2">
        <v>96.9</v>
      </c>
      <c r="BO2480" s="2">
        <v>96.9</v>
      </c>
      <c r="BQ2480" s="2" t="s">
        <v>102</v>
      </c>
      <c r="BR2480" s="2" t="s">
        <v>103</v>
      </c>
      <c r="BS2480" s="3">
        <v>43069</v>
      </c>
      <c r="BT2480" s="4">
        <v>0.3888888888888889</v>
      </c>
      <c r="BU2480" s="2" t="s">
        <v>2622</v>
      </c>
      <c r="BY2480" s="2">
        <v>25737.35</v>
      </c>
      <c r="CC2480" s="2" t="s">
        <v>159</v>
      </c>
      <c r="CD2480" s="2">
        <v>117</v>
      </c>
      <c r="CE2480" s="2" t="s">
        <v>282</v>
      </c>
      <c r="CF2480" s="3">
        <v>43073</v>
      </c>
      <c r="CI2480" s="2">
        <v>0</v>
      </c>
      <c r="CJ2480" s="2">
        <v>0</v>
      </c>
      <c r="CK2480" s="2" t="s">
        <v>289</v>
      </c>
      <c r="CL2480" s="2" t="s">
        <v>89</v>
      </c>
    </row>
    <row r="2481" spans="1:90">
      <c r="A2481" s="2" t="s">
        <v>71</v>
      </c>
      <c r="B2481" s="2" t="s">
        <v>72</v>
      </c>
      <c r="C2481" s="2" t="s">
        <v>73</v>
      </c>
      <c r="E2481" s="2" t="str">
        <f>"FES1162592228"</f>
        <v>FES1162592228</v>
      </c>
      <c r="F2481" s="3">
        <v>43068</v>
      </c>
      <c r="G2481" s="2">
        <v>201806</v>
      </c>
      <c r="H2481" s="2" t="s">
        <v>74</v>
      </c>
      <c r="I2481" s="2" t="s">
        <v>75</v>
      </c>
      <c r="J2481" s="2" t="s">
        <v>97</v>
      </c>
      <c r="K2481" s="2" t="s">
        <v>77</v>
      </c>
      <c r="L2481" s="2" t="s">
        <v>115</v>
      </c>
      <c r="M2481" s="2" t="s">
        <v>116</v>
      </c>
      <c r="N2481" s="2" t="s">
        <v>724</v>
      </c>
      <c r="O2481" s="2" t="s">
        <v>81</v>
      </c>
      <c r="P2481" s="2" t="str">
        <f>"2170602428                    "</f>
        <v xml:space="preserve">2170602428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10.34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23.1</v>
      </c>
      <c r="BJ2481" s="2">
        <v>10.199999999999999</v>
      </c>
      <c r="BK2481" s="2">
        <v>24</v>
      </c>
      <c r="BL2481" s="2">
        <v>87.63</v>
      </c>
      <c r="BM2481" s="2">
        <v>12.27</v>
      </c>
      <c r="BN2481" s="2">
        <v>99.9</v>
      </c>
      <c r="BO2481" s="2">
        <v>99.9</v>
      </c>
      <c r="BQ2481" s="2" t="s">
        <v>229</v>
      </c>
      <c r="BR2481" s="2" t="s">
        <v>103</v>
      </c>
      <c r="BS2481" s="3">
        <v>43069</v>
      </c>
      <c r="BT2481" s="4">
        <v>0.41666666666666669</v>
      </c>
      <c r="BU2481" s="2" t="s">
        <v>2623</v>
      </c>
      <c r="BV2481" s="2" t="s">
        <v>85</v>
      </c>
      <c r="BY2481" s="2">
        <v>51154.6</v>
      </c>
      <c r="CC2481" s="2" t="s">
        <v>116</v>
      </c>
      <c r="CD2481" s="2">
        <v>1459</v>
      </c>
      <c r="CE2481" s="2" t="s">
        <v>288</v>
      </c>
      <c r="CF2481" s="3">
        <v>43073</v>
      </c>
      <c r="CI2481" s="2">
        <v>1</v>
      </c>
      <c r="CJ2481" s="2">
        <v>1</v>
      </c>
      <c r="CK2481" s="2" t="s">
        <v>96</v>
      </c>
      <c r="CL2481" s="2" t="s">
        <v>89</v>
      </c>
    </row>
    <row r="2482" spans="1:90">
      <c r="A2482" s="2" t="s">
        <v>71</v>
      </c>
      <c r="B2482" s="2" t="s">
        <v>72</v>
      </c>
      <c r="C2482" s="2" t="s">
        <v>73</v>
      </c>
      <c r="E2482" s="2" t="str">
        <f>"FES1162592240"</f>
        <v>FES1162592240</v>
      </c>
      <c r="F2482" s="3">
        <v>43068</v>
      </c>
      <c r="G2482" s="2">
        <v>201806</v>
      </c>
      <c r="H2482" s="2" t="s">
        <v>74</v>
      </c>
      <c r="I2482" s="2" t="s">
        <v>75</v>
      </c>
      <c r="J2482" s="2" t="s">
        <v>97</v>
      </c>
      <c r="K2482" s="2" t="s">
        <v>77</v>
      </c>
      <c r="L2482" s="2" t="s">
        <v>74</v>
      </c>
      <c r="M2482" s="2" t="s">
        <v>75</v>
      </c>
      <c r="N2482" s="2" t="s">
        <v>396</v>
      </c>
      <c r="O2482" s="2" t="s">
        <v>81</v>
      </c>
      <c r="P2482" s="2" t="str">
        <f>"2170602525                    "</f>
        <v xml:space="preserve">2170602525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18.850000000000001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3</v>
      </c>
      <c r="BI2482" s="2">
        <v>55.7</v>
      </c>
      <c r="BJ2482" s="2">
        <v>5.6</v>
      </c>
      <c r="BK2482" s="2">
        <v>56</v>
      </c>
      <c r="BL2482" s="2">
        <v>155.66</v>
      </c>
      <c r="BM2482" s="2">
        <v>21.79</v>
      </c>
      <c r="BN2482" s="2">
        <v>177.45</v>
      </c>
      <c r="BO2482" s="2">
        <v>177.45</v>
      </c>
      <c r="BQ2482" s="2" t="s">
        <v>102</v>
      </c>
      <c r="BR2482" s="2" t="s">
        <v>103</v>
      </c>
      <c r="BS2482" s="3">
        <v>43069</v>
      </c>
      <c r="BT2482" s="4">
        <v>0.4236111111111111</v>
      </c>
      <c r="BU2482" s="2" t="s">
        <v>2624</v>
      </c>
      <c r="BV2482" s="2" t="s">
        <v>85</v>
      </c>
      <c r="BY2482" s="2">
        <v>28199.46</v>
      </c>
      <c r="CA2482" s="2" t="s">
        <v>293</v>
      </c>
      <c r="CC2482" s="2" t="s">
        <v>75</v>
      </c>
      <c r="CD2482" s="2">
        <v>1600</v>
      </c>
      <c r="CE2482" s="2" t="s">
        <v>2625</v>
      </c>
      <c r="CF2482" s="3">
        <v>43073</v>
      </c>
      <c r="CI2482" s="2">
        <v>1</v>
      </c>
      <c r="CJ2482" s="2">
        <v>1</v>
      </c>
      <c r="CK2482" s="2" t="s">
        <v>96</v>
      </c>
      <c r="CL2482" s="2" t="s">
        <v>89</v>
      </c>
    </row>
    <row r="2483" spans="1:90">
      <c r="A2483" s="2" t="s">
        <v>71</v>
      </c>
      <c r="B2483" s="2" t="s">
        <v>72</v>
      </c>
      <c r="C2483" s="2" t="s">
        <v>73</v>
      </c>
      <c r="E2483" s="2" t="str">
        <f>"FES1162593222"</f>
        <v>FES1162593222</v>
      </c>
      <c r="F2483" s="3">
        <v>43070</v>
      </c>
      <c r="G2483" s="2">
        <v>201806</v>
      </c>
      <c r="H2483" s="2" t="s">
        <v>74</v>
      </c>
      <c r="I2483" s="2" t="s">
        <v>75</v>
      </c>
      <c r="J2483" s="2" t="s">
        <v>97</v>
      </c>
      <c r="K2483" s="2" t="s">
        <v>77</v>
      </c>
      <c r="L2483" s="2" t="s">
        <v>98</v>
      </c>
      <c r="M2483" s="2" t="s">
        <v>99</v>
      </c>
      <c r="N2483" s="2" t="s">
        <v>795</v>
      </c>
      <c r="O2483" s="2" t="s">
        <v>81</v>
      </c>
      <c r="P2483" s="2" t="str">
        <f>"2170595681                    "</f>
        <v xml:space="preserve">2170595681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20.190000000000001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33.6</v>
      </c>
      <c r="BJ2483" s="2">
        <v>18.600000000000001</v>
      </c>
      <c r="BK2483" s="2">
        <v>34</v>
      </c>
      <c r="BL2483" s="2">
        <v>166.41</v>
      </c>
      <c r="BM2483" s="2">
        <v>23.3</v>
      </c>
      <c r="BN2483" s="2">
        <v>189.71</v>
      </c>
      <c r="BO2483" s="2">
        <v>189.71</v>
      </c>
      <c r="BQ2483" s="2" t="s">
        <v>102</v>
      </c>
      <c r="BR2483" s="2" t="s">
        <v>103</v>
      </c>
      <c r="BS2483" s="3">
        <v>43073</v>
      </c>
      <c r="BT2483" s="4">
        <v>0.47638888888888892</v>
      </c>
      <c r="BU2483" s="2" t="s">
        <v>796</v>
      </c>
      <c r="BV2483" s="2" t="s">
        <v>85</v>
      </c>
      <c r="BY2483" s="2">
        <v>92801.81</v>
      </c>
      <c r="CA2483" s="2" t="s">
        <v>105</v>
      </c>
      <c r="CC2483" s="2" t="s">
        <v>99</v>
      </c>
      <c r="CD2483" s="2">
        <v>3201</v>
      </c>
      <c r="CE2483" s="2" t="s">
        <v>95</v>
      </c>
      <c r="CF2483" s="3">
        <v>43074</v>
      </c>
      <c r="CI2483" s="2">
        <v>1</v>
      </c>
      <c r="CJ2483" s="2">
        <v>1</v>
      </c>
      <c r="CK2483" s="2" t="s">
        <v>2626</v>
      </c>
      <c r="CL2483" s="2" t="s">
        <v>89</v>
      </c>
    </row>
    <row r="2484" spans="1:90">
      <c r="A2484" s="2" t="s">
        <v>71</v>
      </c>
      <c r="B2484" s="2" t="s">
        <v>72</v>
      </c>
      <c r="C2484" s="2" t="s">
        <v>73</v>
      </c>
      <c r="E2484" s="2" t="str">
        <f>"FES1162594387"</f>
        <v>FES1162594387</v>
      </c>
      <c r="F2484" s="3">
        <v>43076</v>
      </c>
      <c r="G2484" s="2">
        <v>201806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285</v>
      </c>
      <c r="M2484" s="2" t="s">
        <v>159</v>
      </c>
      <c r="N2484" s="2" t="s">
        <v>786</v>
      </c>
      <c r="O2484" s="2" t="s">
        <v>81</v>
      </c>
      <c r="P2484" s="2" t="str">
        <f>"2170606225                    "</f>
        <v xml:space="preserve">2170606225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11.06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5</v>
      </c>
      <c r="BJ2484" s="2">
        <v>2.6</v>
      </c>
      <c r="BK2484" s="2">
        <v>5</v>
      </c>
      <c r="BL2484" s="2">
        <v>83.95</v>
      </c>
      <c r="BM2484" s="2">
        <v>11.75</v>
      </c>
      <c r="BN2484" s="2">
        <v>95.7</v>
      </c>
      <c r="BO2484" s="2">
        <v>95.7</v>
      </c>
      <c r="BP2484" s="2" t="s">
        <v>302</v>
      </c>
      <c r="BQ2484" s="2" t="s">
        <v>82</v>
      </c>
      <c r="BR2484" s="2" t="s">
        <v>83</v>
      </c>
      <c r="BS2484" s="3">
        <v>43077</v>
      </c>
      <c r="BT2484" s="4">
        <v>0.54861111111111105</v>
      </c>
      <c r="BU2484" s="2" t="s">
        <v>2627</v>
      </c>
      <c r="BY2484" s="2">
        <v>12986.42</v>
      </c>
      <c r="CC2484" s="2" t="s">
        <v>159</v>
      </c>
      <c r="CD2484" s="2">
        <v>82</v>
      </c>
      <c r="CE2484" s="2" t="s">
        <v>95</v>
      </c>
      <c r="CF2484" s="3">
        <v>43080</v>
      </c>
      <c r="CI2484" s="2">
        <v>0</v>
      </c>
      <c r="CJ2484" s="2">
        <v>0</v>
      </c>
      <c r="CK2484" s="2" t="s">
        <v>289</v>
      </c>
      <c r="CL2484" s="2" t="s">
        <v>89</v>
      </c>
    </row>
    <row r="2485" spans="1:90">
      <c r="A2485" s="2" t="s">
        <v>71</v>
      </c>
      <c r="B2485" s="2" t="s">
        <v>72</v>
      </c>
      <c r="C2485" s="2" t="s">
        <v>73</v>
      </c>
      <c r="E2485" s="2" t="str">
        <f>"FES1162595121"</f>
        <v>FES1162595121</v>
      </c>
      <c r="F2485" s="3">
        <v>43081</v>
      </c>
      <c r="G2485" s="2">
        <v>201806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651</v>
      </c>
      <c r="M2485" s="2" t="s">
        <v>652</v>
      </c>
      <c r="N2485" s="2" t="s">
        <v>949</v>
      </c>
      <c r="O2485" s="2" t="s">
        <v>81</v>
      </c>
      <c r="P2485" s="2" t="str">
        <f>"2170607023                    "</f>
        <v xml:space="preserve">2170607023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19.57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13.5</v>
      </c>
      <c r="BJ2485" s="2">
        <v>31.2</v>
      </c>
      <c r="BK2485" s="2">
        <v>32</v>
      </c>
      <c r="BL2485" s="2">
        <v>144.69999999999999</v>
      </c>
      <c r="BM2485" s="2">
        <v>20.260000000000002</v>
      </c>
      <c r="BN2485" s="2">
        <v>164.96</v>
      </c>
      <c r="BO2485" s="2">
        <v>164.96</v>
      </c>
      <c r="BQ2485" s="2" t="s">
        <v>82</v>
      </c>
      <c r="BR2485" s="2" t="s">
        <v>83</v>
      </c>
      <c r="BS2485" s="3">
        <v>43082</v>
      </c>
      <c r="BT2485" s="4">
        <v>0.48958333333333331</v>
      </c>
      <c r="BU2485" s="2" t="s">
        <v>2022</v>
      </c>
      <c r="BY2485" s="2">
        <v>156200.94</v>
      </c>
      <c r="CA2485" s="2" t="s">
        <v>656</v>
      </c>
      <c r="CC2485" s="2" t="s">
        <v>652</v>
      </c>
      <c r="CD2485" s="2">
        <v>250</v>
      </c>
      <c r="CE2485" s="2" t="s">
        <v>95</v>
      </c>
      <c r="CF2485" s="3">
        <v>43084</v>
      </c>
      <c r="CI2485" s="2">
        <v>0</v>
      </c>
      <c r="CJ2485" s="2">
        <v>0</v>
      </c>
      <c r="CK2485" s="2" t="s">
        <v>88</v>
      </c>
      <c r="CL2485" s="2" t="s">
        <v>89</v>
      </c>
    </row>
    <row r="2486" spans="1:90">
      <c r="A2486" s="2" t="s">
        <v>71</v>
      </c>
      <c r="B2486" s="2" t="s">
        <v>72</v>
      </c>
      <c r="C2486" s="2" t="s">
        <v>73</v>
      </c>
      <c r="E2486" s="2" t="str">
        <f>"FES1162591757"</f>
        <v>FES1162591757</v>
      </c>
      <c r="F2486" s="3">
        <v>43066</v>
      </c>
      <c r="G2486" s="2">
        <v>201806</v>
      </c>
      <c r="H2486" s="2" t="s">
        <v>74</v>
      </c>
      <c r="I2486" s="2" t="s">
        <v>75</v>
      </c>
      <c r="J2486" s="2" t="s">
        <v>97</v>
      </c>
      <c r="K2486" s="2" t="s">
        <v>77</v>
      </c>
      <c r="L2486" s="2" t="s">
        <v>136</v>
      </c>
      <c r="M2486" s="2" t="s">
        <v>137</v>
      </c>
      <c r="N2486" s="2" t="s">
        <v>540</v>
      </c>
      <c r="O2486" s="2" t="s">
        <v>81</v>
      </c>
      <c r="P2486" s="2" t="str">
        <f>"2170604468                    "</f>
        <v xml:space="preserve">2170604468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32.340000000000003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6</v>
      </c>
      <c r="BI2486" s="2">
        <v>56.6</v>
      </c>
      <c r="BJ2486" s="2">
        <v>23.2</v>
      </c>
      <c r="BK2486" s="2">
        <v>57</v>
      </c>
      <c r="BL2486" s="2">
        <v>263.52</v>
      </c>
      <c r="BM2486" s="2">
        <v>36.89</v>
      </c>
      <c r="BN2486" s="2">
        <v>300.41000000000003</v>
      </c>
      <c r="BO2486" s="2">
        <v>300.41000000000003</v>
      </c>
      <c r="BQ2486" s="2" t="s">
        <v>541</v>
      </c>
      <c r="BR2486" s="2" t="s">
        <v>103</v>
      </c>
      <c r="BS2486" s="3">
        <v>43069</v>
      </c>
      <c r="BT2486" s="4">
        <v>0.53611111111111109</v>
      </c>
      <c r="BU2486" s="2" t="s">
        <v>554</v>
      </c>
      <c r="BV2486" s="2" t="s">
        <v>89</v>
      </c>
      <c r="BW2486" s="2" t="s">
        <v>313</v>
      </c>
      <c r="BX2486" s="2" t="s">
        <v>314</v>
      </c>
      <c r="BY2486" s="2">
        <v>116013.07</v>
      </c>
      <c r="CA2486" s="2" t="s">
        <v>2628</v>
      </c>
      <c r="CC2486" s="2" t="s">
        <v>137</v>
      </c>
      <c r="CD2486" s="2">
        <v>6045</v>
      </c>
      <c r="CE2486" s="2" t="s">
        <v>2629</v>
      </c>
      <c r="CF2486" s="3">
        <v>43070</v>
      </c>
      <c r="CI2486" s="2">
        <v>2</v>
      </c>
      <c r="CJ2486" s="2">
        <v>3</v>
      </c>
      <c r="CK2486" s="2" t="s">
        <v>271</v>
      </c>
      <c r="CL2486" s="2" t="s">
        <v>89</v>
      </c>
    </row>
    <row r="2487" spans="1:90">
      <c r="A2487" s="2" t="s">
        <v>71</v>
      </c>
      <c r="B2487" s="2" t="s">
        <v>72</v>
      </c>
      <c r="C2487" s="2" t="s">
        <v>73</v>
      </c>
      <c r="E2487" s="2" t="str">
        <f>"FES1162594866"</f>
        <v>FES1162594866</v>
      </c>
      <c r="F2487" s="3">
        <v>43080</v>
      </c>
      <c r="G2487" s="2">
        <v>201806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272</v>
      </c>
      <c r="M2487" s="2" t="s">
        <v>272</v>
      </c>
      <c r="N2487" s="2" t="s">
        <v>938</v>
      </c>
      <c r="O2487" s="2" t="s">
        <v>81</v>
      </c>
      <c r="P2487" s="2" t="str">
        <f>"2170606760                    "</f>
        <v xml:space="preserve">2170606760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12.06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11.1</v>
      </c>
      <c r="BJ2487" s="2">
        <v>5.3</v>
      </c>
      <c r="BK2487" s="2">
        <v>12</v>
      </c>
      <c r="BL2487" s="2">
        <v>91.12</v>
      </c>
      <c r="BM2487" s="2">
        <v>12.76</v>
      </c>
      <c r="BN2487" s="2">
        <v>103.88</v>
      </c>
      <c r="BO2487" s="2">
        <v>103.88</v>
      </c>
      <c r="BP2487" s="2" t="s">
        <v>1658</v>
      </c>
      <c r="BQ2487" s="2" t="s">
        <v>128</v>
      </c>
      <c r="BR2487" s="2" t="s">
        <v>83</v>
      </c>
      <c r="BS2487" s="3">
        <v>43081</v>
      </c>
      <c r="BT2487" s="4">
        <v>0.52500000000000002</v>
      </c>
      <c r="BU2487" s="2" t="s">
        <v>2630</v>
      </c>
      <c r="BV2487" s="2" t="s">
        <v>85</v>
      </c>
      <c r="BY2487" s="2">
        <v>26604.6</v>
      </c>
      <c r="CA2487" s="2" t="s">
        <v>389</v>
      </c>
      <c r="CC2487" s="2" t="s">
        <v>272</v>
      </c>
      <c r="CD2487" s="2">
        <v>1490</v>
      </c>
      <c r="CE2487" s="2" t="s">
        <v>87</v>
      </c>
      <c r="CF2487" s="3">
        <v>43082</v>
      </c>
      <c r="CI2487" s="2">
        <v>1</v>
      </c>
      <c r="CJ2487" s="2">
        <v>1</v>
      </c>
      <c r="CK2487" s="2" t="s">
        <v>88</v>
      </c>
      <c r="CL2487" s="2" t="s">
        <v>89</v>
      </c>
    </row>
    <row r="2488" spans="1:90">
      <c r="A2488" s="2" t="s">
        <v>71</v>
      </c>
      <c r="B2488" s="2" t="s">
        <v>72</v>
      </c>
      <c r="C2488" s="2" t="s">
        <v>73</v>
      </c>
      <c r="E2488" s="2" t="str">
        <f>"FES1162594677"</f>
        <v>FES1162594677</v>
      </c>
      <c r="F2488" s="3">
        <v>43080</v>
      </c>
      <c r="G2488" s="2">
        <v>201806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253</v>
      </c>
      <c r="M2488" s="2" t="s">
        <v>254</v>
      </c>
      <c r="N2488" s="2" t="s">
        <v>773</v>
      </c>
      <c r="O2488" s="2" t="s">
        <v>81</v>
      </c>
      <c r="P2488" s="2" t="str">
        <f>"2170606539                    "</f>
        <v xml:space="preserve">2170606539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11.06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2</v>
      </c>
      <c r="BJ2488" s="2">
        <v>5.5</v>
      </c>
      <c r="BK2488" s="2">
        <v>6</v>
      </c>
      <c r="BL2488" s="2">
        <v>83.95</v>
      </c>
      <c r="BM2488" s="2">
        <v>11.75</v>
      </c>
      <c r="BN2488" s="2">
        <v>95.7</v>
      </c>
      <c r="BO2488" s="2">
        <v>95.7</v>
      </c>
      <c r="BQ2488" s="2" t="s">
        <v>82</v>
      </c>
      <c r="BR2488" s="2" t="s">
        <v>83</v>
      </c>
      <c r="BS2488" s="3">
        <v>43088</v>
      </c>
      <c r="BT2488" s="4">
        <v>0.41666666666666669</v>
      </c>
      <c r="BU2488" s="2" t="s">
        <v>1047</v>
      </c>
      <c r="BV2488" s="2" t="s">
        <v>89</v>
      </c>
      <c r="BW2488" s="2" t="s">
        <v>149</v>
      </c>
      <c r="BX2488" s="2" t="s">
        <v>292</v>
      </c>
      <c r="BY2488" s="2">
        <v>27380</v>
      </c>
      <c r="CA2488" s="2" t="s">
        <v>293</v>
      </c>
      <c r="CC2488" s="2" t="s">
        <v>254</v>
      </c>
      <c r="CD2488" s="2">
        <v>1911</v>
      </c>
      <c r="CE2488" s="2" t="s">
        <v>356</v>
      </c>
      <c r="CF2488" s="3">
        <v>43089</v>
      </c>
      <c r="CI2488" s="2">
        <v>1</v>
      </c>
      <c r="CJ2488" s="2">
        <v>6</v>
      </c>
      <c r="CK2488" s="2" t="s">
        <v>289</v>
      </c>
      <c r="CL2488" s="2" t="s">
        <v>89</v>
      </c>
    </row>
    <row r="2489" spans="1:90">
      <c r="A2489" s="2" t="s">
        <v>71</v>
      </c>
      <c r="B2489" s="2" t="s">
        <v>72</v>
      </c>
      <c r="C2489" s="2" t="s">
        <v>73</v>
      </c>
      <c r="E2489" s="2" t="str">
        <f>"FES1162594744"</f>
        <v>FES1162594744</v>
      </c>
      <c r="F2489" s="3">
        <v>43080</v>
      </c>
      <c r="G2489" s="2">
        <v>201806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253</v>
      </c>
      <c r="M2489" s="2" t="s">
        <v>254</v>
      </c>
      <c r="N2489" s="2" t="s">
        <v>704</v>
      </c>
      <c r="O2489" s="2" t="s">
        <v>81</v>
      </c>
      <c r="P2489" s="2" t="str">
        <f>"2170606626                    "</f>
        <v xml:space="preserve">2170606626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11.06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5</v>
      </c>
      <c r="BJ2489" s="2">
        <v>0.5</v>
      </c>
      <c r="BK2489" s="2">
        <v>5</v>
      </c>
      <c r="BL2489" s="2">
        <v>83.95</v>
      </c>
      <c r="BM2489" s="2">
        <v>11.75</v>
      </c>
      <c r="BN2489" s="2">
        <v>95.7</v>
      </c>
      <c r="BO2489" s="2">
        <v>95.7</v>
      </c>
      <c r="BQ2489" s="2" t="s">
        <v>82</v>
      </c>
      <c r="BR2489" s="2" t="s">
        <v>83</v>
      </c>
      <c r="BS2489" s="3">
        <v>43081</v>
      </c>
      <c r="BT2489" s="4">
        <v>0.54166666666666663</v>
      </c>
      <c r="BU2489" s="2" t="s">
        <v>1796</v>
      </c>
      <c r="BV2489" s="2" t="s">
        <v>85</v>
      </c>
      <c r="BY2489" s="2">
        <v>2527</v>
      </c>
      <c r="CC2489" s="2" t="s">
        <v>254</v>
      </c>
      <c r="CD2489" s="2">
        <v>1900</v>
      </c>
      <c r="CE2489" s="2" t="s">
        <v>87</v>
      </c>
      <c r="CF2489" s="3">
        <v>43082</v>
      </c>
      <c r="CI2489" s="2">
        <v>1</v>
      </c>
      <c r="CJ2489" s="2">
        <v>1</v>
      </c>
      <c r="CK2489" s="2" t="s">
        <v>289</v>
      </c>
      <c r="CL2489" s="2" t="s">
        <v>89</v>
      </c>
    </row>
    <row r="2490" spans="1:90">
      <c r="A2490" s="2" t="s">
        <v>71</v>
      </c>
      <c r="B2490" s="2" t="s">
        <v>72</v>
      </c>
      <c r="C2490" s="2" t="s">
        <v>73</v>
      </c>
      <c r="E2490" s="2" t="str">
        <f>"FES1162593139"</f>
        <v>FES1162593139</v>
      </c>
      <c r="F2490" s="3">
        <v>43070</v>
      </c>
      <c r="G2490" s="2">
        <v>201806</v>
      </c>
      <c r="H2490" s="2" t="s">
        <v>74</v>
      </c>
      <c r="I2490" s="2" t="s">
        <v>75</v>
      </c>
      <c r="J2490" s="2" t="s">
        <v>97</v>
      </c>
      <c r="K2490" s="2" t="s">
        <v>77</v>
      </c>
      <c r="L2490" s="2" t="s">
        <v>136</v>
      </c>
      <c r="M2490" s="2" t="s">
        <v>137</v>
      </c>
      <c r="N2490" s="2" t="s">
        <v>1586</v>
      </c>
      <c r="O2490" s="2" t="s">
        <v>81</v>
      </c>
      <c r="P2490" s="2" t="str">
        <f>"2170605466                    "</f>
        <v xml:space="preserve">2170605466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31.35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3</v>
      </c>
      <c r="BI2490" s="2">
        <v>44.8</v>
      </c>
      <c r="BJ2490" s="2">
        <v>54.8</v>
      </c>
      <c r="BK2490" s="2">
        <v>55</v>
      </c>
      <c r="BL2490" s="2">
        <v>255.61</v>
      </c>
      <c r="BM2490" s="2">
        <v>35.79</v>
      </c>
      <c r="BN2490" s="2">
        <v>291.39999999999998</v>
      </c>
      <c r="BO2490" s="2">
        <v>291.39999999999998</v>
      </c>
      <c r="BQ2490" s="2" t="s">
        <v>82</v>
      </c>
      <c r="BR2490" s="2" t="s">
        <v>103</v>
      </c>
      <c r="BS2490" s="3">
        <v>43073</v>
      </c>
      <c r="BT2490" s="4">
        <v>0.42777777777777781</v>
      </c>
      <c r="BU2490" s="2" t="s">
        <v>2631</v>
      </c>
      <c r="BV2490" s="2" t="s">
        <v>85</v>
      </c>
      <c r="BY2490" s="2">
        <v>273811.57</v>
      </c>
      <c r="CA2490" s="2" t="s">
        <v>1335</v>
      </c>
      <c r="CC2490" s="2" t="s">
        <v>137</v>
      </c>
      <c r="CD2490" s="2">
        <v>6045</v>
      </c>
      <c r="CE2490" s="2" t="s">
        <v>2632</v>
      </c>
      <c r="CF2490" s="3">
        <v>43076</v>
      </c>
      <c r="CI2490" s="2">
        <v>2</v>
      </c>
      <c r="CJ2490" s="2">
        <v>1</v>
      </c>
      <c r="CK2490" s="2" t="s">
        <v>271</v>
      </c>
      <c r="CL2490" s="2" t="s">
        <v>89</v>
      </c>
    </row>
    <row r="2491" spans="1:90">
      <c r="A2491" s="2" t="s">
        <v>71</v>
      </c>
      <c r="B2491" s="2" t="s">
        <v>72</v>
      </c>
      <c r="C2491" s="2" t="s">
        <v>73</v>
      </c>
      <c r="E2491" s="2" t="str">
        <f>"FES1162595926"</f>
        <v>FES1162595926</v>
      </c>
      <c r="F2491" s="3">
        <v>43083</v>
      </c>
      <c r="G2491" s="2">
        <v>201806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285</v>
      </c>
      <c r="M2491" s="2" t="s">
        <v>159</v>
      </c>
      <c r="N2491" s="2" t="s">
        <v>700</v>
      </c>
      <c r="O2491" s="2" t="s">
        <v>81</v>
      </c>
      <c r="P2491" s="2" t="str">
        <f>"21706024617                   "</f>
        <v xml:space="preserve">21706024617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11.06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4</v>
      </c>
      <c r="BJ2491" s="2">
        <v>4.2</v>
      </c>
      <c r="BK2491" s="2">
        <v>5</v>
      </c>
      <c r="BL2491" s="2">
        <v>83.95</v>
      </c>
      <c r="BM2491" s="2">
        <v>11.75</v>
      </c>
      <c r="BN2491" s="2">
        <v>95.7</v>
      </c>
      <c r="BO2491" s="2">
        <v>95.7</v>
      </c>
      <c r="BQ2491" s="2" t="s">
        <v>82</v>
      </c>
      <c r="BR2491" s="2" t="s">
        <v>83</v>
      </c>
      <c r="BS2491" s="3">
        <v>43084</v>
      </c>
      <c r="BT2491" s="4">
        <v>0.53611111111111109</v>
      </c>
      <c r="BU2491" s="2" t="s">
        <v>2493</v>
      </c>
      <c r="BY2491" s="2">
        <v>20790</v>
      </c>
      <c r="CA2491" s="2" t="s">
        <v>293</v>
      </c>
      <c r="CC2491" s="2" t="s">
        <v>159</v>
      </c>
      <c r="CD2491" s="2">
        <v>184</v>
      </c>
      <c r="CE2491" s="2" t="s">
        <v>87</v>
      </c>
      <c r="CF2491" s="3">
        <v>43088</v>
      </c>
      <c r="CI2491" s="2">
        <v>0</v>
      </c>
      <c r="CJ2491" s="2">
        <v>0</v>
      </c>
      <c r="CK2491" s="2" t="s">
        <v>289</v>
      </c>
      <c r="CL2491" s="2" t="s">
        <v>89</v>
      </c>
    </row>
    <row r="2492" spans="1:90">
      <c r="A2492" s="2" t="s">
        <v>71</v>
      </c>
      <c r="B2492" s="2" t="s">
        <v>72</v>
      </c>
      <c r="C2492" s="2" t="s">
        <v>73</v>
      </c>
      <c r="E2492" s="2" t="str">
        <f>"FES1162596093"</f>
        <v>FES1162596093</v>
      </c>
      <c r="F2492" s="3">
        <v>43083</v>
      </c>
      <c r="G2492" s="2">
        <v>201806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285</v>
      </c>
      <c r="M2492" s="2" t="s">
        <v>159</v>
      </c>
      <c r="N2492" s="2" t="s">
        <v>738</v>
      </c>
      <c r="O2492" s="2" t="s">
        <v>81</v>
      </c>
      <c r="P2492" s="2" t="str">
        <f>"2170603411                    "</f>
        <v xml:space="preserve">2170603411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11.06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2.1</v>
      </c>
      <c r="BJ2492" s="2">
        <v>3.6</v>
      </c>
      <c r="BK2492" s="2">
        <v>4</v>
      </c>
      <c r="BL2492" s="2">
        <v>83.95</v>
      </c>
      <c r="BM2492" s="2">
        <v>11.75</v>
      </c>
      <c r="BN2492" s="2">
        <v>95.7</v>
      </c>
      <c r="BO2492" s="2">
        <v>95.7</v>
      </c>
      <c r="BQ2492" s="2" t="s">
        <v>739</v>
      </c>
      <c r="BR2492" s="2" t="s">
        <v>83</v>
      </c>
      <c r="BS2492" s="3">
        <v>43084</v>
      </c>
      <c r="BT2492" s="4">
        <v>0.49305555555555558</v>
      </c>
      <c r="BU2492" s="2" t="s">
        <v>2633</v>
      </c>
      <c r="BW2492" s="2" t="s">
        <v>156</v>
      </c>
      <c r="BX2492" s="2" t="s">
        <v>565</v>
      </c>
      <c r="BY2492" s="2">
        <v>17983.87</v>
      </c>
      <c r="CA2492" s="2" t="s">
        <v>1692</v>
      </c>
      <c r="CC2492" s="2" t="s">
        <v>159</v>
      </c>
      <c r="CD2492" s="2">
        <v>117</v>
      </c>
      <c r="CE2492" s="2" t="s">
        <v>87</v>
      </c>
      <c r="CF2492" s="3">
        <v>43088</v>
      </c>
      <c r="CI2492" s="2">
        <v>0</v>
      </c>
      <c r="CJ2492" s="2">
        <v>0</v>
      </c>
      <c r="CK2492" s="2" t="s">
        <v>289</v>
      </c>
      <c r="CL2492" s="2" t="s">
        <v>89</v>
      </c>
    </row>
    <row r="2493" spans="1:90">
      <c r="A2493" s="2" t="s">
        <v>71</v>
      </c>
      <c r="B2493" s="2" t="s">
        <v>72</v>
      </c>
      <c r="C2493" s="2" t="s">
        <v>73</v>
      </c>
      <c r="E2493" s="2" t="str">
        <f>"FES1162594758"</f>
        <v>FES1162594758</v>
      </c>
      <c r="F2493" s="3">
        <v>43082</v>
      </c>
      <c r="G2493" s="2">
        <v>201806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189</v>
      </c>
      <c r="M2493" s="2" t="s">
        <v>190</v>
      </c>
      <c r="N2493" s="2" t="s">
        <v>959</v>
      </c>
      <c r="O2493" s="2" t="s">
        <v>81</v>
      </c>
      <c r="P2493" s="2" t="str">
        <f>"2170606648                    "</f>
        <v xml:space="preserve">2170606648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11.06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2</v>
      </c>
      <c r="BI2493" s="2">
        <v>5.3</v>
      </c>
      <c r="BJ2493" s="2">
        <v>6.3</v>
      </c>
      <c r="BK2493" s="2">
        <v>7</v>
      </c>
      <c r="BL2493" s="2">
        <v>83.95</v>
      </c>
      <c r="BM2493" s="2">
        <v>11.75</v>
      </c>
      <c r="BN2493" s="2">
        <v>95.7</v>
      </c>
      <c r="BO2493" s="2">
        <v>95.7</v>
      </c>
      <c r="BQ2493" s="2" t="s">
        <v>128</v>
      </c>
      <c r="BR2493" s="2" t="s">
        <v>83</v>
      </c>
      <c r="BS2493" s="3">
        <v>43087</v>
      </c>
      <c r="BT2493" s="4">
        <v>0.66666666666666663</v>
      </c>
      <c r="BU2493" s="2" t="s">
        <v>2008</v>
      </c>
      <c r="BY2493" s="2">
        <v>31737.439999999999</v>
      </c>
      <c r="CC2493" s="2" t="s">
        <v>190</v>
      </c>
      <c r="CD2493" s="2">
        <v>157</v>
      </c>
      <c r="CE2493" s="2" t="s">
        <v>95</v>
      </c>
      <c r="CF2493" s="3">
        <v>43088</v>
      </c>
      <c r="CI2493" s="2">
        <v>0</v>
      </c>
      <c r="CJ2493" s="2">
        <v>0</v>
      </c>
      <c r="CK2493" s="2" t="s">
        <v>289</v>
      </c>
      <c r="CL2493" s="2" t="s">
        <v>89</v>
      </c>
    </row>
    <row r="2494" spans="1:90">
      <c r="A2494" s="2" t="s">
        <v>71</v>
      </c>
      <c r="B2494" s="2" t="s">
        <v>72</v>
      </c>
      <c r="C2494" s="2" t="s">
        <v>73</v>
      </c>
      <c r="E2494" s="2" t="str">
        <f>"FES1162592322"</f>
        <v>FES1162592322</v>
      </c>
      <c r="F2494" s="3">
        <v>43068</v>
      </c>
      <c r="G2494" s="2">
        <v>201806</v>
      </c>
      <c r="H2494" s="2" t="s">
        <v>74</v>
      </c>
      <c r="I2494" s="2" t="s">
        <v>75</v>
      </c>
      <c r="J2494" s="2" t="s">
        <v>97</v>
      </c>
      <c r="K2494" s="2" t="s">
        <v>77</v>
      </c>
      <c r="L2494" s="2" t="s">
        <v>262</v>
      </c>
      <c r="M2494" s="2" t="s">
        <v>263</v>
      </c>
      <c r="N2494" s="2" t="s">
        <v>789</v>
      </c>
      <c r="O2494" s="2" t="s">
        <v>81</v>
      </c>
      <c r="P2494" s="2" t="str">
        <f>"21706059429                   "</f>
        <v xml:space="preserve">21706059429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20.96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2</v>
      </c>
      <c r="BI2494" s="2">
        <v>33.700000000000003</v>
      </c>
      <c r="BJ2494" s="2">
        <v>21.4</v>
      </c>
      <c r="BK2494" s="2">
        <v>34</v>
      </c>
      <c r="BL2494" s="2">
        <v>172.56</v>
      </c>
      <c r="BM2494" s="2">
        <v>24.16</v>
      </c>
      <c r="BN2494" s="2">
        <v>196.72</v>
      </c>
      <c r="BO2494" s="2">
        <v>196.72</v>
      </c>
      <c r="BQ2494" s="2" t="s">
        <v>1200</v>
      </c>
      <c r="BR2494" s="2" t="s">
        <v>103</v>
      </c>
      <c r="BS2494" s="3">
        <v>43070</v>
      </c>
      <c r="BT2494" s="4">
        <v>0.3444444444444445</v>
      </c>
      <c r="BU2494" s="2" t="s">
        <v>2634</v>
      </c>
      <c r="BV2494" s="2" t="s">
        <v>85</v>
      </c>
      <c r="BY2494" s="2">
        <v>107240.3</v>
      </c>
      <c r="CC2494" s="2" t="s">
        <v>263</v>
      </c>
      <c r="CD2494" s="2">
        <v>6229</v>
      </c>
      <c r="CE2494" s="2" t="s">
        <v>2635</v>
      </c>
      <c r="CF2494" s="3">
        <v>43073</v>
      </c>
      <c r="CI2494" s="2">
        <v>2</v>
      </c>
      <c r="CJ2494" s="2">
        <v>2</v>
      </c>
      <c r="CK2494" s="2" t="s">
        <v>271</v>
      </c>
      <c r="CL2494" s="2" t="s">
        <v>89</v>
      </c>
    </row>
    <row r="2495" spans="1:90">
      <c r="A2495" s="2" t="s">
        <v>71</v>
      </c>
      <c r="B2495" s="2" t="s">
        <v>72</v>
      </c>
      <c r="C2495" s="2" t="s">
        <v>73</v>
      </c>
      <c r="E2495" s="2" t="str">
        <f>"FES1162596060"</f>
        <v>FES1162596060</v>
      </c>
      <c r="F2495" s="3">
        <v>43083</v>
      </c>
      <c r="G2495" s="2">
        <v>201806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285</v>
      </c>
      <c r="M2495" s="2" t="s">
        <v>159</v>
      </c>
      <c r="N2495" s="2" t="s">
        <v>1728</v>
      </c>
      <c r="O2495" s="2" t="s">
        <v>81</v>
      </c>
      <c r="P2495" s="2" t="str">
        <f>"217060781                     "</f>
        <v xml:space="preserve">217060781 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11.06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6.1</v>
      </c>
      <c r="BJ2495" s="2">
        <v>2.2999999999999998</v>
      </c>
      <c r="BK2495" s="2">
        <v>7</v>
      </c>
      <c r="BL2495" s="2">
        <v>83.95</v>
      </c>
      <c r="BM2495" s="2">
        <v>11.75</v>
      </c>
      <c r="BN2495" s="2">
        <v>95.7</v>
      </c>
      <c r="BO2495" s="2">
        <v>95.7</v>
      </c>
      <c r="BQ2495" s="2" t="s">
        <v>128</v>
      </c>
      <c r="BR2495" s="2" t="s">
        <v>83</v>
      </c>
      <c r="BS2495" s="3">
        <v>43084</v>
      </c>
      <c r="BT2495" s="4">
        <v>0.61111111111111105</v>
      </c>
      <c r="BU2495" s="2" t="s">
        <v>2636</v>
      </c>
      <c r="BW2495" s="2" t="s">
        <v>149</v>
      </c>
      <c r="BX2495" s="2" t="s">
        <v>2429</v>
      </c>
      <c r="BY2495" s="2">
        <v>11251.93</v>
      </c>
      <c r="CA2495" s="2" t="s">
        <v>362</v>
      </c>
      <c r="CC2495" s="2" t="s">
        <v>159</v>
      </c>
      <c r="CD2495" s="2">
        <v>200</v>
      </c>
      <c r="CE2495" s="2" t="s">
        <v>95</v>
      </c>
      <c r="CF2495" s="3">
        <v>43088</v>
      </c>
      <c r="CI2495" s="2">
        <v>0</v>
      </c>
      <c r="CJ2495" s="2">
        <v>0</v>
      </c>
      <c r="CK2495" s="2" t="s">
        <v>289</v>
      </c>
      <c r="CL2495" s="2" t="s">
        <v>89</v>
      </c>
    </row>
    <row r="2496" spans="1:90">
      <c r="A2496" s="2" t="s">
        <v>71</v>
      </c>
      <c r="B2496" s="2" t="s">
        <v>72</v>
      </c>
      <c r="C2496" s="2" t="s">
        <v>73</v>
      </c>
      <c r="E2496" s="2" t="str">
        <f>"FES1162595210"</f>
        <v>FES1162595210</v>
      </c>
      <c r="F2496" s="3">
        <v>43081</v>
      </c>
      <c r="G2496" s="2">
        <v>201806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106</v>
      </c>
      <c r="M2496" s="2" t="s">
        <v>107</v>
      </c>
      <c r="N2496" s="2" t="s">
        <v>2637</v>
      </c>
      <c r="O2496" s="2" t="s">
        <v>81</v>
      </c>
      <c r="P2496" s="2" t="str">
        <f>"2170607085                    "</f>
        <v xml:space="preserve">2170607085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13.9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12.5</v>
      </c>
      <c r="BJ2496" s="2">
        <v>31.1</v>
      </c>
      <c r="BK2496" s="2">
        <v>31</v>
      </c>
      <c r="BL2496" s="2">
        <v>104.21</v>
      </c>
      <c r="BM2496" s="2">
        <v>14.59</v>
      </c>
      <c r="BN2496" s="2">
        <v>118.8</v>
      </c>
      <c r="BO2496" s="2">
        <v>118.8</v>
      </c>
      <c r="BQ2496" s="2" t="s">
        <v>82</v>
      </c>
      <c r="BR2496" s="2" t="s">
        <v>83</v>
      </c>
      <c r="BS2496" s="3">
        <v>43082</v>
      </c>
      <c r="BT2496" s="4">
        <v>0.48333333333333334</v>
      </c>
      <c r="BU2496" s="2" t="s">
        <v>2638</v>
      </c>
      <c r="BV2496" s="2" t="s">
        <v>85</v>
      </c>
      <c r="BY2496" s="2">
        <v>155477.64000000001</v>
      </c>
      <c r="CA2496" s="2" t="s">
        <v>1289</v>
      </c>
      <c r="CC2496" s="2" t="s">
        <v>107</v>
      </c>
      <c r="CD2496" s="2">
        <v>2091</v>
      </c>
      <c r="CE2496" s="2" t="s">
        <v>95</v>
      </c>
      <c r="CF2496" s="3">
        <v>43083</v>
      </c>
      <c r="CI2496" s="2">
        <v>1</v>
      </c>
      <c r="CJ2496" s="2">
        <v>1</v>
      </c>
      <c r="CK2496" s="2" t="s">
        <v>96</v>
      </c>
      <c r="CL2496" s="2" t="s">
        <v>89</v>
      </c>
    </row>
    <row r="2497" spans="1:90">
      <c r="A2497" s="2" t="s">
        <v>71</v>
      </c>
      <c r="B2497" s="2" t="s">
        <v>72</v>
      </c>
      <c r="C2497" s="2" t="s">
        <v>73</v>
      </c>
      <c r="E2497" s="2" t="str">
        <f>"FES1162595285"</f>
        <v>FES1162595285</v>
      </c>
      <c r="F2497" s="3">
        <v>43081</v>
      </c>
      <c r="G2497" s="2">
        <v>201806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325</v>
      </c>
      <c r="M2497" s="2" t="s">
        <v>326</v>
      </c>
      <c r="N2497" s="2" t="s">
        <v>2246</v>
      </c>
      <c r="O2497" s="2" t="s">
        <v>81</v>
      </c>
      <c r="P2497" s="2" t="str">
        <f>"2170607153                    "</f>
        <v xml:space="preserve">2170607153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11.06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8.4</v>
      </c>
      <c r="BJ2497" s="2">
        <v>11.7</v>
      </c>
      <c r="BK2497" s="2">
        <v>12</v>
      </c>
      <c r="BL2497" s="2">
        <v>83.95</v>
      </c>
      <c r="BM2497" s="2">
        <v>11.75</v>
      </c>
      <c r="BN2497" s="2">
        <v>95.7</v>
      </c>
      <c r="BO2497" s="2">
        <v>95.7</v>
      </c>
      <c r="BQ2497" s="2" t="s">
        <v>82</v>
      </c>
      <c r="BR2497" s="2" t="s">
        <v>83</v>
      </c>
      <c r="BS2497" s="3">
        <v>43082</v>
      </c>
      <c r="BT2497" s="4">
        <v>0.51666666666666672</v>
      </c>
      <c r="BU2497" s="2" t="s">
        <v>2639</v>
      </c>
      <c r="BV2497" s="2" t="s">
        <v>85</v>
      </c>
      <c r="BY2497" s="2">
        <v>58327.92</v>
      </c>
      <c r="CA2497" s="2" t="s">
        <v>329</v>
      </c>
      <c r="CC2497" s="2" t="s">
        <v>326</v>
      </c>
      <c r="CD2497" s="2">
        <v>1961</v>
      </c>
      <c r="CE2497" s="2" t="s">
        <v>288</v>
      </c>
      <c r="CF2497" s="3">
        <v>43084</v>
      </c>
      <c r="CI2497" s="2">
        <v>1</v>
      </c>
      <c r="CJ2497" s="2">
        <v>1</v>
      </c>
      <c r="CK2497" s="2" t="s">
        <v>289</v>
      </c>
      <c r="CL2497" s="2" t="s">
        <v>89</v>
      </c>
    </row>
    <row r="2498" spans="1:90">
      <c r="A2498" s="2" t="s">
        <v>71</v>
      </c>
      <c r="B2498" s="2" t="s">
        <v>72</v>
      </c>
      <c r="C2498" s="2" t="s">
        <v>73</v>
      </c>
      <c r="E2498" s="2" t="str">
        <f>"FES1162595340"</f>
        <v>FES1162595340</v>
      </c>
      <c r="F2498" s="3">
        <v>43081</v>
      </c>
      <c r="G2498" s="2">
        <v>201806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547</v>
      </c>
      <c r="M2498" s="2" t="s">
        <v>548</v>
      </c>
      <c r="N2498" s="2" t="s">
        <v>1627</v>
      </c>
      <c r="O2498" s="2" t="s">
        <v>81</v>
      </c>
      <c r="P2498" s="2" t="str">
        <f>"2170600610                    "</f>
        <v xml:space="preserve">2170600610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12.38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2</v>
      </c>
      <c r="BI2498" s="2">
        <v>26</v>
      </c>
      <c r="BJ2498" s="2">
        <v>6.6</v>
      </c>
      <c r="BK2498" s="2">
        <v>26</v>
      </c>
      <c r="BL2498" s="2">
        <v>93.39</v>
      </c>
      <c r="BM2498" s="2">
        <v>13.07</v>
      </c>
      <c r="BN2498" s="2">
        <v>106.46</v>
      </c>
      <c r="BO2498" s="2">
        <v>106.46</v>
      </c>
      <c r="BQ2498" s="2" t="s">
        <v>82</v>
      </c>
      <c r="BR2498" s="2" t="s">
        <v>83</v>
      </c>
      <c r="BS2498" s="3">
        <v>43082</v>
      </c>
      <c r="BT2498" s="4">
        <v>0.4375</v>
      </c>
      <c r="BU2498" s="2" t="s">
        <v>2640</v>
      </c>
      <c r="BV2498" s="2" t="s">
        <v>85</v>
      </c>
      <c r="BY2498" s="2">
        <v>33053.730000000003</v>
      </c>
      <c r="CA2498" s="2" t="s">
        <v>693</v>
      </c>
      <c r="CC2498" s="2" t="s">
        <v>548</v>
      </c>
      <c r="CD2498" s="2">
        <v>1501</v>
      </c>
      <c r="CE2498" s="2" t="s">
        <v>288</v>
      </c>
      <c r="CF2498" s="3">
        <v>43083</v>
      </c>
      <c r="CI2498" s="2">
        <v>1</v>
      </c>
      <c r="CJ2498" s="2">
        <v>1</v>
      </c>
      <c r="CK2498" s="2" t="s">
        <v>96</v>
      </c>
      <c r="CL2498" s="2" t="s">
        <v>89</v>
      </c>
    </row>
    <row r="2499" spans="1:90">
      <c r="A2499" s="2" t="s">
        <v>71</v>
      </c>
      <c r="B2499" s="2" t="s">
        <v>72</v>
      </c>
      <c r="C2499" s="2" t="s">
        <v>73</v>
      </c>
      <c r="E2499" s="2" t="str">
        <f>"FES1162594478"</f>
        <v>FES1162594478</v>
      </c>
      <c r="F2499" s="3">
        <v>43075</v>
      </c>
      <c r="G2499" s="2">
        <v>201806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74</v>
      </c>
      <c r="M2499" s="2" t="s">
        <v>75</v>
      </c>
      <c r="N2499" s="2" t="s">
        <v>1726</v>
      </c>
      <c r="O2499" s="2" t="s">
        <v>81</v>
      </c>
      <c r="P2499" s="2" t="str">
        <f>"2170606330                    "</f>
        <v xml:space="preserve">2170606330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13.9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12.2</v>
      </c>
      <c r="BJ2499" s="2">
        <v>30.8</v>
      </c>
      <c r="BK2499" s="2">
        <v>31</v>
      </c>
      <c r="BL2499" s="2">
        <v>104.21</v>
      </c>
      <c r="BM2499" s="2">
        <v>14.59</v>
      </c>
      <c r="BN2499" s="2">
        <v>118.8</v>
      </c>
      <c r="BO2499" s="2">
        <v>118.8</v>
      </c>
      <c r="BQ2499" s="2" t="s">
        <v>2641</v>
      </c>
      <c r="BR2499" s="2" t="s">
        <v>83</v>
      </c>
      <c r="BS2499" s="3">
        <v>43076</v>
      </c>
      <c r="BT2499" s="4">
        <v>0.41666666666666669</v>
      </c>
      <c r="BU2499" s="2" t="s">
        <v>2642</v>
      </c>
      <c r="BV2499" s="2" t="s">
        <v>85</v>
      </c>
      <c r="BY2499" s="2">
        <v>153758.46</v>
      </c>
      <c r="CA2499" s="2" t="s">
        <v>366</v>
      </c>
      <c r="CC2499" s="2" t="s">
        <v>75</v>
      </c>
      <c r="CD2499" s="2">
        <v>1601</v>
      </c>
      <c r="CE2499" s="2" t="s">
        <v>95</v>
      </c>
      <c r="CF2499" s="3">
        <v>43080</v>
      </c>
      <c r="CI2499" s="2">
        <v>1</v>
      </c>
      <c r="CJ2499" s="2">
        <v>1</v>
      </c>
      <c r="CK2499" s="2" t="s">
        <v>96</v>
      </c>
      <c r="CL2499" s="2" t="s">
        <v>89</v>
      </c>
    </row>
    <row r="2500" spans="1:90">
      <c r="A2500" s="2" t="s">
        <v>71</v>
      </c>
      <c r="B2500" s="2" t="s">
        <v>72</v>
      </c>
      <c r="C2500" s="2" t="s">
        <v>73</v>
      </c>
      <c r="E2500" s="2" t="str">
        <f>"FES1162594309"</f>
        <v>FES1162594309</v>
      </c>
      <c r="F2500" s="3">
        <v>43075</v>
      </c>
      <c r="G2500" s="2">
        <v>201806</v>
      </c>
      <c r="H2500" s="2" t="s">
        <v>74</v>
      </c>
      <c r="I2500" s="2" t="s">
        <v>75</v>
      </c>
      <c r="J2500" s="2" t="s">
        <v>97</v>
      </c>
      <c r="K2500" s="2" t="s">
        <v>77</v>
      </c>
      <c r="L2500" s="2" t="s">
        <v>158</v>
      </c>
      <c r="M2500" s="2" t="s">
        <v>159</v>
      </c>
      <c r="N2500" s="2" t="s">
        <v>588</v>
      </c>
      <c r="O2500" s="2" t="s">
        <v>81</v>
      </c>
      <c r="P2500" s="2" t="str">
        <f>"2170604198                    "</f>
        <v xml:space="preserve">2170604198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36.03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4</v>
      </c>
      <c r="BI2500" s="2">
        <v>87.1</v>
      </c>
      <c r="BJ2500" s="2">
        <v>45.1</v>
      </c>
      <c r="BK2500" s="2">
        <v>88</v>
      </c>
      <c r="BL2500" s="2">
        <v>262.22000000000003</v>
      </c>
      <c r="BM2500" s="2">
        <v>36.71</v>
      </c>
      <c r="BN2500" s="2">
        <v>298.93</v>
      </c>
      <c r="BO2500" s="2">
        <v>298.93</v>
      </c>
      <c r="BQ2500" s="2" t="s">
        <v>102</v>
      </c>
      <c r="BR2500" s="2" t="s">
        <v>103</v>
      </c>
      <c r="BS2500" s="3">
        <v>43076</v>
      </c>
      <c r="BT2500" s="4">
        <v>0.47083333333333338</v>
      </c>
      <c r="BU2500" s="2" t="s">
        <v>2643</v>
      </c>
      <c r="BY2500" s="2">
        <v>225400.21</v>
      </c>
      <c r="CC2500" s="2" t="s">
        <v>159</v>
      </c>
      <c r="CD2500" s="2">
        <v>40</v>
      </c>
      <c r="CE2500" s="2" t="s">
        <v>2499</v>
      </c>
      <c r="CF2500" s="3">
        <v>43080</v>
      </c>
      <c r="CI2500" s="2">
        <v>0</v>
      </c>
      <c r="CJ2500" s="2">
        <v>0</v>
      </c>
      <c r="CK2500" s="2" t="s">
        <v>289</v>
      </c>
      <c r="CL2500" s="2" t="s">
        <v>89</v>
      </c>
    </row>
    <row r="2501" spans="1:90">
      <c r="A2501" s="2" t="s">
        <v>71</v>
      </c>
      <c r="B2501" s="2" t="s">
        <v>72</v>
      </c>
      <c r="C2501" s="2" t="s">
        <v>73</v>
      </c>
      <c r="E2501" s="2" t="str">
        <f>"FES1162595355"</f>
        <v>FES1162595355</v>
      </c>
      <c r="F2501" s="3">
        <v>43081</v>
      </c>
      <c r="G2501" s="2">
        <v>201806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272</v>
      </c>
      <c r="M2501" s="2" t="s">
        <v>272</v>
      </c>
      <c r="N2501" s="2" t="s">
        <v>273</v>
      </c>
      <c r="O2501" s="2" t="s">
        <v>81</v>
      </c>
      <c r="P2501" s="2" t="str">
        <f>"2170604903                    "</f>
        <v xml:space="preserve">2170604903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12.06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9.1</v>
      </c>
      <c r="BJ2501" s="2">
        <v>3.7</v>
      </c>
      <c r="BK2501" s="2">
        <v>10</v>
      </c>
      <c r="BL2501" s="2">
        <v>91.12</v>
      </c>
      <c r="BM2501" s="2">
        <v>12.76</v>
      </c>
      <c r="BN2501" s="2">
        <v>103.88</v>
      </c>
      <c r="BO2501" s="2">
        <v>103.88</v>
      </c>
      <c r="BQ2501" s="2" t="s">
        <v>274</v>
      </c>
      <c r="BR2501" s="2" t="s">
        <v>83</v>
      </c>
      <c r="BS2501" s="3">
        <v>43082</v>
      </c>
      <c r="BT2501" s="4">
        <v>0.4375</v>
      </c>
      <c r="BU2501" s="2" t="s">
        <v>2644</v>
      </c>
      <c r="BV2501" s="2" t="s">
        <v>85</v>
      </c>
      <c r="BY2501" s="2">
        <v>18262.27</v>
      </c>
      <c r="CA2501" s="2" t="s">
        <v>389</v>
      </c>
      <c r="CC2501" s="2" t="s">
        <v>272</v>
      </c>
      <c r="CD2501" s="2">
        <v>1490</v>
      </c>
      <c r="CE2501" s="2" t="s">
        <v>288</v>
      </c>
      <c r="CF2501" s="3">
        <v>43084</v>
      </c>
      <c r="CI2501" s="2">
        <v>1</v>
      </c>
      <c r="CJ2501" s="2">
        <v>1</v>
      </c>
      <c r="CK2501" s="2" t="s">
        <v>88</v>
      </c>
      <c r="CL2501" s="2" t="s">
        <v>89</v>
      </c>
    </row>
    <row r="2502" spans="1:90">
      <c r="A2502" s="2" t="s">
        <v>71</v>
      </c>
      <c r="B2502" s="2" t="s">
        <v>72</v>
      </c>
      <c r="C2502" s="2" t="s">
        <v>73</v>
      </c>
      <c r="E2502" s="2" t="str">
        <f>"FES1162594284"</f>
        <v>FES1162594284</v>
      </c>
      <c r="F2502" s="3">
        <v>43075</v>
      </c>
      <c r="G2502" s="2">
        <v>201806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285</v>
      </c>
      <c r="M2502" s="2" t="s">
        <v>159</v>
      </c>
      <c r="N2502" s="2" t="s">
        <v>164</v>
      </c>
      <c r="O2502" s="2" t="s">
        <v>81</v>
      </c>
      <c r="P2502" s="2" t="str">
        <f>"2170605962                    "</f>
        <v xml:space="preserve">2170605962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11.06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2</v>
      </c>
      <c r="BJ2502" s="2">
        <v>4.4000000000000004</v>
      </c>
      <c r="BK2502" s="2">
        <v>5</v>
      </c>
      <c r="BL2502" s="2">
        <v>83.95</v>
      </c>
      <c r="BM2502" s="2">
        <v>11.75</v>
      </c>
      <c r="BN2502" s="2">
        <v>95.7</v>
      </c>
      <c r="BO2502" s="2">
        <v>95.7</v>
      </c>
      <c r="BQ2502" s="2" t="s">
        <v>82</v>
      </c>
      <c r="BR2502" s="2" t="s">
        <v>83</v>
      </c>
      <c r="BS2502" s="3">
        <v>43076</v>
      </c>
      <c r="BT2502" s="4">
        <v>0.53749999999999998</v>
      </c>
      <c r="BU2502" s="2" t="s">
        <v>361</v>
      </c>
      <c r="BW2502" s="2" t="s">
        <v>156</v>
      </c>
      <c r="BX2502" s="2" t="s">
        <v>668</v>
      </c>
      <c r="BY2502" s="2">
        <v>21780</v>
      </c>
      <c r="CA2502" s="2" t="s">
        <v>362</v>
      </c>
      <c r="CC2502" s="2" t="s">
        <v>159</v>
      </c>
      <c r="CD2502" s="2">
        <v>200</v>
      </c>
      <c r="CE2502" s="2" t="s">
        <v>87</v>
      </c>
      <c r="CF2502" s="3">
        <v>43080</v>
      </c>
      <c r="CI2502" s="2">
        <v>0</v>
      </c>
      <c r="CJ2502" s="2">
        <v>0</v>
      </c>
      <c r="CK2502" s="2" t="s">
        <v>289</v>
      </c>
      <c r="CL2502" s="2" t="s">
        <v>89</v>
      </c>
    </row>
    <row r="2503" spans="1:90">
      <c r="A2503" s="2" t="s">
        <v>71</v>
      </c>
      <c r="B2503" s="2" t="s">
        <v>72</v>
      </c>
      <c r="C2503" s="2" t="s">
        <v>73</v>
      </c>
      <c r="E2503" s="2" t="str">
        <f>"FES1162594119"</f>
        <v>FES1162594119</v>
      </c>
      <c r="F2503" s="3">
        <v>43075</v>
      </c>
      <c r="G2503" s="2">
        <v>201806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285</v>
      </c>
      <c r="M2503" s="2" t="s">
        <v>159</v>
      </c>
      <c r="N2503" s="2" t="s">
        <v>700</v>
      </c>
      <c r="O2503" s="2" t="s">
        <v>81</v>
      </c>
      <c r="P2503" s="2" t="str">
        <f>"2170600790                    "</f>
        <v xml:space="preserve">2170600790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11.06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4.5999999999999996</v>
      </c>
      <c r="BJ2503" s="2">
        <v>3.2</v>
      </c>
      <c r="BK2503" s="2">
        <v>5</v>
      </c>
      <c r="BL2503" s="2">
        <v>83.95</v>
      </c>
      <c r="BM2503" s="2">
        <v>11.75</v>
      </c>
      <c r="BN2503" s="2">
        <v>95.7</v>
      </c>
      <c r="BO2503" s="2">
        <v>95.7</v>
      </c>
      <c r="BQ2503" s="2" t="s">
        <v>82</v>
      </c>
      <c r="BR2503" s="2" t="s">
        <v>83</v>
      </c>
      <c r="BS2503" s="3">
        <v>43076</v>
      </c>
      <c r="BT2503" s="4">
        <v>0.57916666666666672</v>
      </c>
      <c r="BU2503" s="2" t="s">
        <v>2645</v>
      </c>
      <c r="BY2503" s="2">
        <v>16188.48</v>
      </c>
      <c r="CA2503" s="2" t="s">
        <v>678</v>
      </c>
      <c r="CC2503" s="2" t="s">
        <v>159</v>
      </c>
      <c r="CD2503" s="2">
        <v>184</v>
      </c>
      <c r="CE2503" s="2" t="s">
        <v>95</v>
      </c>
      <c r="CF2503" s="3">
        <v>43080</v>
      </c>
      <c r="CI2503" s="2">
        <v>0</v>
      </c>
      <c r="CJ2503" s="2">
        <v>0</v>
      </c>
      <c r="CK2503" s="2" t="s">
        <v>289</v>
      </c>
      <c r="CL2503" s="2" t="s">
        <v>89</v>
      </c>
    </row>
    <row r="2504" spans="1:90">
      <c r="A2504" s="2" t="s">
        <v>71</v>
      </c>
      <c r="B2504" s="2" t="s">
        <v>72</v>
      </c>
      <c r="C2504" s="2" t="s">
        <v>73</v>
      </c>
      <c r="E2504" s="2" t="str">
        <f>"FES1162595508"</f>
        <v>FES1162595508</v>
      </c>
      <c r="F2504" s="3">
        <v>43081</v>
      </c>
      <c r="G2504" s="2">
        <v>201806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325</v>
      </c>
      <c r="M2504" s="2" t="s">
        <v>326</v>
      </c>
      <c r="N2504" s="2" t="s">
        <v>2646</v>
      </c>
      <c r="O2504" s="2" t="s">
        <v>81</v>
      </c>
      <c r="P2504" s="2" t="str">
        <f>"2170607363                    "</f>
        <v xml:space="preserve">2170607363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11.06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12.7</v>
      </c>
      <c r="BJ2504" s="2">
        <v>12.5</v>
      </c>
      <c r="BK2504" s="2">
        <v>13</v>
      </c>
      <c r="BL2504" s="2">
        <v>83.95</v>
      </c>
      <c r="BM2504" s="2">
        <v>11.75</v>
      </c>
      <c r="BN2504" s="2">
        <v>95.7</v>
      </c>
      <c r="BO2504" s="2">
        <v>95.7</v>
      </c>
      <c r="BR2504" s="2" t="s">
        <v>83</v>
      </c>
      <c r="BS2504" s="3">
        <v>43082</v>
      </c>
      <c r="BT2504" s="4">
        <v>0.38263888888888892</v>
      </c>
      <c r="BU2504" s="2" t="s">
        <v>2647</v>
      </c>
      <c r="BV2504" s="2" t="s">
        <v>85</v>
      </c>
      <c r="BY2504" s="2">
        <v>62317.88</v>
      </c>
      <c r="CA2504" s="2" t="s">
        <v>1326</v>
      </c>
      <c r="CC2504" s="2" t="s">
        <v>326</v>
      </c>
      <c r="CD2504" s="2">
        <v>1939</v>
      </c>
      <c r="CE2504" s="2" t="s">
        <v>87</v>
      </c>
      <c r="CF2504" s="3">
        <v>43084</v>
      </c>
      <c r="CI2504" s="2">
        <v>1</v>
      </c>
      <c r="CJ2504" s="2">
        <v>1</v>
      </c>
      <c r="CK2504" s="2" t="s">
        <v>289</v>
      </c>
      <c r="CL2504" s="2" t="s">
        <v>89</v>
      </c>
    </row>
    <row r="2505" spans="1:90">
      <c r="A2505" s="2" t="s">
        <v>71</v>
      </c>
      <c r="B2505" s="2" t="s">
        <v>72</v>
      </c>
      <c r="C2505" s="2" t="s">
        <v>73</v>
      </c>
      <c r="E2505" s="2" t="str">
        <f>"FES1162592292"</f>
        <v>FES1162592292</v>
      </c>
      <c r="F2505" s="3">
        <v>43068</v>
      </c>
      <c r="G2505" s="2">
        <v>201806</v>
      </c>
      <c r="H2505" s="2" t="s">
        <v>74</v>
      </c>
      <c r="I2505" s="2" t="s">
        <v>75</v>
      </c>
      <c r="J2505" s="2" t="s">
        <v>97</v>
      </c>
      <c r="K2505" s="2" t="s">
        <v>77</v>
      </c>
      <c r="L2505" s="2" t="s">
        <v>145</v>
      </c>
      <c r="M2505" s="2" t="s">
        <v>146</v>
      </c>
      <c r="N2505" s="2" t="s">
        <v>753</v>
      </c>
      <c r="O2505" s="2" t="s">
        <v>81</v>
      </c>
      <c r="P2505" s="2" t="str">
        <f>"2170600556                    "</f>
        <v xml:space="preserve">2170600556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45.7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3</v>
      </c>
      <c r="BI2505" s="2">
        <v>84</v>
      </c>
      <c r="BJ2505" s="2">
        <v>61.8</v>
      </c>
      <c r="BK2505" s="2">
        <v>84</v>
      </c>
      <c r="BL2505" s="2">
        <v>370.3</v>
      </c>
      <c r="BM2505" s="2">
        <v>51.84</v>
      </c>
      <c r="BN2505" s="2">
        <v>422.14</v>
      </c>
      <c r="BO2505" s="2">
        <v>422.14</v>
      </c>
      <c r="BQ2505" s="2" t="s">
        <v>82</v>
      </c>
      <c r="BR2505" s="2" t="s">
        <v>103</v>
      </c>
      <c r="BS2505" s="3">
        <v>43073</v>
      </c>
      <c r="BT2505" s="4">
        <v>0.6166666666666667</v>
      </c>
      <c r="BU2505" s="2" t="s">
        <v>1008</v>
      </c>
      <c r="BV2505" s="2" t="s">
        <v>89</v>
      </c>
      <c r="BW2505" s="2" t="s">
        <v>149</v>
      </c>
      <c r="BX2505" s="2" t="s">
        <v>150</v>
      </c>
      <c r="BY2505" s="2">
        <v>308780</v>
      </c>
      <c r="CA2505" s="2" t="s">
        <v>2648</v>
      </c>
      <c r="CC2505" s="2" t="s">
        <v>146</v>
      </c>
      <c r="CD2505" s="2">
        <v>5201</v>
      </c>
      <c r="CE2505" s="2" t="s">
        <v>2625</v>
      </c>
      <c r="CF2505" s="3">
        <v>43075</v>
      </c>
      <c r="CI2505" s="2">
        <v>2</v>
      </c>
      <c r="CJ2505" s="2">
        <v>3</v>
      </c>
      <c r="CK2505" s="2" t="s">
        <v>2649</v>
      </c>
      <c r="CL2505" s="2" t="s">
        <v>89</v>
      </c>
    </row>
    <row r="2506" spans="1:90">
      <c r="A2506" s="2" t="s">
        <v>71</v>
      </c>
      <c r="B2506" s="2" t="s">
        <v>72</v>
      </c>
      <c r="C2506" s="2" t="s">
        <v>73</v>
      </c>
      <c r="E2506" s="2" t="str">
        <f>"FES1162594081"</f>
        <v>FES1162594081</v>
      </c>
      <c r="F2506" s="3">
        <v>43074</v>
      </c>
      <c r="G2506" s="2">
        <v>201806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285</v>
      </c>
      <c r="M2506" s="2" t="s">
        <v>159</v>
      </c>
      <c r="N2506" s="2" t="s">
        <v>186</v>
      </c>
      <c r="O2506" s="2" t="s">
        <v>81</v>
      </c>
      <c r="P2506" s="2" t="str">
        <f>"2170606095                    "</f>
        <v xml:space="preserve">2170606095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9.7100000000000009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7.9</v>
      </c>
      <c r="BJ2506" s="2">
        <v>3.4</v>
      </c>
      <c r="BK2506" s="2">
        <v>8</v>
      </c>
      <c r="BL2506" s="2">
        <v>82.6</v>
      </c>
      <c r="BM2506" s="2">
        <v>11.56</v>
      </c>
      <c r="BN2506" s="2">
        <v>94.16</v>
      </c>
      <c r="BO2506" s="2">
        <v>94.16</v>
      </c>
      <c r="BQ2506" s="2" t="s">
        <v>187</v>
      </c>
      <c r="BR2506" s="2" t="s">
        <v>83</v>
      </c>
      <c r="BS2506" s="3">
        <v>43075</v>
      </c>
      <c r="BT2506" s="4">
        <v>0.66666666666666663</v>
      </c>
      <c r="BU2506" s="2" t="s">
        <v>1303</v>
      </c>
      <c r="BW2506" s="2" t="s">
        <v>156</v>
      </c>
      <c r="BX2506" s="2" t="s">
        <v>565</v>
      </c>
      <c r="BY2506" s="2">
        <v>16829.86</v>
      </c>
      <c r="CC2506" s="2" t="s">
        <v>159</v>
      </c>
      <c r="CD2506" s="2">
        <v>159</v>
      </c>
      <c r="CE2506" s="2" t="s">
        <v>95</v>
      </c>
      <c r="CF2506" s="3">
        <v>43077</v>
      </c>
      <c r="CI2506" s="2">
        <v>0</v>
      </c>
      <c r="CJ2506" s="2">
        <v>0</v>
      </c>
      <c r="CK2506" s="2" t="s">
        <v>289</v>
      </c>
      <c r="CL2506" s="2" t="s">
        <v>89</v>
      </c>
    </row>
    <row r="2507" spans="1:90">
      <c r="A2507" s="2" t="s">
        <v>71</v>
      </c>
      <c r="B2507" s="2" t="s">
        <v>72</v>
      </c>
      <c r="C2507" s="2" t="s">
        <v>73</v>
      </c>
      <c r="E2507" s="2" t="str">
        <f>"FES1162594073"</f>
        <v>FES1162594073</v>
      </c>
      <c r="F2507" s="3">
        <v>43074</v>
      </c>
      <c r="G2507" s="2">
        <v>201806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285</v>
      </c>
      <c r="M2507" s="2" t="s">
        <v>159</v>
      </c>
      <c r="N2507" s="2" t="s">
        <v>543</v>
      </c>
      <c r="O2507" s="2" t="s">
        <v>81</v>
      </c>
      <c r="P2507" s="2" t="str">
        <f>"2170606081                    "</f>
        <v xml:space="preserve">2170606081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9.7100000000000009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11.4</v>
      </c>
      <c r="BJ2507" s="2">
        <v>3.2</v>
      </c>
      <c r="BK2507" s="2">
        <v>12</v>
      </c>
      <c r="BL2507" s="2">
        <v>82.6</v>
      </c>
      <c r="BM2507" s="2">
        <v>11.56</v>
      </c>
      <c r="BN2507" s="2">
        <v>94.16</v>
      </c>
      <c r="BO2507" s="2">
        <v>94.16</v>
      </c>
      <c r="BQ2507" s="2" t="s">
        <v>82</v>
      </c>
      <c r="BR2507" s="2" t="s">
        <v>83</v>
      </c>
      <c r="BS2507" s="3">
        <v>43075</v>
      </c>
      <c r="BT2507" s="4">
        <v>0.41111111111111115</v>
      </c>
      <c r="BU2507" s="2" t="s">
        <v>1176</v>
      </c>
      <c r="BY2507" s="2">
        <v>16007.71</v>
      </c>
      <c r="CA2507" s="2" t="s">
        <v>1177</v>
      </c>
      <c r="CC2507" s="2" t="s">
        <v>159</v>
      </c>
      <c r="CD2507" s="2">
        <v>1</v>
      </c>
      <c r="CE2507" s="2" t="s">
        <v>95</v>
      </c>
      <c r="CF2507" s="3">
        <v>43077</v>
      </c>
      <c r="CI2507" s="2">
        <v>0</v>
      </c>
      <c r="CJ2507" s="2">
        <v>0</v>
      </c>
      <c r="CK2507" s="2" t="s">
        <v>289</v>
      </c>
      <c r="CL2507" s="2" t="s">
        <v>89</v>
      </c>
    </row>
    <row r="2508" spans="1:90">
      <c r="A2508" s="2" t="s">
        <v>71</v>
      </c>
      <c r="B2508" s="2" t="s">
        <v>72</v>
      </c>
      <c r="C2508" s="2" t="s">
        <v>73</v>
      </c>
      <c r="E2508" s="2" t="str">
        <f>"FES1162594047"</f>
        <v>FES1162594047</v>
      </c>
      <c r="F2508" s="3">
        <v>43074</v>
      </c>
      <c r="G2508" s="2">
        <v>201806</v>
      </c>
      <c r="H2508" s="2" t="s">
        <v>74</v>
      </c>
      <c r="I2508" s="2" t="s">
        <v>75</v>
      </c>
      <c r="J2508" s="2" t="s">
        <v>97</v>
      </c>
      <c r="K2508" s="2" t="s">
        <v>77</v>
      </c>
      <c r="L2508" s="2" t="s">
        <v>74</v>
      </c>
      <c r="M2508" s="2" t="s">
        <v>75</v>
      </c>
      <c r="N2508" s="2" t="s">
        <v>2650</v>
      </c>
      <c r="O2508" s="2" t="s">
        <v>81</v>
      </c>
      <c r="P2508" s="2" t="str">
        <f>"2170606053                    "</f>
        <v xml:space="preserve">2170606053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13.8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2</v>
      </c>
      <c r="BI2508" s="2">
        <v>28.8</v>
      </c>
      <c r="BJ2508" s="2">
        <v>36.299999999999997</v>
      </c>
      <c r="BK2508" s="2">
        <v>37</v>
      </c>
      <c r="BL2508" s="2">
        <v>115.27</v>
      </c>
      <c r="BM2508" s="2">
        <v>16.14</v>
      </c>
      <c r="BN2508" s="2">
        <v>131.41</v>
      </c>
      <c r="BO2508" s="2">
        <v>131.41</v>
      </c>
      <c r="BR2508" s="2" t="s">
        <v>103</v>
      </c>
      <c r="BS2508" s="3">
        <v>43075</v>
      </c>
      <c r="BT2508" s="4">
        <v>0.4236111111111111</v>
      </c>
      <c r="BU2508" s="2" t="s">
        <v>114</v>
      </c>
      <c r="BV2508" s="2" t="s">
        <v>85</v>
      </c>
      <c r="BY2508" s="2">
        <v>181376.32</v>
      </c>
      <c r="CC2508" s="2" t="s">
        <v>75</v>
      </c>
      <c r="CD2508" s="2">
        <v>1645</v>
      </c>
      <c r="CE2508" s="2" t="s">
        <v>288</v>
      </c>
      <c r="CF2508" s="3">
        <v>43077</v>
      </c>
      <c r="CI2508" s="2">
        <v>1</v>
      </c>
      <c r="CJ2508" s="2">
        <v>1</v>
      </c>
      <c r="CK2508" s="2" t="s">
        <v>96</v>
      </c>
      <c r="CL2508" s="2" t="s">
        <v>89</v>
      </c>
    </row>
    <row r="2509" spans="1:90">
      <c r="A2509" s="2" t="s">
        <v>71</v>
      </c>
      <c r="B2509" s="2" t="s">
        <v>72</v>
      </c>
      <c r="C2509" s="2" t="s">
        <v>73</v>
      </c>
      <c r="E2509" s="2" t="str">
        <f>"FES1162593789"</f>
        <v>FES1162593789</v>
      </c>
      <c r="F2509" s="3">
        <v>43074</v>
      </c>
      <c r="G2509" s="2">
        <v>201806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285</v>
      </c>
      <c r="M2509" s="2" t="s">
        <v>159</v>
      </c>
      <c r="N2509" s="2" t="s">
        <v>963</v>
      </c>
      <c r="O2509" s="2" t="s">
        <v>81</v>
      </c>
      <c r="P2509" s="2" t="str">
        <f>"2170604450                    "</f>
        <v xml:space="preserve">2170604450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9.7100000000000009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3.8</v>
      </c>
      <c r="BJ2509" s="2">
        <v>4.5</v>
      </c>
      <c r="BK2509" s="2">
        <v>5</v>
      </c>
      <c r="BL2509" s="2">
        <v>82.6</v>
      </c>
      <c r="BM2509" s="2">
        <v>11.56</v>
      </c>
      <c r="BN2509" s="2">
        <v>94.16</v>
      </c>
      <c r="BO2509" s="2">
        <v>94.16</v>
      </c>
      <c r="BQ2509" s="2" t="s">
        <v>82</v>
      </c>
      <c r="BR2509" s="2" t="s">
        <v>83</v>
      </c>
      <c r="BS2509" s="3">
        <v>43081</v>
      </c>
      <c r="BT2509" s="4">
        <v>0.63194444444444442</v>
      </c>
      <c r="BU2509" s="2" t="s">
        <v>114</v>
      </c>
      <c r="BW2509" s="2" t="s">
        <v>156</v>
      </c>
      <c r="BX2509" s="2" t="s">
        <v>565</v>
      </c>
      <c r="BY2509" s="2">
        <v>22475.18</v>
      </c>
      <c r="CC2509" s="2" t="s">
        <v>159</v>
      </c>
      <c r="CD2509" s="2">
        <v>1</v>
      </c>
      <c r="CE2509" s="2" t="s">
        <v>87</v>
      </c>
      <c r="CF2509" s="3">
        <v>43082</v>
      </c>
      <c r="CI2509" s="2">
        <v>0</v>
      </c>
      <c r="CJ2509" s="2">
        <v>0</v>
      </c>
      <c r="CK2509" s="2" t="s">
        <v>289</v>
      </c>
      <c r="CL2509" s="2" t="s">
        <v>89</v>
      </c>
    </row>
    <row r="2510" spans="1:90">
      <c r="A2510" s="2" t="s">
        <v>71</v>
      </c>
      <c r="B2510" s="2" t="s">
        <v>72</v>
      </c>
      <c r="C2510" s="2" t="s">
        <v>73</v>
      </c>
      <c r="E2510" s="2" t="str">
        <f>"FES1162593988"</f>
        <v>FES1162593988</v>
      </c>
      <c r="F2510" s="3">
        <v>43074</v>
      </c>
      <c r="G2510" s="2">
        <v>201806</v>
      </c>
      <c r="H2510" s="2" t="s">
        <v>74</v>
      </c>
      <c r="I2510" s="2" t="s">
        <v>75</v>
      </c>
      <c r="J2510" s="2" t="s">
        <v>97</v>
      </c>
      <c r="K2510" s="2" t="s">
        <v>77</v>
      </c>
      <c r="L2510" s="2" t="s">
        <v>162</v>
      </c>
      <c r="M2510" s="2" t="s">
        <v>163</v>
      </c>
      <c r="N2510" s="2" t="s">
        <v>1515</v>
      </c>
      <c r="O2510" s="2" t="s">
        <v>81</v>
      </c>
      <c r="P2510" s="2" t="str">
        <f>"2170602052                    "</f>
        <v xml:space="preserve">2170602052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11.14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27</v>
      </c>
      <c r="BJ2510" s="2">
        <v>11.7</v>
      </c>
      <c r="BK2510" s="2">
        <v>27</v>
      </c>
      <c r="BL2510" s="2">
        <v>94.01</v>
      </c>
      <c r="BM2510" s="2">
        <v>13.16</v>
      </c>
      <c r="BN2510" s="2">
        <v>107.17</v>
      </c>
      <c r="BO2510" s="2">
        <v>107.17</v>
      </c>
      <c r="BQ2510" s="2" t="s">
        <v>1866</v>
      </c>
      <c r="BR2510" s="2" t="s">
        <v>103</v>
      </c>
      <c r="BS2510" s="3">
        <v>43075</v>
      </c>
      <c r="BT2510" s="4">
        <v>0.41666666666666669</v>
      </c>
      <c r="BU2510" s="2" t="s">
        <v>512</v>
      </c>
      <c r="BV2510" s="2" t="s">
        <v>85</v>
      </c>
      <c r="BY2510" s="2">
        <v>58439.14</v>
      </c>
      <c r="CC2510" s="2" t="s">
        <v>163</v>
      </c>
      <c r="CD2510" s="2">
        <v>1451</v>
      </c>
      <c r="CE2510" s="2" t="s">
        <v>87</v>
      </c>
      <c r="CF2510" s="3">
        <v>43077</v>
      </c>
      <c r="CI2510" s="2">
        <v>1</v>
      </c>
      <c r="CJ2510" s="2">
        <v>1</v>
      </c>
      <c r="CK2510" s="2" t="s">
        <v>96</v>
      </c>
      <c r="CL2510" s="2" t="s">
        <v>89</v>
      </c>
    </row>
    <row r="2511" spans="1:90">
      <c r="A2511" s="2" t="s">
        <v>71</v>
      </c>
      <c r="B2511" s="2" t="s">
        <v>72</v>
      </c>
      <c r="C2511" s="2" t="s">
        <v>73</v>
      </c>
      <c r="E2511" s="2" t="str">
        <f>"FES1162595075"</f>
        <v>FES1162595075</v>
      </c>
      <c r="F2511" s="3">
        <v>43081</v>
      </c>
      <c r="G2511" s="2">
        <v>201806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285</v>
      </c>
      <c r="M2511" s="2" t="s">
        <v>159</v>
      </c>
      <c r="N2511" s="2" t="s">
        <v>2651</v>
      </c>
      <c r="O2511" s="2" t="s">
        <v>81</v>
      </c>
      <c r="P2511" s="2" t="str">
        <f>"2170601867                    "</f>
        <v xml:space="preserve">2170601867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11.06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6.8</v>
      </c>
      <c r="BJ2511" s="2">
        <v>4.9000000000000004</v>
      </c>
      <c r="BK2511" s="2">
        <v>7</v>
      </c>
      <c r="BL2511" s="2">
        <v>83.95</v>
      </c>
      <c r="BM2511" s="2">
        <v>11.75</v>
      </c>
      <c r="BN2511" s="2">
        <v>95.7</v>
      </c>
      <c r="BO2511" s="2">
        <v>95.7</v>
      </c>
      <c r="BQ2511" s="2" t="s">
        <v>2652</v>
      </c>
      <c r="BR2511" s="2" t="s">
        <v>83</v>
      </c>
      <c r="BS2511" s="3">
        <v>43082</v>
      </c>
      <c r="BT2511" s="4">
        <v>0.51388888888888895</v>
      </c>
      <c r="BU2511" s="2" t="s">
        <v>2653</v>
      </c>
      <c r="BW2511" s="2" t="s">
        <v>156</v>
      </c>
      <c r="BX2511" s="2" t="s">
        <v>668</v>
      </c>
      <c r="BY2511" s="2">
        <v>24605.63</v>
      </c>
      <c r="CC2511" s="2" t="s">
        <v>159</v>
      </c>
      <c r="CD2511" s="2">
        <v>1</v>
      </c>
      <c r="CE2511" s="2" t="s">
        <v>288</v>
      </c>
      <c r="CF2511" s="3">
        <v>43084</v>
      </c>
      <c r="CI2511" s="2">
        <v>0</v>
      </c>
      <c r="CJ2511" s="2">
        <v>0</v>
      </c>
      <c r="CK2511" s="2" t="s">
        <v>289</v>
      </c>
      <c r="CL2511" s="2" t="s">
        <v>89</v>
      </c>
    </row>
    <row r="2512" spans="1:90">
      <c r="A2512" s="2" t="s">
        <v>71</v>
      </c>
      <c r="B2512" s="2" t="s">
        <v>72</v>
      </c>
      <c r="C2512" s="2" t="s">
        <v>73</v>
      </c>
      <c r="E2512" s="2" t="str">
        <f>"FES1162593963"</f>
        <v>FES1162593963</v>
      </c>
      <c r="F2512" s="3">
        <v>43074</v>
      </c>
      <c r="G2512" s="2">
        <v>201806</v>
      </c>
      <c r="H2512" s="2" t="s">
        <v>74</v>
      </c>
      <c r="I2512" s="2" t="s">
        <v>75</v>
      </c>
      <c r="J2512" s="2" t="s">
        <v>97</v>
      </c>
      <c r="K2512" s="2" t="s">
        <v>77</v>
      </c>
      <c r="L2512" s="2" t="s">
        <v>262</v>
      </c>
      <c r="M2512" s="2" t="s">
        <v>263</v>
      </c>
      <c r="N2512" s="2" t="s">
        <v>1567</v>
      </c>
      <c r="O2512" s="2" t="s">
        <v>81</v>
      </c>
      <c r="P2512" s="2" t="str">
        <f>"2170601696                    "</f>
        <v xml:space="preserve">2170601696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39.770000000000003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70</v>
      </c>
      <c r="BJ2512" s="2">
        <v>72</v>
      </c>
      <c r="BK2512" s="2">
        <v>72</v>
      </c>
      <c r="BL2512" s="2">
        <v>322.85000000000002</v>
      </c>
      <c r="BM2512" s="2">
        <v>45.2</v>
      </c>
      <c r="BN2512" s="2">
        <v>368.05</v>
      </c>
      <c r="BO2512" s="2">
        <v>368.05</v>
      </c>
      <c r="BQ2512" s="2" t="s">
        <v>128</v>
      </c>
      <c r="BR2512" s="2" t="s">
        <v>103</v>
      </c>
      <c r="BS2512" s="3">
        <v>43077</v>
      </c>
      <c r="BT2512" s="4">
        <v>0.4513888888888889</v>
      </c>
      <c r="BU2512" s="2" t="s">
        <v>2654</v>
      </c>
      <c r="BV2512" s="2" t="s">
        <v>89</v>
      </c>
      <c r="BW2512" s="2" t="s">
        <v>313</v>
      </c>
      <c r="BX2512" s="2" t="s">
        <v>2347</v>
      </c>
      <c r="BY2512" s="2">
        <v>360000</v>
      </c>
      <c r="CA2512" s="2" t="s">
        <v>266</v>
      </c>
      <c r="CC2512" s="2" t="s">
        <v>263</v>
      </c>
      <c r="CD2512" s="2">
        <v>6229</v>
      </c>
      <c r="CE2512" s="2" t="s">
        <v>87</v>
      </c>
      <c r="CF2512" s="3">
        <v>43081</v>
      </c>
      <c r="CI2512" s="2">
        <v>2</v>
      </c>
      <c r="CJ2512" s="2">
        <v>3</v>
      </c>
      <c r="CK2512" s="2" t="s">
        <v>271</v>
      </c>
      <c r="CL2512" s="2" t="s">
        <v>89</v>
      </c>
    </row>
    <row r="2513" spans="1:90">
      <c r="A2513" s="2" t="s">
        <v>71</v>
      </c>
      <c r="B2513" s="2" t="s">
        <v>72</v>
      </c>
      <c r="C2513" s="2" t="s">
        <v>73</v>
      </c>
      <c r="E2513" s="2" t="str">
        <f>"FES1162593990"</f>
        <v>FES1162593990</v>
      </c>
      <c r="F2513" s="3">
        <v>43074</v>
      </c>
      <c r="G2513" s="2">
        <v>201806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74</v>
      </c>
      <c r="M2513" s="2" t="s">
        <v>75</v>
      </c>
      <c r="N2513" s="2" t="s">
        <v>1233</v>
      </c>
      <c r="O2513" s="2" t="s">
        <v>81</v>
      </c>
      <c r="P2513" s="2" t="str">
        <f>"2170602349                    "</f>
        <v xml:space="preserve">2170602349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9.01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8</v>
      </c>
      <c r="BJ2513" s="2">
        <v>18.399999999999999</v>
      </c>
      <c r="BK2513" s="2">
        <v>19</v>
      </c>
      <c r="BL2513" s="2">
        <v>77</v>
      </c>
      <c r="BM2513" s="2">
        <v>10.78</v>
      </c>
      <c r="BN2513" s="2">
        <v>87.78</v>
      </c>
      <c r="BO2513" s="2">
        <v>87.78</v>
      </c>
      <c r="BQ2513" s="2" t="s">
        <v>82</v>
      </c>
      <c r="BR2513" s="2" t="s">
        <v>83</v>
      </c>
      <c r="BS2513" s="3">
        <v>43075</v>
      </c>
      <c r="BT2513" s="4">
        <v>0.41666666666666669</v>
      </c>
      <c r="BU2513" s="2" t="s">
        <v>2040</v>
      </c>
      <c r="BV2513" s="2" t="s">
        <v>85</v>
      </c>
      <c r="BY2513" s="2">
        <v>91808</v>
      </c>
      <c r="CA2513" s="2" t="s">
        <v>2655</v>
      </c>
      <c r="CC2513" s="2" t="s">
        <v>75</v>
      </c>
      <c r="CD2513" s="2">
        <v>1609</v>
      </c>
      <c r="CE2513" s="2" t="s">
        <v>95</v>
      </c>
      <c r="CF2513" s="3">
        <v>43077</v>
      </c>
      <c r="CI2513" s="2">
        <v>1</v>
      </c>
      <c r="CJ2513" s="2">
        <v>1</v>
      </c>
      <c r="CK2513" s="2" t="s">
        <v>96</v>
      </c>
      <c r="CL2513" s="2" t="s">
        <v>89</v>
      </c>
    </row>
    <row r="2514" spans="1:90">
      <c r="A2514" s="2" t="s">
        <v>71</v>
      </c>
      <c r="B2514" s="2" t="s">
        <v>72</v>
      </c>
      <c r="C2514" s="2" t="s">
        <v>73</v>
      </c>
      <c r="E2514" s="2" t="str">
        <f>"FES1162593981"</f>
        <v>FES1162593981</v>
      </c>
      <c r="F2514" s="3">
        <v>43074</v>
      </c>
      <c r="G2514" s="2">
        <v>201806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152</v>
      </c>
      <c r="M2514" s="2" t="s">
        <v>153</v>
      </c>
      <c r="N2514" s="2" t="s">
        <v>2158</v>
      </c>
      <c r="O2514" s="2" t="s">
        <v>81</v>
      </c>
      <c r="P2514" s="2" t="str">
        <f>"2170601528                    "</f>
        <v xml:space="preserve">2170601528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9.81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11.5</v>
      </c>
      <c r="BJ2514" s="2">
        <v>22.1</v>
      </c>
      <c r="BK2514" s="2">
        <v>22</v>
      </c>
      <c r="BL2514" s="2">
        <v>83.38</v>
      </c>
      <c r="BM2514" s="2">
        <v>11.67</v>
      </c>
      <c r="BN2514" s="2">
        <v>95.05</v>
      </c>
      <c r="BO2514" s="2">
        <v>95.05</v>
      </c>
      <c r="BQ2514" s="2" t="s">
        <v>82</v>
      </c>
      <c r="BR2514" s="2" t="s">
        <v>83</v>
      </c>
      <c r="BS2514" s="3">
        <v>43077</v>
      </c>
      <c r="BT2514" s="4">
        <v>0.4368055555555555</v>
      </c>
      <c r="BU2514" s="2" t="s">
        <v>2656</v>
      </c>
      <c r="BV2514" s="2" t="s">
        <v>89</v>
      </c>
      <c r="BW2514" s="2" t="s">
        <v>437</v>
      </c>
      <c r="BX2514" s="2" t="s">
        <v>1465</v>
      </c>
      <c r="BY2514" s="2">
        <v>110325.52</v>
      </c>
      <c r="CA2514" s="2" t="s">
        <v>293</v>
      </c>
      <c r="CC2514" s="2" t="s">
        <v>153</v>
      </c>
      <c r="CD2514" s="2">
        <v>1401</v>
      </c>
      <c r="CE2514" s="2" t="s">
        <v>95</v>
      </c>
      <c r="CF2514" s="3">
        <v>43080</v>
      </c>
      <c r="CI2514" s="2">
        <v>1</v>
      </c>
      <c r="CJ2514" s="2">
        <v>3</v>
      </c>
      <c r="CK2514" s="2" t="s">
        <v>96</v>
      </c>
      <c r="CL2514" s="2" t="s">
        <v>89</v>
      </c>
    </row>
    <row r="2515" spans="1:90">
      <c r="A2515" s="2" t="s">
        <v>71</v>
      </c>
      <c r="B2515" s="2" t="s">
        <v>72</v>
      </c>
      <c r="C2515" s="2" t="s">
        <v>73</v>
      </c>
      <c r="E2515" s="2" t="str">
        <f>"FES1162593961"</f>
        <v>FES1162593961</v>
      </c>
      <c r="F2515" s="3">
        <v>43074</v>
      </c>
      <c r="G2515" s="2">
        <v>201806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285</v>
      </c>
      <c r="M2515" s="2" t="s">
        <v>159</v>
      </c>
      <c r="N2515" s="2" t="s">
        <v>738</v>
      </c>
      <c r="O2515" s="2" t="s">
        <v>81</v>
      </c>
      <c r="P2515" s="2" t="str">
        <f>"2170650301                    "</f>
        <v xml:space="preserve">2170650301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9.7100000000000009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2.4</v>
      </c>
      <c r="BJ2515" s="2">
        <v>4.0999999999999996</v>
      </c>
      <c r="BK2515" s="2">
        <v>5</v>
      </c>
      <c r="BL2515" s="2">
        <v>82.6</v>
      </c>
      <c r="BM2515" s="2">
        <v>11.56</v>
      </c>
      <c r="BN2515" s="2">
        <v>94.16</v>
      </c>
      <c r="BO2515" s="2">
        <v>94.16</v>
      </c>
      <c r="BQ2515" s="2" t="s">
        <v>739</v>
      </c>
      <c r="BR2515" s="2" t="s">
        <v>83</v>
      </c>
      <c r="BS2515" s="3">
        <v>43075</v>
      </c>
      <c r="BT2515" s="4">
        <v>0.67708333333333337</v>
      </c>
      <c r="BU2515" s="2" t="s">
        <v>2657</v>
      </c>
      <c r="BY2515" s="2">
        <v>20582.060000000001</v>
      </c>
      <c r="CA2515" s="2" t="s">
        <v>1564</v>
      </c>
      <c r="CC2515" s="2" t="s">
        <v>159</v>
      </c>
      <c r="CD2515" s="2">
        <v>117</v>
      </c>
      <c r="CE2515" s="2" t="s">
        <v>87</v>
      </c>
      <c r="CF2515" s="3">
        <v>43077</v>
      </c>
      <c r="CI2515" s="2">
        <v>0</v>
      </c>
      <c r="CJ2515" s="2">
        <v>0</v>
      </c>
      <c r="CK2515" s="2" t="s">
        <v>289</v>
      </c>
      <c r="CL2515" s="2" t="s">
        <v>89</v>
      </c>
    </row>
    <row r="2516" spans="1:90">
      <c r="A2516" s="2" t="s">
        <v>71</v>
      </c>
      <c r="B2516" s="2" t="s">
        <v>72</v>
      </c>
      <c r="C2516" s="2" t="s">
        <v>73</v>
      </c>
      <c r="E2516" s="2" t="str">
        <f>"FES1162594941"</f>
        <v>FES1162594941</v>
      </c>
      <c r="F2516" s="3">
        <v>43081</v>
      </c>
      <c r="G2516" s="2">
        <v>201806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189</v>
      </c>
      <c r="M2516" s="2" t="s">
        <v>190</v>
      </c>
      <c r="N2516" s="2" t="s">
        <v>191</v>
      </c>
      <c r="O2516" s="2" t="s">
        <v>81</v>
      </c>
      <c r="P2516" s="2" t="str">
        <f>"2170606852                    "</f>
        <v xml:space="preserve">2170606852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11.06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6.9</v>
      </c>
      <c r="BJ2516" s="2">
        <v>2.1</v>
      </c>
      <c r="BK2516" s="2">
        <v>7</v>
      </c>
      <c r="BL2516" s="2">
        <v>83.95</v>
      </c>
      <c r="BM2516" s="2">
        <v>11.75</v>
      </c>
      <c r="BN2516" s="2">
        <v>95.7</v>
      </c>
      <c r="BO2516" s="2">
        <v>95.7</v>
      </c>
      <c r="BQ2516" s="2" t="s">
        <v>82</v>
      </c>
      <c r="BR2516" s="2" t="s">
        <v>83</v>
      </c>
      <c r="BS2516" s="3">
        <v>43082</v>
      </c>
      <c r="BT2516" s="4">
        <v>0.40972222222222227</v>
      </c>
      <c r="BU2516" s="2" t="s">
        <v>200</v>
      </c>
      <c r="BY2516" s="2">
        <v>10322.030000000001</v>
      </c>
      <c r="CC2516" s="2" t="s">
        <v>190</v>
      </c>
      <c r="CD2516" s="2">
        <v>157</v>
      </c>
      <c r="CE2516" s="2" t="s">
        <v>288</v>
      </c>
      <c r="CF2516" s="3">
        <v>43084</v>
      </c>
      <c r="CI2516" s="2">
        <v>0</v>
      </c>
      <c r="CJ2516" s="2">
        <v>0</v>
      </c>
      <c r="CK2516" s="2" t="s">
        <v>289</v>
      </c>
      <c r="CL2516" s="2" t="s">
        <v>89</v>
      </c>
    </row>
    <row r="2517" spans="1:90">
      <c r="A2517" s="2" t="s">
        <v>71</v>
      </c>
      <c r="B2517" s="2" t="s">
        <v>72</v>
      </c>
      <c r="C2517" s="2" t="s">
        <v>73</v>
      </c>
      <c r="E2517" s="2" t="str">
        <f>"FES1162593744"</f>
        <v>FES1162593744</v>
      </c>
      <c r="F2517" s="3">
        <v>43074</v>
      </c>
      <c r="G2517" s="2">
        <v>201806</v>
      </c>
      <c r="H2517" s="2" t="s">
        <v>74</v>
      </c>
      <c r="I2517" s="2" t="s">
        <v>75</v>
      </c>
      <c r="J2517" s="2" t="s">
        <v>97</v>
      </c>
      <c r="K2517" s="2" t="s">
        <v>77</v>
      </c>
      <c r="L2517" s="2" t="s">
        <v>152</v>
      </c>
      <c r="M2517" s="2" t="s">
        <v>153</v>
      </c>
      <c r="N2517" s="2" t="s">
        <v>1846</v>
      </c>
      <c r="O2517" s="2" t="s">
        <v>81</v>
      </c>
      <c r="P2517" s="2" t="str">
        <f>"2170605828                    "</f>
        <v xml:space="preserve">2170605828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11.14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26.4</v>
      </c>
      <c r="BJ2517" s="2">
        <v>9.3000000000000007</v>
      </c>
      <c r="BK2517" s="2">
        <v>27</v>
      </c>
      <c r="BL2517" s="2">
        <v>94.01</v>
      </c>
      <c r="BM2517" s="2">
        <v>13.16</v>
      </c>
      <c r="BN2517" s="2">
        <v>107.17</v>
      </c>
      <c r="BO2517" s="2">
        <v>107.17</v>
      </c>
      <c r="BR2517" s="2" t="s">
        <v>103</v>
      </c>
      <c r="BS2517" s="3">
        <v>43080</v>
      </c>
      <c r="BT2517" s="4">
        <v>0.41666666666666669</v>
      </c>
      <c r="BU2517" s="2" t="s">
        <v>641</v>
      </c>
      <c r="BV2517" s="2" t="s">
        <v>89</v>
      </c>
      <c r="BW2517" s="2" t="s">
        <v>149</v>
      </c>
      <c r="BX2517" s="2" t="s">
        <v>276</v>
      </c>
      <c r="BY2517" s="2">
        <v>46537.95</v>
      </c>
      <c r="CC2517" s="2" t="s">
        <v>153</v>
      </c>
      <c r="CD2517" s="2">
        <v>1422</v>
      </c>
      <c r="CE2517" s="2" t="s">
        <v>95</v>
      </c>
      <c r="CF2517" s="3">
        <v>43081</v>
      </c>
      <c r="CI2517" s="2">
        <v>1</v>
      </c>
      <c r="CJ2517" s="2">
        <v>4</v>
      </c>
      <c r="CK2517" s="2" t="s">
        <v>96</v>
      </c>
      <c r="CL2517" s="2" t="s">
        <v>89</v>
      </c>
    </row>
    <row r="2518" spans="1:90">
      <c r="A2518" s="2" t="s">
        <v>71</v>
      </c>
      <c r="B2518" s="2" t="s">
        <v>72</v>
      </c>
      <c r="C2518" s="2" t="s">
        <v>73</v>
      </c>
      <c r="E2518" s="2" t="str">
        <f>"FES1162593790"</f>
        <v>FES1162593790</v>
      </c>
      <c r="F2518" s="3">
        <v>43074</v>
      </c>
      <c r="G2518" s="2">
        <v>201806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106</v>
      </c>
      <c r="M2518" s="2" t="s">
        <v>107</v>
      </c>
      <c r="N2518" s="2" t="s">
        <v>427</v>
      </c>
      <c r="O2518" s="2" t="s">
        <v>81</v>
      </c>
      <c r="P2518" s="2" t="str">
        <f>"2170604508                    "</f>
        <v xml:space="preserve">2170604508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9.01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14.6</v>
      </c>
      <c r="BJ2518" s="2">
        <v>18.600000000000001</v>
      </c>
      <c r="BK2518" s="2">
        <v>19</v>
      </c>
      <c r="BL2518" s="2">
        <v>77</v>
      </c>
      <c r="BM2518" s="2">
        <v>10.78</v>
      </c>
      <c r="BN2518" s="2">
        <v>87.78</v>
      </c>
      <c r="BO2518" s="2">
        <v>87.78</v>
      </c>
      <c r="BQ2518" s="2" t="s">
        <v>82</v>
      </c>
      <c r="BR2518" s="2" t="s">
        <v>83</v>
      </c>
      <c r="BS2518" s="3">
        <v>43075</v>
      </c>
      <c r="BT2518" s="4">
        <v>0.44722222222222219</v>
      </c>
      <c r="BU2518" s="2" t="s">
        <v>1121</v>
      </c>
      <c r="BV2518" s="2" t="s">
        <v>85</v>
      </c>
      <c r="BY2518" s="2">
        <v>93105.4</v>
      </c>
      <c r="CA2518" s="2" t="s">
        <v>429</v>
      </c>
      <c r="CC2518" s="2" t="s">
        <v>107</v>
      </c>
      <c r="CD2518" s="2">
        <v>2091</v>
      </c>
      <c r="CE2518" s="2" t="s">
        <v>95</v>
      </c>
      <c r="CF2518" s="3">
        <v>43077</v>
      </c>
      <c r="CI2518" s="2">
        <v>1</v>
      </c>
      <c r="CJ2518" s="2">
        <v>1</v>
      </c>
      <c r="CK2518" s="2" t="s">
        <v>96</v>
      </c>
      <c r="CL2518" s="2" t="s">
        <v>89</v>
      </c>
    </row>
    <row r="2519" spans="1:90">
      <c r="A2519" s="2" t="s">
        <v>71</v>
      </c>
      <c r="B2519" s="2" t="s">
        <v>72</v>
      </c>
      <c r="C2519" s="2" t="s">
        <v>73</v>
      </c>
      <c r="E2519" s="2" t="str">
        <f>"FES1162596084"</f>
        <v>FES1162596084</v>
      </c>
      <c r="F2519" s="3">
        <v>43083</v>
      </c>
      <c r="G2519" s="2">
        <v>201806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212</v>
      </c>
      <c r="M2519" s="2" t="s">
        <v>212</v>
      </c>
      <c r="N2519" s="2" t="s">
        <v>213</v>
      </c>
      <c r="O2519" s="2" t="s">
        <v>908</v>
      </c>
      <c r="P2519" s="2" t="str">
        <f>"2170607847                    "</f>
        <v xml:space="preserve">2170607847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412.74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690</v>
      </c>
      <c r="BH2519" s="2">
        <v>2</v>
      </c>
      <c r="BI2519" s="2">
        <v>3</v>
      </c>
      <c r="BJ2519" s="2">
        <v>0.7</v>
      </c>
      <c r="BK2519" s="2">
        <v>3</v>
      </c>
      <c r="BL2519" s="2">
        <v>1238.8699999999999</v>
      </c>
      <c r="BM2519" s="2">
        <v>173.44</v>
      </c>
      <c r="BN2519" s="2">
        <v>1412.31</v>
      </c>
      <c r="BO2519" s="2">
        <v>1412.31</v>
      </c>
      <c r="BP2519" s="2" t="s">
        <v>908</v>
      </c>
      <c r="BQ2519" s="2" t="s">
        <v>1136</v>
      </c>
      <c r="BR2519" s="2" t="s">
        <v>83</v>
      </c>
      <c r="BS2519" s="3">
        <v>43083</v>
      </c>
      <c r="BT2519" s="4">
        <v>0.58333333333333337</v>
      </c>
      <c r="BU2519" s="2" t="s">
        <v>2658</v>
      </c>
      <c r="BV2519" s="2" t="s">
        <v>85</v>
      </c>
      <c r="BY2519" s="2">
        <v>3600</v>
      </c>
      <c r="BZ2519" s="2" t="s">
        <v>1873</v>
      </c>
      <c r="CC2519" s="2" t="s">
        <v>212</v>
      </c>
      <c r="CD2519" s="2">
        <v>7646</v>
      </c>
      <c r="CE2519" s="2" t="s">
        <v>120</v>
      </c>
      <c r="CF2519" s="3">
        <v>43084</v>
      </c>
      <c r="CI2519" s="2">
        <v>0</v>
      </c>
      <c r="CJ2519" s="2">
        <v>0</v>
      </c>
      <c r="CK2519" s="2">
        <v>-1</v>
      </c>
      <c r="CL2519" s="2" t="s">
        <v>89</v>
      </c>
    </row>
    <row r="2520" spans="1:90">
      <c r="A2520" s="2" t="s">
        <v>71</v>
      </c>
      <c r="B2520" s="2" t="s">
        <v>72</v>
      </c>
      <c r="C2520" s="2" t="s">
        <v>73</v>
      </c>
      <c r="E2520" s="2" t="str">
        <f>"RFES1162595070"</f>
        <v>RFES1162595070</v>
      </c>
      <c r="F2520" s="3">
        <v>43087</v>
      </c>
      <c r="G2520" s="2">
        <v>201806</v>
      </c>
      <c r="H2520" s="2" t="s">
        <v>253</v>
      </c>
      <c r="I2520" s="2" t="s">
        <v>254</v>
      </c>
      <c r="J2520" s="2" t="s">
        <v>773</v>
      </c>
      <c r="K2520" s="2" t="s">
        <v>77</v>
      </c>
      <c r="L2520" s="2" t="s">
        <v>111</v>
      </c>
      <c r="M2520" s="2" t="s">
        <v>112</v>
      </c>
      <c r="N2520" s="2" t="s">
        <v>97</v>
      </c>
      <c r="O2520" s="2" t="s">
        <v>339</v>
      </c>
      <c r="P2520" s="2" t="str">
        <f>"2170600751                    "</f>
        <v xml:space="preserve">2170600751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54.95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17</v>
      </c>
      <c r="BJ2520" s="2">
        <v>2.7</v>
      </c>
      <c r="BK2520" s="2">
        <v>17</v>
      </c>
      <c r="BL2520" s="2">
        <v>392.26</v>
      </c>
      <c r="BM2520" s="2">
        <v>54.92</v>
      </c>
      <c r="BN2520" s="2">
        <v>447.18</v>
      </c>
      <c r="BO2520" s="2">
        <v>447.18</v>
      </c>
      <c r="BQ2520" s="2" t="s">
        <v>103</v>
      </c>
      <c r="BR2520" s="2" t="s">
        <v>82</v>
      </c>
      <c r="BS2520" s="2" t="s">
        <v>185</v>
      </c>
      <c r="BY2520" s="2">
        <v>13500</v>
      </c>
      <c r="BZ2520" s="2" t="s">
        <v>27</v>
      </c>
      <c r="CC2520" s="2" t="s">
        <v>112</v>
      </c>
      <c r="CD2520" s="2">
        <v>6242</v>
      </c>
      <c r="CE2520" s="2" t="s">
        <v>87</v>
      </c>
      <c r="CI2520" s="2">
        <v>1</v>
      </c>
      <c r="CJ2520" s="2" t="s">
        <v>185</v>
      </c>
      <c r="CK2520" s="2">
        <v>33</v>
      </c>
      <c r="CL2520" s="2" t="s">
        <v>89</v>
      </c>
    </row>
    <row r="2521" spans="1:90">
      <c r="A2521" s="2" t="s">
        <v>71</v>
      </c>
      <c r="B2521" s="2" t="s">
        <v>72</v>
      </c>
      <c r="C2521" s="2" t="s">
        <v>73</v>
      </c>
      <c r="E2521" s="2" t="str">
        <f>"FES1162596854"</f>
        <v>FES1162596854</v>
      </c>
      <c r="F2521" s="3">
        <v>43088</v>
      </c>
      <c r="G2521" s="2">
        <v>201806</v>
      </c>
      <c r="H2521" s="2" t="s">
        <v>74</v>
      </c>
      <c r="I2521" s="2" t="s">
        <v>75</v>
      </c>
      <c r="J2521" s="2" t="s">
        <v>97</v>
      </c>
      <c r="K2521" s="2" t="s">
        <v>77</v>
      </c>
      <c r="L2521" s="2" t="s">
        <v>212</v>
      </c>
      <c r="M2521" s="2" t="s">
        <v>212</v>
      </c>
      <c r="N2521" s="2" t="s">
        <v>370</v>
      </c>
      <c r="O2521" s="2" t="s">
        <v>101</v>
      </c>
      <c r="P2521" s="2" t="str">
        <f>"2170605468                    "</f>
        <v xml:space="preserve">2170605468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6.43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1</v>
      </c>
      <c r="BJ2521" s="2">
        <v>0.2</v>
      </c>
      <c r="BK2521" s="2">
        <v>1</v>
      </c>
      <c r="BL2521" s="2">
        <v>45.93</v>
      </c>
      <c r="BM2521" s="2">
        <v>6.43</v>
      </c>
      <c r="BN2521" s="2">
        <v>52.36</v>
      </c>
      <c r="BO2521" s="2">
        <v>52.36</v>
      </c>
      <c r="BQ2521" s="2" t="s">
        <v>102</v>
      </c>
      <c r="BR2521" s="2" t="s">
        <v>103</v>
      </c>
      <c r="BS2521" s="3">
        <v>43089</v>
      </c>
      <c r="BT2521" s="4">
        <v>0.53680555555555554</v>
      </c>
      <c r="BU2521" s="2" t="s">
        <v>2659</v>
      </c>
      <c r="BV2521" s="2" t="s">
        <v>85</v>
      </c>
      <c r="BY2521" s="2">
        <v>1200</v>
      </c>
      <c r="CC2521" s="2" t="s">
        <v>212</v>
      </c>
      <c r="CD2521" s="2">
        <v>7646</v>
      </c>
      <c r="CE2521" s="2" t="s">
        <v>120</v>
      </c>
      <c r="CF2521" s="3">
        <v>43090</v>
      </c>
      <c r="CI2521" s="2">
        <v>1</v>
      </c>
      <c r="CJ2521" s="2">
        <v>1</v>
      </c>
      <c r="CK2521" s="2">
        <v>21</v>
      </c>
      <c r="CL2521" s="2" t="s">
        <v>89</v>
      </c>
    </row>
    <row r="2522" spans="1:90">
      <c r="A2522" s="2" t="s">
        <v>71</v>
      </c>
      <c r="B2522" s="2" t="s">
        <v>72</v>
      </c>
      <c r="C2522" s="2" t="s">
        <v>73</v>
      </c>
      <c r="E2522" s="2" t="str">
        <f>"FES1162596942"</f>
        <v>FES1162596942</v>
      </c>
      <c r="F2522" s="3">
        <v>43088</v>
      </c>
      <c r="G2522" s="2">
        <v>201806</v>
      </c>
      <c r="H2522" s="2" t="s">
        <v>74</v>
      </c>
      <c r="I2522" s="2" t="s">
        <v>75</v>
      </c>
      <c r="J2522" s="2" t="s">
        <v>97</v>
      </c>
      <c r="K2522" s="2" t="s">
        <v>77</v>
      </c>
      <c r="L2522" s="2" t="s">
        <v>136</v>
      </c>
      <c r="M2522" s="2" t="s">
        <v>137</v>
      </c>
      <c r="N2522" s="2" t="s">
        <v>1042</v>
      </c>
      <c r="O2522" s="2" t="s">
        <v>101</v>
      </c>
      <c r="P2522" s="2" t="str">
        <f>"21706084444                   "</f>
        <v xml:space="preserve">21706084444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6.43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45.93</v>
      </c>
      <c r="BM2522" s="2">
        <v>6.43</v>
      </c>
      <c r="BN2522" s="2">
        <v>52.36</v>
      </c>
      <c r="BO2522" s="2">
        <v>52.36</v>
      </c>
      <c r="BQ2522" s="2" t="s">
        <v>1043</v>
      </c>
      <c r="BR2522" s="2" t="s">
        <v>103</v>
      </c>
      <c r="BS2522" s="3">
        <v>43089</v>
      </c>
      <c r="BT2522" s="4">
        <v>0.29583333333333334</v>
      </c>
      <c r="BU2522" s="2" t="s">
        <v>2660</v>
      </c>
      <c r="BV2522" s="2" t="s">
        <v>85</v>
      </c>
      <c r="BY2522" s="2">
        <v>1200</v>
      </c>
      <c r="CA2522" s="2" t="s">
        <v>140</v>
      </c>
      <c r="CC2522" s="2" t="s">
        <v>137</v>
      </c>
      <c r="CD2522" s="2">
        <v>6012</v>
      </c>
      <c r="CE2522" s="2" t="s">
        <v>120</v>
      </c>
      <c r="CF2522" s="3">
        <v>43090</v>
      </c>
      <c r="CI2522" s="2">
        <v>1</v>
      </c>
      <c r="CJ2522" s="2">
        <v>1</v>
      </c>
      <c r="CK2522" s="2">
        <v>21</v>
      </c>
      <c r="CL2522" s="2" t="s">
        <v>89</v>
      </c>
    </row>
    <row r="2523" spans="1:90">
      <c r="A2523" s="2" t="s">
        <v>71</v>
      </c>
      <c r="B2523" s="2" t="s">
        <v>72</v>
      </c>
      <c r="C2523" s="2" t="s">
        <v>73</v>
      </c>
      <c r="E2523" s="2" t="str">
        <f>"FES1162596305"</f>
        <v>FES1162596305</v>
      </c>
      <c r="F2523" s="3">
        <v>43084</v>
      </c>
      <c r="G2523" s="2">
        <v>201806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1976</v>
      </c>
      <c r="M2523" s="2" t="s">
        <v>1977</v>
      </c>
      <c r="N2523" s="2" t="s">
        <v>2661</v>
      </c>
      <c r="O2523" s="2" t="s">
        <v>908</v>
      </c>
      <c r="P2523" s="2" t="str">
        <f>"2170608305                    "</f>
        <v xml:space="preserve">2170608305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2</v>
      </c>
      <c r="BJ2523" s="2">
        <v>0.9</v>
      </c>
      <c r="BK2523" s="2">
        <v>2</v>
      </c>
      <c r="BL2523" s="2">
        <v>568.98</v>
      </c>
      <c r="BM2523" s="2">
        <v>79.66</v>
      </c>
      <c r="BN2523" s="2">
        <v>648.64</v>
      </c>
      <c r="BO2523" s="2">
        <v>648.64</v>
      </c>
      <c r="BP2523" s="2" t="s">
        <v>908</v>
      </c>
      <c r="BQ2523" s="2" t="s">
        <v>2662</v>
      </c>
      <c r="BR2523" s="2" t="s">
        <v>83</v>
      </c>
      <c r="BS2523" s="3">
        <v>43084</v>
      </c>
      <c r="BT2523" s="4">
        <v>0.67013888888888884</v>
      </c>
      <c r="BU2523" s="2" t="s">
        <v>2663</v>
      </c>
      <c r="BV2523" s="2" t="s">
        <v>85</v>
      </c>
      <c r="BY2523" s="2">
        <v>4500</v>
      </c>
      <c r="BZ2523" s="2" t="s">
        <v>1873</v>
      </c>
      <c r="CC2523" s="2" t="s">
        <v>1977</v>
      </c>
      <c r="CD2523" s="2">
        <v>4339</v>
      </c>
      <c r="CE2523" s="2" t="s">
        <v>87</v>
      </c>
      <c r="CF2523" s="3">
        <v>43088</v>
      </c>
      <c r="CI2523" s="2">
        <v>0</v>
      </c>
      <c r="CJ2523" s="2">
        <v>-3</v>
      </c>
      <c r="CK2523" s="2">
        <v>-1</v>
      </c>
      <c r="CL2523" s="2" t="s">
        <v>89</v>
      </c>
    </row>
    <row r="2524" spans="1:90">
      <c r="A2524" s="2" t="s">
        <v>612</v>
      </c>
      <c r="B2524" s="2" t="s">
        <v>72</v>
      </c>
      <c r="C2524" s="2" t="s">
        <v>73</v>
      </c>
      <c r="E2524" s="2" t="str">
        <f>"039902705176"</f>
        <v>039902705176</v>
      </c>
      <c r="F2524" s="3">
        <v>43082</v>
      </c>
      <c r="G2524" s="2">
        <v>201806</v>
      </c>
      <c r="H2524" s="2" t="s">
        <v>136</v>
      </c>
      <c r="I2524" s="2" t="s">
        <v>137</v>
      </c>
      <c r="J2524" s="2" t="s">
        <v>2664</v>
      </c>
      <c r="K2524" s="2" t="s">
        <v>77</v>
      </c>
      <c r="L2524" s="2" t="s">
        <v>74</v>
      </c>
      <c r="M2524" s="2" t="s">
        <v>75</v>
      </c>
      <c r="N2524" s="2" t="s">
        <v>2665</v>
      </c>
      <c r="O2524" s="2" t="s">
        <v>81</v>
      </c>
      <c r="P2524" s="2" t="str">
        <f>"                              "</f>
        <v xml:space="preserve">          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13.17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99.03</v>
      </c>
      <c r="BM2524" s="2">
        <v>13.86</v>
      </c>
      <c r="BN2524" s="2">
        <v>112.89</v>
      </c>
      <c r="BO2524" s="2">
        <v>112.89</v>
      </c>
      <c r="BS2524" s="3">
        <v>43084</v>
      </c>
      <c r="BT2524" s="4">
        <v>0.43124999999999997</v>
      </c>
      <c r="BU2524" s="2" t="s">
        <v>2666</v>
      </c>
      <c r="BV2524" s="2" t="s">
        <v>85</v>
      </c>
      <c r="BY2524" s="2">
        <v>1200</v>
      </c>
      <c r="CA2524" s="2" t="s">
        <v>2667</v>
      </c>
      <c r="CC2524" s="2" t="s">
        <v>75</v>
      </c>
      <c r="CD2524" s="2">
        <v>1600</v>
      </c>
      <c r="CE2524" s="2" t="s">
        <v>2668</v>
      </c>
      <c r="CF2524" s="3">
        <v>43088</v>
      </c>
      <c r="CI2524" s="2">
        <v>2</v>
      </c>
      <c r="CJ2524" s="2">
        <v>2</v>
      </c>
      <c r="CK2524" s="2" t="s">
        <v>271</v>
      </c>
      <c r="CL2524" s="2" t="s">
        <v>89</v>
      </c>
    </row>
    <row r="2525" spans="1:90">
      <c r="A2525" s="2" t="s">
        <v>71</v>
      </c>
      <c r="B2525" s="2" t="s">
        <v>72</v>
      </c>
      <c r="C2525" s="2" t="s">
        <v>73</v>
      </c>
      <c r="E2525" s="2" t="str">
        <f>"039902635551"</f>
        <v>039902635551</v>
      </c>
      <c r="F2525" s="3">
        <v>43084</v>
      </c>
      <c r="G2525" s="2">
        <v>201806</v>
      </c>
      <c r="H2525" s="2" t="s">
        <v>136</v>
      </c>
      <c r="I2525" s="2" t="s">
        <v>137</v>
      </c>
      <c r="J2525" s="2" t="s">
        <v>1381</v>
      </c>
      <c r="K2525" s="2" t="s">
        <v>77</v>
      </c>
      <c r="L2525" s="2" t="s">
        <v>74</v>
      </c>
      <c r="M2525" s="2" t="s">
        <v>75</v>
      </c>
      <c r="N2525" s="2" t="s">
        <v>76</v>
      </c>
      <c r="O2525" s="2" t="s">
        <v>101</v>
      </c>
      <c r="P2525" s="2" t="str">
        <f>"                              "</f>
        <v xml:space="preserve">          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16.079999999999998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5</v>
      </c>
      <c r="BJ2525" s="2">
        <v>1.5</v>
      </c>
      <c r="BK2525" s="2">
        <v>5</v>
      </c>
      <c r="BL2525" s="2">
        <v>114.8</v>
      </c>
      <c r="BM2525" s="2">
        <v>16.07</v>
      </c>
      <c r="BN2525" s="2">
        <v>130.87</v>
      </c>
      <c r="BO2525" s="2">
        <v>130.87</v>
      </c>
      <c r="BR2525" s="2" t="s">
        <v>2669</v>
      </c>
      <c r="BS2525" s="3">
        <v>43087</v>
      </c>
      <c r="BT2525" s="4">
        <v>0.37847222222222227</v>
      </c>
      <c r="BU2525" s="2" t="s">
        <v>375</v>
      </c>
      <c r="BV2525" s="2" t="s">
        <v>85</v>
      </c>
      <c r="BY2525" s="2">
        <v>7500</v>
      </c>
      <c r="BZ2525" s="2" t="s">
        <v>27</v>
      </c>
      <c r="CA2525" s="2" t="s">
        <v>366</v>
      </c>
      <c r="CC2525" s="2" t="s">
        <v>75</v>
      </c>
      <c r="CD2525" s="2">
        <v>1600</v>
      </c>
      <c r="CE2525" s="2" t="s">
        <v>95</v>
      </c>
      <c r="CF2525" s="3">
        <v>43089</v>
      </c>
      <c r="CI2525" s="2">
        <v>1</v>
      </c>
      <c r="CJ2525" s="2">
        <v>1</v>
      </c>
      <c r="CK2525" s="2">
        <v>21</v>
      </c>
      <c r="CL2525" s="2" t="s">
        <v>89</v>
      </c>
    </row>
    <row r="2526" spans="1:90">
      <c r="A2526" s="2" t="s">
        <v>71</v>
      </c>
      <c r="B2526" s="2" t="s">
        <v>72</v>
      </c>
      <c r="C2526" s="2" t="s">
        <v>73</v>
      </c>
      <c r="E2526" s="2" t="str">
        <f>"FES1162596613"</f>
        <v>FES1162596613</v>
      </c>
      <c r="F2526" s="3">
        <v>43087</v>
      </c>
      <c r="G2526" s="2">
        <v>201806</v>
      </c>
      <c r="H2526" s="2" t="s">
        <v>74</v>
      </c>
      <c r="I2526" s="2" t="s">
        <v>75</v>
      </c>
      <c r="J2526" s="2" t="s">
        <v>97</v>
      </c>
      <c r="K2526" s="2" t="s">
        <v>77</v>
      </c>
      <c r="L2526" s="2" t="s">
        <v>74</v>
      </c>
      <c r="M2526" s="2" t="s">
        <v>75</v>
      </c>
      <c r="N2526" s="2" t="s">
        <v>1404</v>
      </c>
      <c r="O2526" s="2" t="s">
        <v>101</v>
      </c>
      <c r="P2526" s="2" t="str">
        <f>"2170607511                    "</f>
        <v xml:space="preserve">2170607511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5.03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1</v>
      </c>
      <c r="BJ2526" s="2">
        <v>0.2</v>
      </c>
      <c r="BK2526" s="2">
        <v>1</v>
      </c>
      <c r="BL2526" s="2">
        <v>35.89</v>
      </c>
      <c r="BM2526" s="2">
        <v>5.0199999999999996</v>
      </c>
      <c r="BN2526" s="2">
        <v>40.909999999999997</v>
      </c>
      <c r="BO2526" s="2">
        <v>40.909999999999997</v>
      </c>
      <c r="BQ2526" s="2" t="s">
        <v>1405</v>
      </c>
      <c r="BR2526" s="2" t="s">
        <v>103</v>
      </c>
      <c r="BS2526" s="3">
        <v>43088</v>
      </c>
      <c r="BT2526" s="4">
        <v>0.3347222222222222</v>
      </c>
      <c r="BU2526" s="2" t="s">
        <v>2670</v>
      </c>
      <c r="BV2526" s="2" t="s">
        <v>85</v>
      </c>
      <c r="BY2526" s="2">
        <v>1200</v>
      </c>
      <c r="CA2526" s="2" t="s">
        <v>366</v>
      </c>
      <c r="CC2526" s="2" t="s">
        <v>75</v>
      </c>
      <c r="CD2526" s="2">
        <v>1601</v>
      </c>
      <c r="CE2526" s="2" t="s">
        <v>120</v>
      </c>
      <c r="CF2526" s="3">
        <v>43089</v>
      </c>
      <c r="CI2526" s="2">
        <v>1</v>
      </c>
      <c r="CJ2526" s="2">
        <v>1</v>
      </c>
      <c r="CK2526" s="2">
        <v>22</v>
      </c>
      <c r="CL2526" s="2" t="s">
        <v>89</v>
      </c>
    </row>
    <row r="2527" spans="1:90">
      <c r="A2527" s="2" t="s">
        <v>71</v>
      </c>
      <c r="B2527" s="2" t="s">
        <v>72</v>
      </c>
      <c r="C2527" s="2" t="s">
        <v>73</v>
      </c>
      <c r="E2527" s="2" t="str">
        <f>"FES1162596626"</f>
        <v>FES1162596626</v>
      </c>
      <c r="F2527" s="3">
        <v>43087</v>
      </c>
      <c r="G2527" s="2">
        <v>201806</v>
      </c>
      <c r="H2527" s="2" t="s">
        <v>74</v>
      </c>
      <c r="I2527" s="2" t="s">
        <v>75</v>
      </c>
      <c r="J2527" s="2" t="s">
        <v>97</v>
      </c>
      <c r="K2527" s="2" t="s">
        <v>77</v>
      </c>
      <c r="L2527" s="2" t="s">
        <v>106</v>
      </c>
      <c r="M2527" s="2" t="s">
        <v>107</v>
      </c>
      <c r="N2527" s="2" t="s">
        <v>108</v>
      </c>
      <c r="O2527" s="2" t="s">
        <v>101</v>
      </c>
      <c r="P2527" s="2" t="str">
        <f>"21706080286                   "</f>
        <v xml:space="preserve">21706080286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5.03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</v>
      </c>
      <c r="BJ2527" s="2">
        <v>0.2</v>
      </c>
      <c r="BK2527" s="2">
        <v>1</v>
      </c>
      <c r="BL2527" s="2">
        <v>35.89</v>
      </c>
      <c r="BM2527" s="2">
        <v>5.0199999999999996</v>
      </c>
      <c r="BN2527" s="2">
        <v>40.909999999999997</v>
      </c>
      <c r="BO2527" s="2">
        <v>40.909999999999997</v>
      </c>
      <c r="BQ2527" s="2" t="s">
        <v>82</v>
      </c>
      <c r="BR2527" s="2" t="s">
        <v>103</v>
      </c>
      <c r="BS2527" s="3">
        <v>43088</v>
      </c>
      <c r="BT2527" s="4">
        <v>0.36388888888888887</v>
      </c>
      <c r="BU2527" s="2" t="s">
        <v>563</v>
      </c>
      <c r="BV2527" s="2" t="s">
        <v>85</v>
      </c>
      <c r="BY2527" s="2">
        <v>1200</v>
      </c>
      <c r="CA2527" s="2" t="s">
        <v>110</v>
      </c>
      <c r="CC2527" s="2" t="s">
        <v>107</v>
      </c>
      <c r="CD2527" s="2">
        <v>2094</v>
      </c>
      <c r="CE2527" s="2" t="s">
        <v>120</v>
      </c>
      <c r="CF2527" s="3">
        <v>43089</v>
      </c>
      <c r="CI2527" s="2">
        <v>1</v>
      </c>
      <c r="CJ2527" s="2">
        <v>1</v>
      </c>
      <c r="CK2527" s="2">
        <v>22</v>
      </c>
      <c r="CL2527" s="2" t="s">
        <v>89</v>
      </c>
    </row>
    <row r="2528" spans="1:90">
      <c r="A2528" s="2" t="s">
        <v>71</v>
      </c>
      <c r="B2528" s="2" t="s">
        <v>72</v>
      </c>
      <c r="C2528" s="2" t="s">
        <v>73</v>
      </c>
      <c r="E2528" s="2" t="str">
        <f>"FES1162596504"</f>
        <v>FES1162596504</v>
      </c>
      <c r="F2528" s="3">
        <v>43087</v>
      </c>
      <c r="G2528" s="2">
        <v>201806</v>
      </c>
      <c r="H2528" s="2" t="s">
        <v>74</v>
      </c>
      <c r="I2528" s="2" t="s">
        <v>75</v>
      </c>
      <c r="J2528" s="2" t="s">
        <v>97</v>
      </c>
      <c r="K2528" s="2" t="s">
        <v>77</v>
      </c>
      <c r="L2528" s="2" t="s">
        <v>152</v>
      </c>
      <c r="M2528" s="2" t="s">
        <v>153</v>
      </c>
      <c r="N2528" s="2" t="s">
        <v>2671</v>
      </c>
      <c r="O2528" s="2" t="s">
        <v>101</v>
      </c>
      <c r="P2528" s="2" t="str">
        <f>"2170607195                    "</f>
        <v xml:space="preserve">2170607195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5.03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</v>
      </c>
      <c r="BJ2528" s="2">
        <v>0.2</v>
      </c>
      <c r="BK2528" s="2">
        <v>1</v>
      </c>
      <c r="BL2528" s="2">
        <v>35.89</v>
      </c>
      <c r="BM2528" s="2">
        <v>5.0199999999999996</v>
      </c>
      <c r="BN2528" s="2">
        <v>40.909999999999997</v>
      </c>
      <c r="BO2528" s="2">
        <v>40.909999999999997</v>
      </c>
      <c r="BQ2528" s="2" t="s">
        <v>82</v>
      </c>
      <c r="BR2528" s="2" t="s">
        <v>103</v>
      </c>
      <c r="BS2528" s="3">
        <v>43088</v>
      </c>
      <c r="BT2528" s="4">
        <v>0.40972222222222227</v>
      </c>
      <c r="BU2528" s="2" t="s">
        <v>2672</v>
      </c>
      <c r="BV2528" s="2" t="s">
        <v>85</v>
      </c>
      <c r="BY2528" s="2">
        <v>1200</v>
      </c>
      <c r="CA2528" s="2" t="s">
        <v>439</v>
      </c>
      <c r="CC2528" s="2" t="s">
        <v>153</v>
      </c>
      <c r="CD2528" s="2">
        <v>1401</v>
      </c>
      <c r="CE2528" s="2" t="s">
        <v>120</v>
      </c>
      <c r="CF2528" s="3">
        <v>43089</v>
      </c>
      <c r="CI2528" s="2">
        <v>1</v>
      </c>
      <c r="CJ2528" s="2">
        <v>1</v>
      </c>
      <c r="CK2528" s="2">
        <v>22</v>
      </c>
      <c r="CL2528" s="2" t="s">
        <v>89</v>
      </c>
    </row>
    <row r="2529" spans="1:90">
      <c r="A2529" s="2" t="s">
        <v>71</v>
      </c>
      <c r="B2529" s="2" t="s">
        <v>72</v>
      </c>
      <c r="C2529" s="2" t="s">
        <v>73</v>
      </c>
      <c r="E2529" s="2" t="str">
        <f>"FES1162596509"</f>
        <v>FES1162596509</v>
      </c>
      <c r="F2529" s="3">
        <v>43087</v>
      </c>
      <c r="G2529" s="2">
        <v>201806</v>
      </c>
      <c r="H2529" s="2" t="s">
        <v>74</v>
      </c>
      <c r="I2529" s="2" t="s">
        <v>75</v>
      </c>
      <c r="J2529" s="2" t="s">
        <v>97</v>
      </c>
      <c r="K2529" s="2" t="s">
        <v>77</v>
      </c>
      <c r="L2529" s="2" t="s">
        <v>547</v>
      </c>
      <c r="M2529" s="2" t="s">
        <v>548</v>
      </c>
      <c r="N2529" s="2" t="s">
        <v>2673</v>
      </c>
      <c r="O2529" s="2" t="s">
        <v>101</v>
      </c>
      <c r="P2529" s="2" t="str">
        <f>"2172607757                    "</f>
        <v xml:space="preserve">2172607757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5.03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1.5</v>
      </c>
      <c r="BJ2529" s="2">
        <v>2.1</v>
      </c>
      <c r="BK2529" s="2">
        <v>3</v>
      </c>
      <c r="BL2529" s="2">
        <v>35.89</v>
      </c>
      <c r="BM2529" s="2">
        <v>5.0199999999999996</v>
      </c>
      <c r="BN2529" s="2">
        <v>40.909999999999997</v>
      </c>
      <c r="BO2529" s="2">
        <v>40.909999999999997</v>
      </c>
      <c r="BQ2529" s="2" t="s">
        <v>187</v>
      </c>
      <c r="BR2529" s="2" t="s">
        <v>103</v>
      </c>
      <c r="BS2529" s="3">
        <v>43088</v>
      </c>
      <c r="BT2529" s="4">
        <v>0.38958333333333334</v>
      </c>
      <c r="BU2529" s="2" t="s">
        <v>2674</v>
      </c>
      <c r="BV2529" s="2" t="s">
        <v>85</v>
      </c>
      <c r="BY2529" s="2">
        <v>10301.15</v>
      </c>
      <c r="CA2529" s="2" t="s">
        <v>834</v>
      </c>
      <c r="CC2529" s="2" t="s">
        <v>548</v>
      </c>
      <c r="CD2529" s="2">
        <v>1501</v>
      </c>
      <c r="CE2529" s="2" t="s">
        <v>95</v>
      </c>
      <c r="CF2529" s="3">
        <v>43089</v>
      </c>
      <c r="CI2529" s="2">
        <v>1</v>
      </c>
      <c r="CJ2529" s="2">
        <v>1</v>
      </c>
      <c r="CK2529" s="2">
        <v>22</v>
      </c>
      <c r="CL2529" s="2" t="s">
        <v>89</v>
      </c>
    </row>
    <row r="2530" spans="1:90">
      <c r="A2530" s="2" t="s">
        <v>71</v>
      </c>
      <c r="B2530" s="2" t="s">
        <v>72</v>
      </c>
      <c r="C2530" s="2" t="s">
        <v>73</v>
      </c>
      <c r="E2530" s="2" t="str">
        <f>"FES1162596543"</f>
        <v>FES1162596543</v>
      </c>
      <c r="F2530" s="3">
        <v>43087</v>
      </c>
      <c r="G2530" s="2">
        <v>201806</v>
      </c>
      <c r="H2530" s="2" t="s">
        <v>74</v>
      </c>
      <c r="I2530" s="2" t="s">
        <v>75</v>
      </c>
      <c r="J2530" s="2" t="s">
        <v>97</v>
      </c>
      <c r="K2530" s="2" t="s">
        <v>77</v>
      </c>
      <c r="L2530" s="2" t="s">
        <v>125</v>
      </c>
      <c r="M2530" s="2" t="s">
        <v>126</v>
      </c>
      <c r="N2530" s="2" t="s">
        <v>962</v>
      </c>
      <c r="O2530" s="2" t="s">
        <v>101</v>
      </c>
      <c r="P2530" s="2" t="str">
        <f>"2170605321                    "</f>
        <v xml:space="preserve">2170605321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45.02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14</v>
      </c>
      <c r="BJ2530" s="2">
        <v>10.1</v>
      </c>
      <c r="BK2530" s="2">
        <v>14</v>
      </c>
      <c r="BL2530" s="2">
        <v>321.39999999999998</v>
      </c>
      <c r="BM2530" s="2">
        <v>45</v>
      </c>
      <c r="BN2530" s="2">
        <v>366.4</v>
      </c>
      <c r="BO2530" s="2">
        <v>366.4</v>
      </c>
      <c r="BQ2530" s="2" t="s">
        <v>82</v>
      </c>
      <c r="BR2530" s="2" t="s">
        <v>103</v>
      </c>
      <c r="BS2530" s="3">
        <v>43088</v>
      </c>
      <c r="BT2530" s="4">
        <v>0.36458333333333331</v>
      </c>
      <c r="BU2530" s="2" t="s">
        <v>927</v>
      </c>
      <c r="BV2530" s="2" t="s">
        <v>85</v>
      </c>
      <c r="BY2530" s="2">
        <v>50400</v>
      </c>
      <c r="CA2530" s="2" t="s">
        <v>666</v>
      </c>
      <c r="CC2530" s="2" t="s">
        <v>126</v>
      </c>
      <c r="CD2530" s="2">
        <v>4001</v>
      </c>
      <c r="CE2530" s="2" t="s">
        <v>87</v>
      </c>
      <c r="CF2530" s="3">
        <v>43089</v>
      </c>
      <c r="CI2530" s="2">
        <v>1</v>
      </c>
      <c r="CJ2530" s="2">
        <v>1</v>
      </c>
      <c r="CK2530" s="2">
        <v>21</v>
      </c>
      <c r="CL2530" s="2" t="s">
        <v>89</v>
      </c>
    </row>
    <row r="2531" spans="1:90">
      <c r="A2531" s="2" t="s">
        <v>71</v>
      </c>
      <c r="B2531" s="2" t="s">
        <v>72</v>
      </c>
      <c r="C2531" s="2" t="s">
        <v>73</v>
      </c>
      <c r="E2531" s="2" t="str">
        <f>"FES1162596617"</f>
        <v>FES1162596617</v>
      </c>
      <c r="F2531" s="3">
        <v>43087</v>
      </c>
      <c r="G2531" s="2">
        <v>201806</v>
      </c>
      <c r="H2531" s="2" t="s">
        <v>74</v>
      </c>
      <c r="I2531" s="2" t="s">
        <v>75</v>
      </c>
      <c r="J2531" s="2" t="s">
        <v>97</v>
      </c>
      <c r="K2531" s="2" t="s">
        <v>77</v>
      </c>
      <c r="L2531" s="2" t="s">
        <v>125</v>
      </c>
      <c r="M2531" s="2" t="s">
        <v>126</v>
      </c>
      <c r="N2531" s="2" t="s">
        <v>1285</v>
      </c>
      <c r="O2531" s="2" t="s">
        <v>101</v>
      </c>
      <c r="P2531" s="2" t="str">
        <f>"21706080256                   "</f>
        <v xml:space="preserve">21706080256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11.26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3</v>
      </c>
      <c r="BJ2531" s="2">
        <v>3.5</v>
      </c>
      <c r="BK2531" s="2">
        <v>3.5</v>
      </c>
      <c r="BL2531" s="2">
        <v>80.37</v>
      </c>
      <c r="BM2531" s="2">
        <v>11.25</v>
      </c>
      <c r="BN2531" s="2">
        <v>91.62</v>
      </c>
      <c r="BO2531" s="2">
        <v>91.62</v>
      </c>
      <c r="BR2531" s="2" t="s">
        <v>103</v>
      </c>
      <c r="BS2531" s="3">
        <v>43088</v>
      </c>
      <c r="BT2531" s="4">
        <v>0.35138888888888892</v>
      </c>
      <c r="BU2531" s="2" t="s">
        <v>1286</v>
      </c>
      <c r="BV2531" s="2" t="s">
        <v>85</v>
      </c>
      <c r="BY2531" s="2">
        <v>17400</v>
      </c>
      <c r="CA2531" s="2" t="s">
        <v>507</v>
      </c>
      <c r="CC2531" s="2" t="s">
        <v>126</v>
      </c>
      <c r="CD2531" s="2">
        <v>4000</v>
      </c>
      <c r="CE2531" s="2" t="s">
        <v>1004</v>
      </c>
      <c r="CF2531" s="3">
        <v>43089</v>
      </c>
      <c r="CI2531" s="2">
        <v>1</v>
      </c>
      <c r="CJ2531" s="2">
        <v>1</v>
      </c>
      <c r="CK2531" s="2">
        <v>21</v>
      </c>
      <c r="CL2531" s="2" t="s">
        <v>89</v>
      </c>
    </row>
    <row r="2532" spans="1:90">
      <c r="A2532" s="2" t="s">
        <v>71</v>
      </c>
      <c r="B2532" s="2" t="s">
        <v>72</v>
      </c>
      <c r="C2532" s="2" t="s">
        <v>73</v>
      </c>
      <c r="E2532" s="2" t="str">
        <f>"FES1162596524"</f>
        <v>FES1162596524</v>
      </c>
      <c r="F2532" s="3">
        <v>43087</v>
      </c>
      <c r="G2532" s="2">
        <v>201806</v>
      </c>
      <c r="H2532" s="2" t="s">
        <v>74</v>
      </c>
      <c r="I2532" s="2" t="s">
        <v>75</v>
      </c>
      <c r="J2532" s="2" t="s">
        <v>97</v>
      </c>
      <c r="K2532" s="2" t="s">
        <v>77</v>
      </c>
      <c r="L2532" s="2" t="s">
        <v>152</v>
      </c>
      <c r="M2532" s="2" t="s">
        <v>153</v>
      </c>
      <c r="N2532" s="2" t="s">
        <v>1572</v>
      </c>
      <c r="O2532" s="2" t="s">
        <v>101</v>
      </c>
      <c r="P2532" s="2" t="str">
        <f>"2170608224                    "</f>
        <v xml:space="preserve">2170608224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5.03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</v>
      </c>
      <c r="BJ2532" s="2">
        <v>0.2</v>
      </c>
      <c r="BK2532" s="2">
        <v>1</v>
      </c>
      <c r="BL2532" s="2">
        <v>35.89</v>
      </c>
      <c r="BM2532" s="2">
        <v>5.0199999999999996</v>
      </c>
      <c r="BN2532" s="2">
        <v>40.909999999999997</v>
      </c>
      <c r="BO2532" s="2">
        <v>40.909999999999997</v>
      </c>
      <c r="BR2532" s="2" t="s">
        <v>103</v>
      </c>
      <c r="BS2532" s="3">
        <v>43088</v>
      </c>
      <c r="BT2532" s="4">
        <v>0.33333333333333331</v>
      </c>
      <c r="BU2532" s="2" t="s">
        <v>1573</v>
      </c>
      <c r="BV2532" s="2" t="s">
        <v>85</v>
      </c>
      <c r="BY2532" s="2">
        <v>1200</v>
      </c>
      <c r="CA2532" s="2" t="s">
        <v>439</v>
      </c>
      <c r="CC2532" s="2" t="s">
        <v>153</v>
      </c>
      <c r="CD2532" s="2">
        <v>1422</v>
      </c>
      <c r="CE2532" s="2" t="s">
        <v>120</v>
      </c>
      <c r="CF2532" s="3">
        <v>43089</v>
      </c>
      <c r="CI2532" s="2">
        <v>1</v>
      </c>
      <c r="CJ2532" s="2">
        <v>1</v>
      </c>
      <c r="CK2532" s="2">
        <v>22</v>
      </c>
      <c r="CL2532" s="2" t="s">
        <v>89</v>
      </c>
    </row>
    <row r="2533" spans="1:90">
      <c r="A2533" s="2" t="s">
        <v>71</v>
      </c>
      <c r="B2533" s="2" t="s">
        <v>72</v>
      </c>
      <c r="C2533" s="2" t="s">
        <v>73</v>
      </c>
      <c r="E2533" s="2" t="str">
        <f>"FES1162596602"</f>
        <v>FES1162596602</v>
      </c>
      <c r="F2533" s="3">
        <v>43087</v>
      </c>
      <c r="G2533" s="2">
        <v>201806</v>
      </c>
      <c r="H2533" s="2" t="s">
        <v>74</v>
      </c>
      <c r="I2533" s="2" t="s">
        <v>75</v>
      </c>
      <c r="J2533" s="2" t="s">
        <v>97</v>
      </c>
      <c r="K2533" s="2" t="s">
        <v>77</v>
      </c>
      <c r="L2533" s="2" t="s">
        <v>145</v>
      </c>
      <c r="M2533" s="2" t="s">
        <v>146</v>
      </c>
      <c r="N2533" s="2" t="s">
        <v>753</v>
      </c>
      <c r="O2533" s="2" t="s">
        <v>101</v>
      </c>
      <c r="P2533" s="2" t="str">
        <f>"2170605620                    "</f>
        <v xml:space="preserve">2170605620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6.43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45.93</v>
      </c>
      <c r="BM2533" s="2">
        <v>6.43</v>
      </c>
      <c r="BN2533" s="2">
        <v>52.36</v>
      </c>
      <c r="BO2533" s="2">
        <v>52.36</v>
      </c>
      <c r="BQ2533" s="2" t="s">
        <v>82</v>
      </c>
      <c r="BR2533" s="2" t="s">
        <v>103</v>
      </c>
      <c r="BS2533" s="3">
        <v>43088</v>
      </c>
      <c r="BT2533" s="4">
        <v>0.41041666666666665</v>
      </c>
      <c r="BU2533" s="2" t="s">
        <v>1479</v>
      </c>
      <c r="BV2533" s="2" t="s">
        <v>85</v>
      </c>
      <c r="BY2533" s="2">
        <v>1200</v>
      </c>
      <c r="CA2533" s="2" t="s">
        <v>754</v>
      </c>
      <c r="CC2533" s="2" t="s">
        <v>146</v>
      </c>
      <c r="CD2533" s="2">
        <v>5201</v>
      </c>
      <c r="CE2533" s="2" t="s">
        <v>120</v>
      </c>
      <c r="CF2533" s="3">
        <v>43089</v>
      </c>
      <c r="CI2533" s="2">
        <v>1</v>
      </c>
      <c r="CJ2533" s="2">
        <v>1</v>
      </c>
      <c r="CK2533" s="2">
        <v>21</v>
      </c>
      <c r="CL2533" s="2" t="s">
        <v>89</v>
      </c>
    </row>
    <row r="2534" spans="1:90">
      <c r="A2534" s="2" t="s">
        <v>71</v>
      </c>
      <c r="B2534" s="2" t="s">
        <v>72</v>
      </c>
      <c r="C2534" s="2" t="s">
        <v>73</v>
      </c>
      <c r="E2534" s="2" t="str">
        <f>"FES1162596600"</f>
        <v>FES1162596600</v>
      </c>
      <c r="F2534" s="3">
        <v>43087</v>
      </c>
      <c r="G2534" s="2">
        <v>201806</v>
      </c>
      <c r="H2534" s="2" t="s">
        <v>74</v>
      </c>
      <c r="I2534" s="2" t="s">
        <v>75</v>
      </c>
      <c r="J2534" s="2" t="s">
        <v>97</v>
      </c>
      <c r="K2534" s="2" t="s">
        <v>77</v>
      </c>
      <c r="L2534" s="2" t="s">
        <v>145</v>
      </c>
      <c r="M2534" s="2" t="s">
        <v>146</v>
      </c>
      <c r="N2534" s="2" t="s">
        <v>1533</v>
      </c>
      <c r="O2534" s="2" t="s">
        <v>101</v>
      </c>
      <c r="P2534" s="2" t="str">
        <f>"2170606356                    "</f>
        <v xml:space="preserve">2170606356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6.43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</v>
      </c>
      <c r="BJ2534" s="2">
        <v>0.2</v>
      </c>
      <c r="BK2534" s="2">
        <v>1</v>
      </c>
      <c r="BL2534" s="2">
        <v>45.93</v>
      </c>
      <c r="BM2534" s="2">
        <v>6.43</v>
      </c>
      <c r="BN2534" s="2">
        <v>52.36</v>
      </c>
      <c r="BO2534" s="2">
        <v>52.36</v>
      </c>
      <c r="BQ2534" s="2" t="s">
        <v>364</v>
      </c>
      <c r="BR2534" s="2" t="s">
        <v>103</v>
      </c>
      <c r="BS2534" s="2" t="s">
        <v>185</v>
      </c>
      <c r="BY2534" s="2">
        <v>1200</v>
      </c>
      <c r="CC2534" s="2" t="s">
        <v>146</v>
      </c>
      <c r="CD2534" s="2">
        <v>5201</v>
      </c>
      <c r="CE2534" s="2" t="s">
        <v>120</v>
      </c>
      <c r="CI2534" s="2">
        <v>1</v>
      </c>
      <c r="CJ2534" s="2" t="s">
        <v>185</v>
      </c>
      <c r="CK2534" s="2">
        <v>21</v>
      </c>
      <c r="CL2534" s="2" t="s">
        <v>89</v>
      </c>
    </row>
    <row r="2535" spans="1:90">
      <c r="A2535" s="2" t="s">
        <v>71</v>
      </c>
      <c r="B2535" s="2" t="s">
        <v>72</v>
      </c>
      <c r="C2535" s="2" t="s">
        <v>73</v>
      </c>
      <c r="E2535" s="2" t="str">
        <f>"FES1162596579"</f>
        <v>FES1162596579</v>
      </c>
      <c r="F2535" s="3">
        <v>43087</v>
      </c>
      <c r="G2535" s="2">
        <v>201806</v>
      </c>
      <c r="H2535" s="2" t="s">
        <v>74</v>
      </c>
      <c r="I2535" s="2" t="s">
        <v>75</v>
      </c>
      <c r="J2535" s="2" t="s">
        <v>97</v>
      </c>
      <c r="K2535" s="2" t="s">
        <v>77</v>
      </c>
      <c r="L2535" s="2" t="s">
        <v>173</v>
      </c>
      <c r="M2535" s="2" t="s">
        <v>174</v>
      </c>
      <c r="N2535" s="2" t="s">
        <v>164</v>
      </c>
      <c r="O2535" s="2" t="s">
        <v>101</v>
      </c>
      <c r="P2535" s="2" t="str">
        <f>"2170600987                    "</f>
        <v xml:space="preserve">2170600987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8.0399999999999991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2.4</v>
      </c>
      <c r="BJ2535" s="2">
        <v>0.9</v>
      </c>
      <c r="BK2535" s="2">
        <v>2.5</v>
      </c>
      <c r="BL2535" s="2">
        <v>57.41</v>
      </c>
      <c r="BM2535" s="2">
        <v>8.0399999999999991</v>
      </c>
      <c r="BN2535" s="2">
        <v>65.45</v>
      </c>
      <c r="BO2535" s="2">
        <v>65.45</v>
      </c>
      <c r="BQ2535" s="2" t="s">
        <v>825</v>
      </c>
      <c r="BR2535" s="2" t="s">
        <v>103</v>
      </c>
      <c r="BS2535" s="3">
        <v>43088</v>
      </c>
      <c r="BT2535" s="4">
        <v>0.43055555555555558</v>
      </c>
      <c r="BU2535" s="2" t="s">
        <v>2675</v>
      </c>
      <c r="BV2535" s="2" t="s">
        <v>85</v>
      </c>
      <c r="BY2535" s="2">
        <v>4494.53</v>
      </c>
      <c r="CA2535" s="2" t="s">
        <v>827</v>
      </c>
      <c r="CC2535" s="2" t="s">
        <v>174</v>
      </c>
      <c r="CD2535" s="2">
        <v>7700</v>
      </c>
      <c r="CE2535" s="2" t="s">
        <v>87</v>
      </c>
      <c r="CF2535" s="3">
        <v>43089</v>
      </c>
      <c r="CI2535" s="2">
        <v>1</v>
      </c>
      <c r="CJ2535" s="2">
        <v>1</v>
      </c>
      <c r="CK2535" s="2">
        <v>21</v>
      </c>
      <c r="CL2535" s="2" t="s">
        <v>89</v>
      </c>
    </row>
    <row r="2536" spans="1:90">
      <c r="A2536" s="2" t="s">
        <v>71</v>
      </c>
      <c r="B2536" s="2" t="s">
        <v>72</v>
      </c>
      <c r="C2536" s="2" t="s">
        <v>73</v>
      </c>
      <c r="E2536" s="2" t="str">
        <f>"FES1162596575"</f>
        <v>FES1162596575</v>
      </c>
      <c r="F2536" s="3">
        <v>43087</v>
      </c>
      <c r="G2536" s="2">
        <v>201806</v>
      </c>
      <c r="H2536" s="2" t="s">
        <v>74</v>
      </c>
      <c r="I2536" s="2" t="s">
        <v>75</v>
      </c>
      <c r="J2536" s="2" t="s">
        <v>97</v>
      </c>
      <c r="K2536" s="2" t="s">
        <v>77</v>
      </c>
      <c r="L2536" s="2" t="s">
        <v>136</v>
      </c>
      <c r="M2536" s="2" t="s">
        <v>137</v>
      </c>
      <c r="N2536" s="2" t="s">
        <v>138</v>
      </c>
      <c r="O2536" s="2" t="s">
        <v>101</v>
      </c>
      <c r="P2536" s="2" t="str">
        <f>"21706059840                   "</f>
        <v xml:space="preserve">21706059840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6.43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45.93</v>
      </c>
      <c r="BM2536" s="2">
        <v>6.43</v>
      </c>
      <c r="BN2536" s="2">
        <v>52.36</v>
      </c>
      <c r="BO2536" s="2">
        <v>52.36</v>
      </c>
      <c r="BQ2536" s="2" t="s">
        <v>82</v>
      </c>
      <c r="BR2536" s="2" t="s">
        <v>103</v>
      </c>
      <c r="BS2536" s="3">
        <v>43088</v>
      </c>
      <c r="BT2536" s="4">
        <v>0.35416666666666669</v>
      </c>
      <c r="BU2536" s="2" t="s">
        <v>139</v>
      </c>
      <c r="BV2536" s="2" t="s">
        <v>85</v>
      </c>
      <c r="BY2536" s="2">
        <v>1200</v>
      </c>
      <c r="CA2536" s="2" t="s">
        <v>140</v>
      </c>
      <c r="CC2536" s="2" t="s">
        <v>137</v>
      </c>
      <c r="CD2536" s="2">
        <v>6001</v>
      </c>
      <c r="CE2536" s="2" t="s">
        <v>120</v>
      </c>
      <c r="CF2536" s="3">
        <v>43090</v>
      </c>
      <c r="CI2536" s="2">
        <v>1</v>
      </c>
      <c r="CJ2536" s="2">
        <v>1</v>
      </c>
      <c r="CK2536" s="2">
        <v>21</v>
      </c>
      <c r="CL2536" s="2" t="s">
        <v>89</v>
      </c>
    </row>
    <row r="2537" spans="1:90">
      <c r="A2537" s="2" t="s">
        <v>71</v>
      </c>
      <c r="B2537" s="2" t="s">
        <v>72</v>
      </c>
      <c r="C2537" s="2" t="s">
        <v>73</v>
      </c>
      <c r="E2537" s="2" t="str">
        <f>"FES1162596608"</f>
        <v>FES1162596608</v>
      </c>
      <c r="F2537" s="3">
        <v>43087</v>
      </c>
      <c r="G2537" s="2">
        <v>201806</v>
      </c>
      <c r="H2537" s="2" t="s">
        <v>74</v>
      </c>
      <c r="I2537" s="2" t="s">
        <v>75</v>
      </c>
      <c r="J2537" s="2" t="s">
        <v>97</v>
      </c>
      <c r="K2537" s="2" t="s">
        <v>77</v>
      </c>
      <c r="L2537" s="2" t="s">
        <v>136</v>
      </c>
      <c r="M2537" s="2" t="s">
        <v>137</v>
      </c>
      <c r="N2537" s="2" t="s">
        <v>178</v>
      </c>
      <c r="O2537" s="2" t="s">
        <v>101</v>
      </c>
      <c r="P2537" s="2" t="str">
        <f>"2170607035                    "</f>
        <v xml:space="preserve">2170607035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6.43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45.93</v>
      </c>
      <c r="BM2537" s="2">
        <v>6.43</v>
      </c>
      <c r="BN2537" s="2">
        <v>52.36</v>
      </c>
      <c r="BO2537" s="2">
        <v>52.36</v>
      </c>
      <c r="BQ2537" s="2" t="s">
        <v>102</v>
      </c>
      <c r="BR2537" s="2" t="s">
        <v>103</v>
      </c>
      <c r="BS2537" s="3">
        <v>43088</v>
      </c>
      <c r="BT2537" s="4">
        <v>0.31597222222222221</v>
      </c>
      <c r="BU2537" s="2" t="s">
        <v>179</v>
      </c>
      <c r="BV2537" s="2" t="s">
        <v>85</v>
      </c>
      <c r="BY2537" s="2">
        <v>1200</v>
      </c>
      <c r="CA2537" s="2" t="s">
        <v>180</v>
      </c>
      <c r="CC2537" s="2" t="s">
        <v>137</v>
      </c>
      <c r="CD2537" s="2">
        <v>6001</v>
      </c>
      <c r="CE2537" s="2" t="s">
        <v>120</v>
      </c>
      <c r="CF2537" s="3">
        <v>43090</v>
      </c>
      <c r="CI2537" s="2">
        <v>1</v>
      </c>
      <c r="CJ2537" s="2">
        <v>1</v>
      </c>
      <c r="CK2537" s="2">
        <v>21</v>
      </c>
      <c r="CL2537" s="2" t="s">
        <v>89</v>
      </c>
    </row>
    <row r="2538" spans="1:90">
      <c r="A2538" s="2" t="s">
        <v>71</v>
      </c>
      <c r="B2538" s="2" t="s">
        <v>72</v>
      </c>
      <c r="C2538" s="2" t="s">
        <v>73</v>
      </c>
      <c r="E2538" s="2" t="str">
        <f>"FES1162596587"</f>
        <v>FES1162596587</v>
      </c>
      <c r="F2538" s="3">
        <v>43087</v>
      </c>
      <c r="G2538" s="2">
        <v>201806</v>
      </c>
      <c r="H2538" s="2" t="s">
        <v>74</v>
      </c>
      <c r="I2538" s="2" t="s">
        <v>75</v>
      </c>
      <c r="J2538" s="2" t="s">
        <v>97</v>
      </c>
      <c r="K2538" s="2" t="s">
        <v>77</v>
      </c>
      <c r="L2538" s="2" t="s">
        <v>262</v>
      </c>
      <c r="M2538" s="2" t="s">
        <v>263</v>
      </c>
      <c r="N2538" s="2" t="s">
        <v>1567</v>
      </c>
      <c r="O2538" s="2" t="s">
        <v>101</v>
      </c>
      <c r="P2538" s="2" t="str">
        <f>"2170605484                    "</f>
        <v xml:space="preserve">2170605484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6.43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45.93</v>
      </c>
      <c r="BM2538" s="2">
        <v>6.43</v>
      </c>
      <c r="BN2538" s="2">
        <v>52.36</v>
      </c>
      <c r="BO2538" s="2">
        <v>52.36</v>
      </c>
      <c r="BQ2538" s="2" t="s">
        <v>128</v>
      </c>
      <c r="BR2538" s="2" t="s">
        <v>103</v>
      </c>
      <c r="BS2538" s="3">
        <v>43089</v>
      </c>
      <c r="BT2538" s="4">
        <v>0.45833333333333331</v>
      </c>
      <c r="BU2538" s="2" t="s">
        <v>2676</v>
      </c>
      <c r="BV2538" s="2" t="s">
        <v>89</v>
      </c>
      <c r="BW2538" s="2" t="s">
        <v>313</v>
      </c>
      <c r="BX2538" s="2" t="s">
        <v>314</v>
      </c>
      <c r="BY2538" s="2">
        <v>1200</v>
      </c>
      <c r="CA2538" s="2" t="s">
        <v>1050</v>
      </c>
      <c r="CC2538" s="2" t="s">
        <v>263</v>
      </c>
      <c r="CD2538" s="2">
        <v>6229</v>
      </c>
      <c r="CE2538" s="2" t="s">
        <v>120</v>
      </c>
      <c r="CF2538" s="3">
        <v>43090</v>
      </c>
      <c r="CI2538" s="2">
        <v>1</v>
      </c>
      <c r="CJ2538" s="2">
        <v>2</v>
      </c>
      <c r="CK2538" s="2">
        <v>21</v>
      </c>
      <c r="CL2538" s="2" t="s">
        <v>89</v>
      </c>
    </row>
    <row r="2539" spans="1:90">
      <c r="A2539" s="2" t="s">
        <v>71</v>
      </c>
      <c r="B2539" s="2" t="s">
        <v>72</v>
      </c>
      <c r="C2539" s="2" t="s">
        <v>73</v>
      </c>
      <c r="E2539" s="2" t="str">
        <f>"FES1162596580"</f>
        <v>FES1162596580</v>
      </c>
      <c r="F2539" s="3">
        <v>43087</v>
      </c>
      <c r="G2539" s="2">
        <v>201806</v>
      </c>
      <c r="H2539" s="2" t="s">
        <v>74</v>
      </c>
      <c r="I2539" s="2" t="s">
        <v>75</v>
      </c>
      <c r="J2539" s="2" t="s">
        <v>97</v>
      </c>
      <c r="K2539" s="2" t="s">
        <v>77</v>
      </c>
      <c r="L2539" s="2" t="s">
        <v>136</v>
      </c>
      <c r="M2539" s="2" t="s">
        <v>137</v>
      </c>
      <c r="N2539" s="2" t="s">
        <v>333</v>
      </c>
      <c r="O2539" s="2" t="s">
        <v>101</v>
      </c>
      <c r="P2539" s="2" t="str">
        <f>"2170602592                    "</f>
        <v xml:space="preserve">2170602592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6.43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45.93</v>
      </c>
      <c r="BM2539" s="2">
        <v>6.43</v>
      </c>
      <c r="BN2539" s="2">
        <v>52.36</v>
      </c>
      <c r="BO2539" s="2">
        <v>52.36</v>
      </c>
      <c r="BQ2539" s="2" t="s">
        <v>334</v>
      </c>
      <c r="BR2539" s="2" t="s">
        <v>103</v>
      </c>
      <c r="BS2539" s="3">
        <v>43088</v>
      </c>
      <c r="BT2539" s="4">
        <v>0.3125</v>
      </c>
      <c r="BU2539" s="2" t="s">
        <v>2677</v>
      </c>
      <c r="BV2539" s="2" t="s">
        <v>85</v>
      </c>
      <c r="BY2539" s="2">
        <v>1200</v>
      </c>
      <c r="CA2539" s="2" t="s">
        <v>140</v>
      </c>
      <c r="CC2539" s="2" t="s">
        <v>137</v>
      </c>
      <c r="CD2539" s="2">
        <v>6012</v>
      </c>
      <c r="CE2539" s="2" t="s">
        <v>120</v>
      </c>
      <c r="CF2539" s="3">
        <v>43090</v>
      </c>
      <c r="CI2539" s="2">
        <v>1</v>
      </c>
      <c r="CJ2539" s="2">
        <v>1</v>
      </c>
      <c r="CK2539" s="2">
        <v>21</v>
      </c>
      <c r="CL2539" s="2" t="s">
        <v>89</v>
      </c>
    </row>
    <row r="2540" spans="1:90">
      <c r="A2540" s="2" t="s">
        <v>71</v>
      </c>
      <c r="B2540" s="2" t="s">
        <v>72</v>
      </c>
      <c r="C2540" s="2" t="s">
        <v>73</v>
      </c>
      <c r="E2540" s="2" t="str">
        <f>"FES1162596614"</f>
        <v>FES1162596614</v>
      </c>
      <c r="F2540" s="3">
        <v>43087</v>
      </c>
      <c r="G2540" s="2">
        <v>201806</v>
      </c>
      <c r="H2540" s="2" t="s">
        <v>74</v>
      </c>
      <c r="I2540" s="2" t="s">
        <v>75</v>
      </c>
      <c r="J2540" s="2" t="s">
        <v>97</v>
      </c>
      <c r="K2540" s="2" t="s">
        <v>77</v>
      </c>
      <c r="L2540" s="2" t="s">
        <v>162</v>
      </c>
      <c r="M2540" s="2" t="s">
        <v>163</v>
      </c>
      <c r="N2540" s="2" t="s">
        <v>164</v>
      </c>
      <c r="O2540" s="2" t="s">
        <v>101</v>
      </c>
      <c r="P2540" s="2" t="str">
        <f>"2170607565                    "</f>
        <v xml:space="preserve">2170607565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5.03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</v>
      </c>
      <c r="BJ2540" s="2">
        <v>0.2</v>
      </c>
      <c r="BK2540" s="2">
        <v>1</v>
      </c>
      <c r="BL2540" s="2">
        <v>35.89</v>
      </c>
      <c r="BM2540" s="2">
        <v>5.0199999999999996</v>
      </c>
      <c r="BN2540" s="2">
        <v>40.909999999999997</v>
      </c>
      <c r="BO2540" s="2">
        <v>40.909999999999997</v>
      </c>
      <c r="BQ2540" s="2" t="s">
        <v>102</v>
      </c>
      <c r="BR2540" s="2" t="s">
        <v>103</v>
      </c>
      <c r="BS2540" s="3">
        <v>43088</v>
      </c>
      <c r="BT2540" s="4">
        <v>0.3298611111111111</v>
      </c>
      <c r="BU2540" s="2" t="s">
        <v>2395</v>
      </c>
      <c r="BV2540" s="2" t="s">
        <v>85</v>
      </c>
      <c r="BY2540" s="2">
        <v>1200</v>
      </c>
      <c r="CC2540" s="2" t="s">
        <v>163</v>
      </c>
      <c r="CD2540" s="2">
        <v>1451</v>
      </c>
      <c r="CE2540" s="2" t="s">
        <v>120</v>
      </c>
      <c r="CF2540" s="3">
        <v>43089</v>
      </c>
      <c r="CI2540" s="2">
        <v>1</v>
      </c>
      <c r="CJ2540" s="2">
        <v>1</v>
      </c>
      <c r="CK2540" s="2">
        <v>22</v>
      </c>
      <c r="CL2540" s="2" t="s">
        <v>89</v>
      </c>
    </row>
    <row r="2541" spans="1:90">
      <c r="A2541" s="2" t="s">
        <v>71</v>
      </c>
      <c r="B2541" s="2" t="s">
        <v>72</v>
      </c>
      <c r="C2541" s="2" t="s">
        <v>73</v>
      </c>
      <c r="E2541" s="2" t="str">
        <f>"FES1162596571"</f>
        <v>FES1162596571</v>
      </c>
      <c r="F2541" s="3">
        <v>43087</v>
      </c>
      <c r="G2541" s="2">
        <v>201806</v>
      </c>
      <c r="H2541" s="2" t="s">
        <v>74</v>
      </c>
      <c r="I2541" s="2" t="s">
        <v>75</v>
      </c>
      <c r="J2541" s="2" t="s">
        <v>97</v>
      </c>
      <c r="K2541" s="2" t="s">
        <v>77</v>
      </c>
      <c r="L2541" s="2" t="s">
        <v>131</v>
      </c>
      <c r="M2541" s="2" t="s">
        <v>132</v>
      </c>
      <c r="N2541" s="2" t="s">
        <v>228</v>
      </c>
      <c r="O2541" s="2" t="s">
        <v>101</v>
      </c>
      <c r="P2541" s="2" t="str">
        <f>"2170602453                    "</f>
        <v xml:space="preserve">2170602453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6.43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45.93</v>
      </c>
      <c r="BM2541" s="2">
        <v>6.43</v>
      </c>
      <c r="BN2541" s="2">
        <v>52.36</v>
      </c>
      <c r="BO2541" s="2">
        <v>52.36</v>
      </c>
      <c r="BQ2541" s="2" t="s">
        <v>229</v>
      </c>
      <c r="BR2541" s="2" t="s">
        <v>103</v>
      </c>
      <c r="BS2541" s="3">
        <v>43088</v>
      </c>
      <c r="BT2541" s="4">
        <v>0.375</v>
      </c>
      <c r="BU2541" s="2" t="s">
        <v>230</v>
      </c>
      <c r="BV2541" s="2" t="s">
        <v>85</v>
      </c>
      <c r="BY2541" s="2">
        <v>1200</v>
      </c>
      <c r="CA2541" s="2" t="s">
        <v>231</v>
      </c>
      <c r="CC2541" s="2" t="s">
        <v>132</v>
      </c>
      <c r="CD2541" s="2">
        <v>4300</v>
      </c>
      <c r="CE2541" s="2" t="s">
        <v>120</v>
      </c>
      <c r="CF2541" s="3">
        <v>43089</v>
      </c>
      <c r="CI2541" s="2">
        <v>1</v>
      </c>
      <c r="CJ2541" s="2">
        <v>1</v>
      </c>
      <c r="CK2541" s="2">
        <v>21</v>
      </c>
      <c r="CL2541" s="2" t="s">
        <v>89</v>
      </c>
    </row>
    <row r="2542" spans="1:90">
      <c r="A2542" s="2" t="s">
        <v>71</v>
      </c>
      <c r="B2542" s="2" t="s">
        <v>72</v>
      </c>
      <c r="C2542" s="2" t="s">
        <v>73</v>
      </c>
      <c r="E2542" s="2" t="str">
        <f>"FES1162596562"</f>
        <v>FES1162596562</v>
      </c>
      <c r="F2542" s="3">
        <v>43087</v>
      </c>
      <c r="G2542" s="2">
        <v>201806</v>
      </c>
      <c r="H2542" s="2" t="s">
        <v>74</v>
      </c>
      <c r="I2542" s="2" t="s">
        <v>75</v>
      </c>
      <c r="J2542" s="2" t="s">
        <v>97</v>
      </c>
      <c r="K2542" s="2" t="s">
        <v>77</v>
      </c>
      <c r="L2542" s="2" t="s">
        <v>490</v>
      </c>
      <c r="M2542" s="2" t="s">
        <v>491</v>
      </c>
      <c r="N2542" s="2" t="s">
        <v>2201</v>
      </c>
      <c r="O2542" s="2" t="s">
        <v>101</v>
      </c>
      <c r="P2542" s="2" t="str">
        <f>"2170608238                    "</f>
        <v xml:space="preserve">2170608238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6.43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45.93</v>
      </c>
      <c r="BM2542" s="2">
        <v>6.43</v>
      </c>
      <c r="BN2542" s="2">
        <v>52.36</v>
      </c>
      <c r="BO2542" s="2">
        <v>52.36</v>
      </c>
      <c r="BR2542" s="2" t="s">
        <v>103</v>
      </c>
      <c r="BS2542" s="3">
        <v>43088</v>
      </c>
      <c r="BT2542" s="4">
        <v>0.45833333333333331</v>
      </c>
      <c r="BU2542" s="2" t="s">
        <v>2678</v>
      </c>
      <c r="BV2542" s="2" t="s">
        <v>85</v>
      </c>
      <c r="BY2542" s="2">
        <v>1200</v>
      </c>
      <c r="CA2542" s="2" t="s">
        <v>2679</v>
      </c>
      <c r="CC2542" s="2" t="s">
        <v>491</v>
      </c>
      <c r="CD2542" s="2">
        <v>3699</v>
      </c>
      <c r="CE2542" s="2" t="s">
        <v>120</v>
      </c>
      <c r="CF2542" s="3">
        <v>43089</v>
      </c>
      <c r="CI2542" s="2">
        <v>1</v>
      </c>
      <c r="CJ2542" s="2">
        <v>1</v>
      </c>
      <c r="CK2542" s="2">
        <v>21</v>
      </c>
      <c r="CL2542" s="2" t="s">
        <v>89</v>
      </c>
    </row>
    <row r="2543" spans="1:90">
      <c r="A2543" s="2" t="s">
        <v>71</v>
      </c>
      <c r="B2543" s="2" t="s">
        <v>72</v>
      </c>
      <c r="C2543" s="2" t="s">
        <v>73</v>
      </c>
      <c r="E2543" s="2" t="str">
        <f>"FES1162596593"</f>
        <v>FES1162596593</v>
      </c>
      <c r="F2543" s="3">
        <v>43087</v>
      </c>
      <c r="G2543" s="2">
        <v>201806</v>
      </c>
      <c r="H2543" s="2" t="s">
        <v>74</v>
      </c>
      <c r="I2543" s="2" t="s">
        <v>75</v>
      </c>
      <c r="J2543" s="2" t="s">
        <v>97</v>
      </c>
      <c r="K2543" s="2" t="s">
        <v>77</v>
      </c>
      <c r="L2543" s="2" t="s">
        <v>221</v>
      </c>
      <c r="M2543" s="2" t="s">
        <v>222</v>
      </c>
      <c r="N2543" s="2" t="s">
        <v>164</v>
      </c>
      <c r="O2543" s="2" t="s">
        <v>101</v>
      </c>
      <c r="P2543" s="2" t="str">
        <f>"2170605779                    "</f>
        <v xml:space="preserve">2170605779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6.43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45.93</v>
      </c>
      <c r="BM2543" s="2">
        <v>6.43</v>
      </c>
      <c r="BN2543" s="2">
        <v>52.36</v>
      </c>
      <c r="BO2543" s="2">
        <v>52.36</v>
      </c>
      <c r="BQ2543" s="2" t="s">
        <v>102</v>
      </c>
      <c r="BR2543" s="2" t="s">
        <v>103</v>
      </c>
      <c r="BS2543" s="3">
        <v>43088</v>
      </c>
      <c r="BT2543" s="4">
        <v>0.37777777777777777</v>
      </c>
      <c r="BU2543" s="2" t="s">
        <v>2680</v>
      </c>
      <c r="BV2543" s="2" t="s">
        <v>85</v>
      </c>
      <c r="BY2543" s="2">
        <v>1200</v>
      </c>
      <c r="CA2543" s="2" t="s">
        <v>225</v>
      </c>
      <c r="CC2543" s="2" t="s">
        <v>222</v>
      </c>
      <c r="CD2543" s="2">
        <v>4133</v>
      </c>
      <c r="CE2543" s="2" t="s">
        <v>120</v>
      </c>
      <c r="CF2543" s="3">
        <v>43089</v>
      </c>
      <c r="CI2543" s="2">
        <v>1</v>
      </c>
      <c r="CJ2543" s="2">
        <v>1</v>
      </c>
      <c r="CK2543" s="2">
        <v>21</v>
      </c>
      <c r="CL2543" s="2" t="s">
        <v>89</v>
      </c>
    </row>
    <row r="2544" spans="1:90">
      <c r="A2544" s="2" t="s">
        <v>71</v>
      </c>
      <c r="B2544" s="2" t="s">
        <v>72</v>
      </c>
      <c r="C2544" s="2" t="s">
        <v>73</v>
      </c>
      <c r="E2544" s="2" t="str">
        <f>"FES1162596528"</f>
        <v>FES1162596528</v>
      </c>
      <c r="F2544" s="3">
        <v>43087</v>
      </c>
      <c r="G2544" s="2">
        <v>201806</v>
      </c>
      <c r="H2544" s="2" t="s">
        <v>74</v>
      </c>
      <c r="I2544" s="2" t="s">
        <v>75</v>
      </c>
      <c r="J2544" s="2" t="s">
        <v>97</v>
      </c>
      <c r="K2544" s="2" t="s">
        <v>77</v>
      </c>
      <c r="L2544" s="2" t="s">
        <v>521</v>
      </c>
      <c r="M2544" s="2" t="s">
        <v>522</v>
      </c>
      <c r="N2544" s="2" t="s">
        <v>523</v>
      </c>
      <c r="O2544" s="2" t="s">
        <v>101</v>
      </c>
      <c r="P2544" s="2" t="str">
        <f>"2170608231                    "</f>
        <v xml:space="preserve">2170608231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6.43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1.8</v>
      </c>
      <c r="BJ2544" s="2">
        <v>1.5</v>
      </c>
      <c r="BK2544" s="2">
        <v>2</v>
      </c>
      <c r="BL2544" s="2">
        <v>45.93</v>
      </c>
      <c r="BM2544" s="2">
        <v>6.43</v>
      </c>
      <c r="BN2544" s="2">
        <v>52.36</v>
      </c>
      <c r="BO2544" s="2">
        <v>52.36</v>
      </c>
      <c r="BQ2544" s="2" t="s">
        <v>102</v>
      </c>
      <c r="BR2544" s="2" t="s">
        <v>103</v>
      </c>
      <c r="BS2544" s="3">
        <v>43088</v>
      </c>
      <c r="BT2544" s="4">
        <v>0.35069444444444442</v>
      </c>
      <c r="BU2544" s="2" t="s">
        <v>524</v>
      </c>
      <c r="BV2544" s="2" t="s">
        <v>85</v>
      </c>
      <c r="BY2544" s="2">
        <v>7280.28</v>
      </c>
      <c r="CA2544" s="2" t="s">
        <v>525</v>
      </c>
      <c r="CC2544" s="2" t="s">
        <v>522</v>
      </c>
      <c r="CD2544" s="2">
        <v>6536</v>
      </c>
      <c r="CE2544" s="2" t="s">
        <v>95</v>
      </c>
      <c r="CF2544" s="3">
        <v>43090</v>
      </c>
      <c r="CI2544" s="2">
        <v>1</v>
      </c>
      <c r="CJ2544" s="2">
        <v>1</v>
      </c>
      <c r="CK2544" s="2">
        <v>21</v>
      </c>
      <c r="CL2544" s="2" t="s">
        <v>89</v>
      </c>
    </row>
    <row r="2545" spans="1:90">
      <c r="A2545" s="2" t="s">
        <v>71</v>
      </c>
      <c r="B2545" s="2" t="s">
        <v>72</v>
      </c>
      <c r="C2545" s="2" t="s">
        <v>73</v>
      </c>
      <c r="E2545" s="2" t="str">
        <f>"FES1162596619"</f>
        <v>FES1162596619</v>
      </c>
      <c r="F2545" s="3">
        <v>43087</v>
      </c>
      <c r="G2545" s="2">
        <v>201806</v>
      </c>
      <c r="H2545" s="2" t="s">
        <v>74</v>
      </c>
      <c r="I2545" s="2" t="s">
        <v>75</v>
      </c>
      <c r="J2545" s="2" t="s">
        <v>97</v>
      </c>
      <c r="K2545" s="2" t="s">
        <v>77</v>
      </c>
      <c r="L2545" s="2" t="s">
        <v>173</v>
      </c>
      <c r="M2545" s="2" t="s">
        <v>174</v>
      </c>
      <c r="N2545" s="2" t="s">
        <v>232</v>
      </c>
      <c r="O2545" s="2" t="s">
        <v>101</v>
      </c>
      <c r="P2545" s="2" t="str">
        <f>"2170608278                    "</f>
        <v xml:space="preserve">2170608278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16.079999999999998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3.2</v>
      </c>
      <c r="BJ2545" s="2">
        <v>4.9000000000000004</v>
      </c>
      <c r="BK2545" s="2">
        <v>5</v>
      </c>
      <c r="BL2545" s="2">
        <v>114.8</v>
      </c>
      <c r="BM2545" s="2">
        <v>16.07</v>
      </c>
      <c r="BN2545" s="2">
        <v>130.87</v>
      </c>
      <c r="BO2545" s="2">
        <v>130.87</v>
      </c>
      <c r="BQ2545" s="2" t="s">
        <v>102</v>
      </c>
      <c r="BR2545" s="2" t="s">
        <v>103</v>
      </c>
      <c r="BS2545" s="3">
        <v>43088</v>
      </c>
      <c r="BT2545" s="4">
        <v>0.35069444444444442</v>
      </c>
      <c r="BU2545" s="2" t="s">
        <v>1748</v>
      </c>
      <c r="BV2545" s="2" t="s">
        <v>85</v>
      </c>
      <c r="BY2545" s="2">
        <v>24596.19</v>
      </c>
      <c r="CA2545" s="2" t="s">
        <v>234</v>
      </c>
      <c r="CC2545" s="2" t="s">
        <v>174</v>
      </c>
      <c r="CD2545" s="2">
        <v>7530</v>
      </c>
      <c r="CE2545" s="2" t="s">
        <v>87</v>
      </c>
      <c r="CF2545" s="3">
        <v>43089</v>
      </c>
      <c r="CI2545" s="2">
        <v>1</v>
      </c>
      <c r="CJ2545" s="2">
        <v>1</v>
      </c>
      <c r="CK2545" s="2">
        <v>21</v>
      </c>
      <c r="CL2545" s="2" t="s">
        <v>89</v>
      </c>
    </row>
    <row r="2546" spans="1:90">
      <c r="A2546" s="2" t="s">
        <v>71</v>
      </c>
      <c r="B2546" s="2" t="s">
        <v>72</v>
      </c>
      <c r="C2546" s="2" t="s">
        <v>73</v>
      </c>
      <c r="E2546" s="2" t="str">
        <f>"FES1162596620"</f>
        <v>FES1162596620</v>
      </c>
      <c r="F2546" s="3">
        <v>43087</v>
      </c>
      <c r="G2546" s="2">
        <v>201806</v>
      </c>
      <c r="H2546" s="2" t="s">
        <v>74</v>
      </c>
      <c r="I2546" s="2" t="s">
        <v>75</v>
      </c>
      <c r="J2546" s="2" t="s">
        <v>97</v>
      </c>
      <c r="K2546" s="2" t="s">
        <v>77</v>
      </c>
      <c r="L2546" s="2" t="s">
        <v>173</v>
      </c>
      <c r="M2546" s="2" t="s">
        <v>174</v>
      </c>
      <c r="N2546" s="2" t="s">
        <v>876</v>
      </c>
      <c r="O2546" s="2" t="s">
        <v>101</v>
      </c>
      <c r="P2546" s="2" t="str">
        <f>"2170608279                    "</f>
        <v xml:space="preserve">2170608279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6.43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45.93</v>
      </c>
      <c r="BM2546" s="2">
        <v>6.43</v>
      </c>
      <c r="BN2546" s="2">
        <v>52.36</v>
      </c>
      <c r="BO2546" s="2">
        <v>52.36</v>
      </c>
      <c r="BQ2546" s="2" t="s">
        <v>128</v>
      </c>
      <c r="BR2546" s="2" t="s">
        <v>103</v>
      </c>
      <c r="BS2546" s="3">
        <v>43088</v>
      </c>
      <c r="BT2546" s="4">
        <v>0.41875000000000001</v>
      </c>
      <c r="BU2546" s="2" t="s">
        <v>877</v>
      </c>
      <c r="BV2546" s="2" t="s">
        <v>85</v>
      </c>
      <c r="BY2546" s="2">
        <v>1200</v>
      </c>
      <c r="CA2546" s="2" t="s">
        <v>1682</v>
      </c>
      <c r="CC2546" s="2" t="s">
        <v>174</v>
      </c>
      <c r="CD2546" s="2">
        <v>7441</v>
      </c>
      <c r="CE2546" s="2" t="s">
        <v>120</v>
      </c>
      <c r="CF2546" s="3">
        <v>43089</v>
      </c>
      <c r="CI2546" s="2">
        <v>1</v>
      </c>
      <c r="CJ2546" s="2">
        <v>1</v>
      </c>
      <c r="CK2546" s="2">
        <v>21</v>
      </c>
      <c r="CL2546" s="2" t="s">
        <v>89</v>
      </c>
    </row>
    <row r="2547" spans="1:90">
      <c r="A2547" s="2" t="s">
        <v>71</v>
      </c>
      <c r="B2547" s="2" t="s">
        <v>72</v>
      </c>
      <c r="C2547" s="2" t="s">
        <v>73</v>
      </c>
      <c r="E2547" s="2" t="str">
        <f>"FES1162596495"</f>
        <v>FES1162596495</v>
      </c>
      <c r="F2547" s="3">
        <v>43087</v>
      </c>
      <c r="G2547" s="2">
        <v>201806</v>
      </c>
      <c r="H2547" s="2" t="s">
        <v>74</v>
      </c>
      <c r="I2547" s="2" t="s">
        <v>75</v>
      </c>
      <c r="J2547" s="2" t="s">
        <v>97</v>
      </c>
      <c r="K2547" s="2" t="s">
        <v>77</v>
      </c>
      <c r="L2547" s="2" t="s">
        <v>173</v>
      </c>
      <c r="M2547" s="2" t="s">
        <v>174</v>
      </c>
      <c r="N2547" s="2" t="s">
        <v>1229</v>
      </c>
      <c r="O2547" s="2" t="s">
        <v>101</v>
      </c>
      <c r="P2547" s="2" t="str">
        <f>"217060786                     "</f>
        <v xml:space="preserve">217060786 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6.43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</v>
      </c>
      <c r="BJ2547" s="2">
        <v>0.2</v>
      </c>
      <c r="BK2547" s="2">
        <v>1</v>
      </c>
      <c r="BL2547" s="2">
        <v>45.93</v>
      </c>
      <c r="BM2547" s="2">
        <v>6.43</v>
      </c>
      <c r="BN2547" s="2">
        <v>52.36</v>
      </c>
      <c r="BO2547" s="2">
        <v>52.36</v>
      </c>
      <c r="BQ2547" s="2" t="s">
        <v>229</v>
      </c>
      <c r="BR2547" s="2" t="s">
        <v>103</v>
      </c>
      <c r="BS2547" s="3">
        <v>43088</v>
      </c>
      <c r="BT2547" s="4">
        <v>0.34583333333333338</v>
      </c>
      <c r="BU2547" s="2" t="s">
        <v>2681</v>
      </c>
      <c r="BV2547" s="2" t="s">
        <v>85</v>
      </c>
      <c r="BY2547" s="2">
        <v>1200</v>
      </c>
      <c r="CA2547" s="2" t="s">
        <v>1389</v>
      </c>
      <c r="CC2547" s="2" t="s">
        <v>174</v>
      </c>
      <c r="CD2547" s="2">
        <v>7460</v>
      </c>
      <c r="CE2547" s="2" t="s">
        <v>120</v>
      </c>
      <c r="CF2547" s="3">
        <v>43089</v>
      </c>
      <c r="CI2547" s="2">
        <v>1</v>
      </c>
      <c r="CJ2547" s="2">
        <v>1</v>
      </c>
      <c r="CK2547" s="2">
        <v>21</v>
      </c>
      <c r="CL2547" s="2" t="s">
        <v>89</v>
      </c>
    </row>
    <row r="2548" spans="1:90">
      <c r="A2548" s="2" t="s">
        <v>71</v>
      </c>
      <c r="B2548" s="2" t="s">
        <v>72</v>
      </c>
      <c r="C2548" s="2" t="s">
        <v>73</v>
      </c>
      <c r="E2548" s="2" t="str">
        <f>"FES1162596596"</f>
        <v>FES1162596596</v>
      </c>
      <c r="F2548" s="3">
        <v>43087</v>
      </c>
      <c r="G2548" s="2">
        <v>201806</v>
      </c>
      <c r="H2548" s="2" t="s">
        <v>74</v>
      </c>
      <c r="I2548" s="2" t="s">
        <v>75</v>
      </c>
      <c r="J2548" s="2" t="s">
        <v>97</v>
      </c>
      <c r="K2548" s="2" t="s">
        <v>77</v>
      </c>
      <c r="L2548" s="2" t="s">
        <v>173</v>
      </c>
      <c r="M2548" s="2" t="s">
        <v>174</v>
      </c>
      <c r="N2548" s="2" t="s">
        <v>349</v>
      </c>
      <c r="O2548" s="2" t="s">
        <v>101</v>
      </c>
      <c r="P2548" s="2" t="str">
        <f>"2170605845                    "</f>
        <v xml:space="preserve">2170605845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6.43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</v>
      </c>
      <c r="BJ2548" s="2">
        <v>0.2</v>
      </c>
      <c r="BK2548" s="2">
        <v>1</v>
      </c>
      <c r="BL2548" s="2">
        <v>45.93</v>
      </c>
      <c r="BM2548" s="2">
        <v>6.43</v>
      </c>
      <c r="BN2548" s="2">
        <v>52.36</v>
      </c>
      <c r="BO2548" s="2">
        <v>52.36</v>
      </c>
      <c r="BQ2548" s="2" t="s">
        <v>879</v>
      </c>
      <c r="BR2548" s="2" t="s">
        <v>103</v>
      </c>
      <c r="BS2548" s="3">
        <v>43088</v>
      </c>
      <c r="BT2548" s="4">
        <v>0.47847222222222219</v>
      </c>
      <c r="BU2548" s="2" t="s">
        <v>2682</v>
      </c>
      <c r="BV2548" s="2" t="s">
        <v>89</v>
      </c>
      <c r="BW2548" s="2" t="s">
        <v>313</v>
      </c>
      <c r="BX2548" s="2" t="s">
        <v>368</v>
      </c>
      <c r="BY2548" s="2">
        <v>1200</v>
      </c>
      <c r="CA2548" s="2" t="s">
        <v>1713</v>
      </c>
      <c r="CC2548" s="2" t="s">
        <v>174</v>
      </c>
      <c r="CD2548" s="2">
        <v>7800</v>
      </c>
      <c r="CE2548" s="2" t="s">
        <v>120</v>
      </c>
      <c r="CF2548" s="3">
        <v>43089</v>
      </c>
      <c r="CI2548" s="2">
        <v>1</v>
      </c>
      <c r="CJ2548" s="2">
        <v>1</v>
      </c>
      <c r="CK2548" s="2">
        <v>21</v>
      </c>
      <c r="CL2548" s="2" t="s">
        <v>89</v>
      </c>
    </row>
    <row r="2549" spans="1:90">
      <c r="A2549" s="2" t="s">
        <v>71</v>
      </c>
      <c r="B2549" s="2" t="s">
        <v>72</v>
      </c>
      <c r="C2549" s="2" t="s">
        <v>73</v>
      </c>
      <c r="E2549" s="2" t="str">
        <f>"FES1162596607"</f>
        <v>FES1162596607</v>
      </c>
      <c r="F2549" s="3">
        <v>43087</v>
      </c>
      <c r="G2549" s="2">
        <v>201806</v>
      </c>
      <c r="H2549" s="2" t="s">
        <v>74</v>
      </c>
      <c r="I2549" s="2" t="s">
        <v>75</v>
      </c>
      <c r="J2549" s="2" t="s">
        <v>97</v>
      </c>
      <c r="K2549" s="2" t="s">
        <v>77</v>
      </c>
      <c r="L2549" s="2" t="s">
        <v>173</v>
      </c>
      <c r="M2549" s="2" t="s">
        <v>174</v>
      </c>
      <c r="N2549" s="2" t="s">
        <v>1931</v>
      </c>
      <c r="O2549" s="2" t="s">
        <v>101</v>
      </c>
      <c r="P2549" s="2" t="str">
        <f>"2170606999                    "</f>
        <v xml:space="preserve">2170606999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6.43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</v>
      </c>
      <c r="BJ2549" s="2">
        <v>0.2</v>
      </c>
      <c r="BK2549" s="2">
        <v>1</v>
      </c>
      <c r="BL2549" s="2">
        <v>45.93</v>
      </c>
      <c r="BM2549" s="2">
        <v>6.43</v>
      </c>
      <c r="BN2549" s="2">
        <v>52.36</v>
      </c>
      <c r="BO2549" s="2">
        <v>52.36</v>
      </c>
      <c r="BQ2549" s="2" t="s">
        <v>2683</v>
      </c>
      <c r="BR2549" s="2" t="s">
        <v>103</v>
      </c>
      <c r="BS2549" s="3">
        <v>43088</v>
      </c>
      <c r="BT2549" s="4">
        <v>0.41666666666666669</v>
      </c>
      <c r="BU2549" s="2" t="s">
        <v>2684</v>
      </c>
      <c r="BV2549" s="2" t="s">
        <v>85</v>
      </c>
      <c r="BY2549" s="2">
        <v>1200</v>
      </c>
      <c r="CA2549" s="2" t="s">
        <v>216</v>
      </c>
      <c r="CC2549" s="2" t="s">
        <v>174</v>
      </c>
      <c r="CD2549" s="2">
        <v>7945</v>
      </c>
      <c r="CE2549" s="2" t="s">
        <v>120</v>
      </c>
      <c r="CF2549" s="3">
        <v>43089</v>
      </c>
      <c r="CI2549" s="2">
        <v>1</v>
      </c>
      <c r="CJ2549" s="2">
        <v>1</v>
      </c>
      <c r="CK2549" s="2">
        <v>21</v>
      </c>
      <c r="CL2549" s="2" t="s">
        <v>89</v>
      </c>
    </row>
    <row r="2550" spans="1:90">
      <c r="A2550" s="2" t="s">
        <v>71</v>
      </c>
      <c r="B2550" s="2" t="s">
        <v>72</v>
      </c>
      <c r="C2550" s="2" t="s">
        <v>73</v>
      </c>
      <c r="E2550" s="2" t="str">
        <f>"FES1162596566"</f>
        <v>FES1162596566</v>
      </c>
      <c r="F2550" s="3">
        <v>43087</v>
      </c>
      <c r="G2550" s="2">
        <v>201806</v>
      </c>
      <c r="H2550" s="2" t="s">
        <v>74</v>
      </c>
      <c r="I2550" s="2" t="s">
        <v>75</v>
      </c>
      <c r="J2550" s="2" t="s">
        <v>97</v>
      </c>
      <c r="K2550" s="2" t="s">
        <v>77</v>
      </c>
      <c r="L2550" s="2" t="s">
        <v>173</v>
      </c>
      <c r="M2550" s="2" t="s">
        <v>174</v>
      </c>
      <c r="N2550" s="2" t="s">
        <v>1753</v>
      </c>
      <c r="O2550" s="2" t="s">
        <v>101</v>
      </c>
      <c r="P2550" s="2" t="str">
        <f>"2170608248                    "</f>
        <v xml:space="preserve">2170608248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6.43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</v>
      </c>
      <c r="BJ2550" s="2">
        <v>0.2</v>
      </c>
      <c r="BK2550" s="2">
        <v>1</v>
      </c>
      <c r="BL2550" s="2">
        <v>45.93</v>
      </c>
      <c r="BM2550" s="2">
        <v>6.43</v>
      </c>
      <c r="BN2550" s="2">
        <v>52.36</v>
      </c>
      <c r="BO2550" s="2">
        <v>52.36</v>
      </c>
      <c r="BQ2550" s="2" t="s">
        <v>82</v>
      </c>
      <c r="BR2550" s="2" t="s">
        <v>103</v>
      </c>
      <c r="BS2550" s="3">
        <v>43088</v>
      </c>
      <c r="BT2550" s="4">
        <v>0.37638888888888888</v>
      </c>
      <c r="BU2550" s="2" t="s">
        <v>1754</v>
      </c>
      <c r="BV2550" s="2" t="s">
        <v>85</v>
      </c>
      <c r="BY2550" s="2">
        <v>1200</v>
      </c>
      <c r="CA2550" s="2" t="s">
        <v>247</v>
      </c>
      <c r="CC2550" s="2" t="s">
        <v>174</v>
      </c>
      <c r="CD2550" s="2">
        <v>7530</v>
      </c>
      <c r="CE2550" s="2" t="s">
        <v>120</v>
      </c>
      <c r="CF2550" s="3">
        <v>43089</v>
      </c>
      <c r="CI2550" s="2">
        <v>1</v>
      </c>
      <c r="CJ2550" s="2">
        <v>1</v>
      </c>
      <c r="CK2550" s="2">
        <v>21</v>
      </c>
      <c r="CL2550" s="2" t="s">
        <v>89</v>
      </c>
    </row>
    <row r="2551" spans="1:90">
      <c r="A2551" s="2" t="s">
        <v>71</v>
      </c>
      <c r="B2551" s="2" t="s">
        <v>72</v>
      </c>
      <c r="C2551" s="2" t="s">
        <v>73</v>
      </c>
      <c r="E2551" s="2" t="str">
        <f>"FES1162596611"</f>
        <v>FES1162596611</v>
      </c>
      <c r="F2551" s="3">
        <v>43087</v>
      </c>
      <c r="G2551" s="2">
        <v>201806</v>
      </c>
      <c r="H2551" s="2" t="s">
        <v>74</v>
      </c>
      <c r="I2551" s="2" t="s">
        <v>75</v>
      </c>
      <c r="J2551" s="2" t="s">
        <v>97</v>
      </c>
      <c r="K2551" s="2" t="s">
        <v>77</v>
      </c>
      <c r="L2551" s="2" t="s">
        <v>173</v>
      </c>
      <c r="M2551" s="2" t="s">
        <v>174</v>
      </c>
      <c r="N2551" s="2" t="s">
        <v>2115</v>
      </c>
      <c r="O2551" s="2" t="s">
        <v>101</v>
      </c>
      <c r="P2551" s="2" t="str">
        <f>"2170607313                    "</f>
        <v xml:space="preserve">2170607313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6.43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1</v>
      </c>
      <c r="BJ2551" s="2">
        <v>0.2</v>
      </c>
      <c r="BK2551" s="2">
        <v>1</v>
      </c>
      <c r="BL2551" s="2">
        <v>45.93</v>
      </c>
      <c r="BM2551" s="2">
        <v>6.43</v>
      </c>
      <c r="BN2551" s="2">
        <v>52.36</v>
      </c>
      <c r="BO2551" s="2">
        <v>52.36</v>
      </c>
      <c r="BR2551" s="2" t="s">
        <v>103</v>
      </c>
      <c r="BS2551" s="3">
        <v>43088</v>
      </c>
      <c r="BT2551" s="4">
        <v>0.4548611111111111</v>
      </c>
      <c r="BU2551" s="2" t="s">
        <v>2685</v>
      </c>
      <c r="BV2551" s="2" t="s">
        <v>85</v>
      </c>
      <c r="BY2551" s="2">
        <v>1200</v>
      </c>
      <c r="CA2551" s="2" t="s">
        <v>234</v>
      </c>
      <c r="CC2551" s="2" t="s">
        <v>174</v>
      </c>
      <c r="CD2551" s="2">
        <v>7570</v>
      </c>
      <c r="CE2551" s="2" t="s">
        <v>120</v>
      </c>
      <c r="CF2551" s="3">
        <v>43089</v>
      </c>
      <c r="CI2551" s="2">
        <v>1</v>
      </c>
      <c r="CJ2551" s="2">
        <v>1</v>
      </c>
      <c r="CK2551" s="2">
        <v>21</v>
      </c>
      <c r="CL2551" s="2" t="s">
        <v>89</v>
      </c>
    </row>
    <row r="2552" spans="1:90">
      <c r="A2552" s="2" t="s">
        <v>71</v>
      </c>
      <c r="B2552" s="2" t="s">
        <v>72</v>
      </c>
      <c r="C2552" s="2" t="s">
        <v>73</v>
      </c>
      <c r="E2552" s="2" t="str">
        <f>"FES1162596518"</f>
        <v>FES1162596518</v>
      </c>
      <c r="F2552" s="3">
        <v>43087</v>
      </c>
      <c r="G2552" s="2">
        <v>201806</v>
      </c>
      <c r="H2552" s="2" t="s">
        <v>74</v>
      </c>
      <c r="I2552" s="2" t="s">
        <v>75</v>
      </c>
      <c r="J2552" s="2" t="s">
        <v>97</v>
      </c>
      <c r="K2552" s="2" t="s">
        <v>77</v>
      </c>
      <c r="L2552" s="2" t="s">
        <v>136</v>
      </c>
      <c r="M2552" s="2" t="s">
        <v>137</v>
      </c>
      <c r="N2552" s="2" t="s">
        <v>333</v>
      </c>
      <c r="O2552" s="2" t="s">
        <v>101</v>
      </c>
      <c r="P2552" s="2" t="str">
        <f>"21706065496                   "</f>
        <v xml:space="preserve">21706065496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6.43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</v>
      </c>
      <c r="BJ2552" s="2">
        <v>0.2</v>
      </c>
      <c r="BK2552" s="2">
        <v>1</v>
      </c>
      <c r="BL2552" s="2">
        <v>45.93</v>
      </c>
      <c r="BM2552" s="2">
        <v>6.43</v>
      </c>
      <c r="BN2552" s="2">
        <v>52.36</v>
      </c>
      <c r="BO2552" s="2">
        <v>52.36</v>
      </c>
      <c r="BQ2552" s="2" t="s">
        <v>334</v>
      </c>
      <c r="BR2552" s="2" t="s">
        <v>103</v>
      </c>
      <c r="BS2552" s="3">
        <v>43088</v>
      </c>
      <c r="BT2552" s="4">
        <v>0.3125</v>
      </c>
      <c r="BU2552" s="2" t="s">
        <v>2677</v>
      </c>
      <c r="BV2552" s="2" t="s">
        <v>85</v>
      </c>
      <c r="BY2552" s="2">
        <v>1200</v>
      </c>
      <c r="CA2552" s="2" t="s">
        <v>140</v>
      </c>
      <c r="CC2552" s="2" t="s">
        <v>137</v>
      </c>
      <c r="CD2552" s="2">
        <v>6012</v>
      </c>
      <c r="CE2552" s="2" t="s">
        <v>120</v>
      </c>
      <c r="CF2552" s="3">
        <v>43090</v>
      </c>
      <c r="CI2552" s="2">
        <v>1</v>
      </c>
      <c r="CJ2552" s="2">
        <v>1</v>
      </c>
      <c r="CK2552" s="2">
        <v>21</v>
      </c>
      <c r="CL2552" s="2" t="s">
        <v>89</v>
      </c>
    </row>
    <row r="2553" spans="1:90">
      <c r="A2553" s="2" t="s">
        <v>71</v>
      </c>
      <c r="B2553" s="2" t="s">
        <v>72</v>
      </c>
      <c r="C2553" s="2" t="s">
        <v>73</v>
      </c>
      <c r="E2553" s="2" t="str">
        <f>"FES1162596558"</f>
        <v>FES1162596558</v>
      </c>
      <c r="F2553" s="3">
        <v>43087</v>
      </c>
      <c r="G2553" s="2">
        <v>201806</v>
      </c>
      <c r="H2553" s="2" t="s">
        <v>74</v>
      </c>
      <c r="I2553" s="2" t="s">
        <v>75</v>
      </c>
      <c r="J2553" s="2" t="s">
        <v>97</v>
      </c>
      <c r="K2553" s="2" t="s">
        <v>77</v>
      </c>
      <c r="L2553" s="2" t="s">
        <v>145</v>
      </c>
      <c r="M2553" s="2" t="s">
        <v>146</v>
      </c>
      <c r="N2553" s="2" t="s">
        <v>1533</v>
      </c>
      <c r="O2553" s="2" t="s">
        <v>101</v>
      </c>
      <c r="P2553" s="2" t="str">
        <f>"2170606356                    "</f>
        <v xml:space="preserve">2170606356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6.43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45.93</v>
      </c>
      <c r="BM2553" s="2">
        <v>6.43</v>
      </c>
      <c r="BN2553" s="2">
        <v>52.36</v>
      </c>
      <c r="BO2553" s="2">
        <v>52.36</v>
      </c>
      <c r="BQ2553" s="2" t="s">
        <v>1534</v>
      </c>
      <c r="BR2553" s="2" t="s">
        <v>103</v>
      </c>
      <c r="BS2553" s="2" t="s">
        <v>185</v>
      </c>
      <c r="BY2553" s="2">
        <v>1200</v>
      </c>
      <c r="CC2553" s="2" t="s">
        <v>146</v>
      </c>
      <c r="CD2553" s="2">
        <v>5201</v>
      </c>
      <c r="CE2553" s="2" t="s">
        <v>120</v>
      </c>
      <c r="CI2553" s="2">
        <v>1</v>
      </c>
      <c r="CJ2553" s="2" t="s">
        <v>185</v>
      </c>
      <c r="CK2553" s="2">
        <v>21</v>
      </c>
      <c r="CL2553" s="2" t="s">
        <v>89</v>
      </c>
    </row>
    <row r="2554" spans="1:90">
      <c r="A2554" s="2" t="s">
        <v>71</v>
      </c>
      <c r="B2554" s="2" t="s">
        <v>72</v>
      </c>
      <c r="C2554" s="2" t="s">
        <v>73</v>
      </c>
      <c r="E2554" s="2" t="str">
        <f>"FES1162596583"</f>
        <v>FES1162596583</v>
      </c>
      <c r="F2554" s="3">
        <v>43087</v>
      </c>
      <c r="G2554" s="2">
        <v>201806</v>
      </c>
      <c r="H2554" s="2" t="s">
        <v>74</v>
      </c>
      <c r="I2554" s="2" t="s">
        <v>75</v>
      </c>
      <c r="J2554" s="2" t="s">
        <v>97</v>
      </c>
      <c r="K2554" s="2" t="s">
        <v>77</v>
      </c>
      <c r="L2554" s="2" t="s">
        <v>136</v>
      </c>
      <c r="M2554" s="2" t="s">
        <v>137</v>
      </c>
      <c r="N2554" s="2" t="s">
        <v>138</v>
      </c>
      <c r="O2554" s="2" t="s">
        <v>101</v>
      </c>
      <c r="P2554" s="2" t="str">
        <f>"2170604362                    "</f>
        <v xml:space="preserve">2170604362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6.43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1</v>
      </c>
      <c r="BJ2554" s="2">
        <v>0.2</v>
      </c>
      <c r="BK2554" s="2">
        <v>1</v>
      </c>
      <c r="BL2554" s="2">
        <v>45.93</v>
      </c>
      <c r="BM2554" s="2">
        <v>6.43</v>
      </c>
      <c r="BN2554" s="2">
        <v>52.36</v>
      </c>
      <c r="BO2554" s="2">
        <v>52.36</v>
      </c>
      <c r="BQ2554" s="2" t="s">
        <v>82</v>
      </c>
      <c r="BR2554" s="2" t="s">
        <v>103</v>
      </c>
      <c r="BS2554" s="3">
        <v>43088</v>
      </c>
      <c r="BT2554" s="4">
        <v>0.35416666666666669</v>
      </c>
      <c r="BU2554" s="2" t="s">
        <v>139</v>
      </c>
      <c r="BV2554" s="2" t="s">
        <v>85</v>
      </c>
      <c r="BY2554" s="2">
        <v>1200</v>
      </c>
      <c r="CA2554" s="2" t="s">
        <v>140</v>
      </c>
      <c r="CC2554" s="2" t="s">
        <v>137</v>
      </c>
      <c r="CD2554" s="2">
        <v>6001</v>
      </c>
      <c r="CE2554" s="2" t="s">
        <v>120</v>
      </c>
      <c r="CF2554" s="3">
        <v>43090</v>
      </c>
      <c r="CI2554" s="2">
        <v>1</v>
      </c>
      <c r="CJ2554" s="2">
        <v>1</v>
      </c>
      <c r="CK2554" s="2">
        <v>21</v>
      </c>
      <c r="CL2554" s="2" t="s">
        <v>89</v>
      </c>
    </row>
    <row r="2555" spans="1:90">
      <c r="A2555" s="2" t="s">
        <v>71</v>
      </c>
      <c r="B2555" s="2" t="s">
        <v>72</v>
      </c>
      <c r="C2555" s="2" t="s">
        <v>73</v>
      </c>
      <c r="E2555" s="2" t="str">
        <f>"FES1162596630"</f>
        <v>FES1162596630</v>
      </c>
      <c r="F2555" s="3">
        <v>43087</v>
      </c>
      <c r="G2555" s="2">
        <v>201806</v>
      </c>
      <c r="H2555" s="2" t="s">
        <v>74</v>
      </c>
      <c r="I2555" s="2" t="s">
        <v>75</v>
      </c>
      <c r="J2555" s="2" t="s">
        <v>97</v>
      </c>
      <c r="K2555" s="2" t="s">
        <v>77</v>
      </c>
      <c r="L2555" s="2" t="s">
        <v>136</v>
      </c>
      <c r="M2555" s="2" t="s">
        <v>137</v>
      </c>
      <c r="N2555" s="2" t="s">
        <v>259</v>
      </c>
      <c r="O2555" s="2" t="s">
        <v>101</v>
      </c>
      <c r="P2555" s="2" t="str">
        <f>"2170607262                    "</f>
        <v xml:space="preserve">2170607262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6.43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</v>
      </c>
      <c r="BJ2555" s="2">
        <v>0.2</v>
      </c>
      <c r="BK2555" s="2">
        <v>1</v>
      </c>
      <c r="BL2555" s="2">
        <v>45.93</v>
      </c>
      <c r="BM2555" s="2">
        <v>6.43</v>
      </c>
      <c r="BN2555" s="2">
        <v>52.36</v>
      </c>
      <c r="BO2555" s="2">
        <v>52.36</v>
      </c>
      <c r="BQ2555" s="2" t="s">
        <v>102</v>
      </c>
      <c r="BR2555" s="2" t="s">
        <v>103</v>
      </c>
      <c r="BS2555" s="3">
        <v>43088</v>
      </c>
      <c r="BT2555" s="4">
        <v>0.3215277777777778</v>
      </c>
      <c r="BU2555" s="2" t="s">
        <v>2686</v>
      </c>
      <c r="BV2555" s="2" t="s">
        <v>85</v>
      </c>
      <c r="BY2555" s="2">
        <v>1200</v>
      </c>
      <c r="CA2555" s="2" t="s">
        <v>261</v>
      </c>
      <c r="CC2555" s="2" t="s">
        <v>137</v>
      </c>
      <c r="CD2555" s="2">
        <v>6001</v>
      </c>
      <c r="CE2555" s="2" t="s">
        <v>120</v>
      </c>
      <c r="CF2555" s="3">
        <v>43090</v>
      </c>
      <c r="CI2555" s="2">
        <v>1</v>
      </c>
      <c r="CJ2555" s="2">
        <v>1</v>
      </c>
      <c r="CK2555" s="2">
        <v>21</v>
      </c>
      <c r="CL2555" s="2" t="s">
        <v>89</v>
      </c>
    </row>
    <row r="2556" spans="1:90">
      <c r="A2556" s="2" t="s">
        <v>71</v>
      </c>
      <c r="B2556" s="2" t="s">
        <v>72</v>
      </c>
      <c r="C2556" s="2" t="s">
        <v>73</v>
      </c>
      <c r="E2556" s="2" t="str">
        <f>"FES1162596519"</f>
        <v>FES1162596519</v>
      </c>
      <c r="F2556" s="3">
        <v>43087</v>
      </c>
      <c r="G2556" s="2">
        <v>201806</v>
      </c>
      <c r="H2556" s="2" t="s">
        <v>74</v>
      </c>
      <c r="I2556" s="2" t="s">
        <v>75</v>
      </c>
      <c r="J2556" s="2" t="s">
        <v>97</v>
      </c>
      <c r="K2556" s="2" t="s">
        <v>77</v>
      </c>
      <c r="L2556" s="2" t="s">
        <v>145</v>
      </c>
      <c r="M2556" s="2" t="s">
        <v>146</v>
      </c>
      <c r="N2556" s="2" t="s">
        <v>753</v>
      </c>
      <c r="O2556" s="2" t="s">
        <v>101</v>
      </c>
      <c r="P2556" s="2" t="str">
        <f>"2170606519                    "</f>
        <v xml:space="preserve">2170606519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6.43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45.93</v>
      </c>
      <c r="BM2556" s="2">
        <v>6.43</v>
      </c>
      <c r="BN2556" s="2">
        <v>52.36</v>
      </c>
      <c r="BO2556" s="2">
        <v>52.36</v>
      </c>
      <c r="BQ2556" s="2" t="s">
        <v>82</v>
      </c>
      <c r="BR2556" s="2" t="s">
        <v>103</v>
      </c>
      <c r="BS2556" s="3">
        <v>43088</v>
      </c>
      <c r="BT2556" s="4">
        <v>0.41041666666666665</v>
      </c>
      <c r="BU2556" s="2" t="s">
        <v>1479</v>
      </c>
      <c r="BV2556" s="2" t="s">
        <v>85</v>
      </c>
      <c r="BY2556" s="2">
        <v>1200</v>
      </c>
      <c r="CA2556" s="2" t="s">
        <v>754</v>
      </c>
      <c r="CC2556" s="2" t="s">
        <v>146</v>
      </c>
      <c r="CD2556" s="2">
        <v>5201</v>
      </c>
      <c r="CE2556" s="2" t="s">
        <v>120</v>
      </c>
      <c r="CF2556" s="3">
        <v>43089</v>
      </c>
      <c r="CI2556" s="2">
        <v>1</v>
      </c>
      <c r="CJ2556" s="2">
        <v>1</v>
      </c>
      <c r="CK2556" s="2">
        <v>21</v>
      </c>
      <c r="CL2556" s="2" t="s">
        <v>89</v>
      </c>
    </row>
    <row r="2557" spans="1:90">
      <c r="A2557" s="2" t="s">
        <v>71</v>
      </c>
      <c r="B2557" s="2" t="s">
        <v>72</v>
      </c>
      <c r="C2557" s="2" t="s">
        <v>73</v>
      </c>
      <c r="E2557" s="2" t="str">
        <f>"FES1162596637"</f>
        <v>FES1162596637</v>
      </c>
      <c r="F2557" s="3">
        <v>43087</v>
      </c>
      <c r="G2557" s="2">
        <v>201806</v>
      </c>
      <c r="H2557" s="2" t="s">
        <v>74</v>
      </c>
      <c r="I2557" s="2" t="s">
        <v>75</v>
      </c>
      <c r="J2557" s="2" t="s">
        <v>97</v>
      </c>
      <c r="K2557" s="2" t="s">
        <v>77</v>
      </c>
      <c r="L2557" s="2" t="s">
        <v>136</v>
      </c>
      <c r="M2557" s="2" t="s">
        <v>137</v>
      </c>
      <c r="N2557" s="2" t="s">
        <v>259</v>
      </c>
      <c r="O2557" s="2" t="s">
        <v>101</v>
      </c>
      <c r="P2557" s="2" t="str">
        <f>"2170607262                    "</f>
        <v xml:space="preserve">2170607262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6.43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</v>
      </c>
      <c r="BJ2557" s="2">
        <v>0.2</v>
      </c>
      <c r="BK2557" s="2">
        <v>1</v>
      </c>
      <c r="BL2557" s="2">
        <v>45.93</v>
      </c>
      <c r="BM2557" s="2">
        <v>6.43</v>
      </c>
      <c r="BN2557" s="2">
        <v>52.36</v>
      </c>
      <c r="BO2557" s="2">
        <v>52.36</v>
      </c>
      <c r="BQ2557" s="2" t="s">
        <v>102</v>
      </c>
      <c r="BR2557" s="2" t="s">
        <v>103</v>
      </c>
      <c r="BS2557" s="3">
        <v>43088</v>
      </c>
      <c r="BT2557" s="4">
        <v>0.36319444444444443</v>
      </c>
      <c r="BU2557" s="2" t="s">
        <v>2687</v>
      </c>
      <c r="BV2557" s="2" t="s">
        <v>85</v>
      </c>
      <c r="BY2557" s="2">
        <v>1200</v>
      </c>
      <c r="CA2557" s="2" t="s">
        <v>261</v>
      </c>
      <c r="CC2557" s="2" t="s">
        <v>137</v>
      </c>
      <c r="CD2557" s="2">
        <v>6001</v>
      </c>
      <c r="CE2557" s="2" t="s">
        <v>120</v>
      </c>
      <c r="CF2557" s="3">
        <v>43090</v>
      </c>
      <c r="CI2557" s="2">
        <v>1</v>
      </c>
      <c r="CJ2557" s="2">
        <v>1</v>
      </c>
      <c r="CK2557" s="2">
        <v>21</v>
      </c>
      <c r="CL2557" s="2" t="s">
        <v>89</v>
      </c>
    </row>
    <row r="2558" spans="1:90">
      <c r="A2558" s="2" t="s">
        <v>71</v>
      </c>
      <c r="B2558" s="2" t="s">
        <v>72</v>
      </c>
      <c r="C2558" s="2" t="s">
        <v>73</v>
      </c>
      <c r="E2558" s="2" t="str">
        <f>"FES1162596511"</f>
        <v>FES1162596511</v>
      </c>
      <c r="F2558" s="3">
        <v>43087</v>
      </c>
      <c r="G2558" s="2">
        <v>201806</v>
      </c>
      <c r="H2558" s="2" t="s">
        <v>74</v>
      </c>
      <c r="I2558" s="2" t="s">
        <v>75</v>
      </c>
      <c r="J2558" s="2" t="s">
        <v>97</v>
      </c>
      <c r="K2558" s="2" t="s">
        <v>77</v>
      </c>
      <c r="L2558" s="2" t="s">
        <v>106</v>
      </c>
      <c r="M2558" s="2" t="s">
        <v>107</v>
      </c>
      <c r="N2558" s="2" t="s">
        <v>108</v>
      </c>
      <c r="O2558" s="2" t="s">
        <v>101</v>
      </c>
      <c r="P2558" s="2" t="str">
        <f>"21708203                      "</f>
        <v xml:space="preserve">21708203  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5.03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</v>
      </c>
      <c r="BJ2558" s="2">
        <v>0.2</v>
      </c>
      <c r="BK2558" s="2">
        <v>1</v>
      </c>
      <c r="BL2558" s="2">
        <v>35.89</v>
      </c>
      <c r="BM2558" s="2">
        <v>5.0199999999999996</v>
      </c>
      <c r="BN2558" s="2">
        <v>40.909999999999997</v>
      </c>
      <c r="BO2558" s="2">
        <v>40.909999999999997</v>
      </c>
      <c r="BQ2558" s="2" t="s">
        <v>82</v>
      </c>
      <c r="BR2558" s="2" t="s">
        <v>103</v>
      </c>
      <c r="BS2558" s="3">
        <v>43088</v>
      </c>
      <c r="BT2558" s="4">
        <v>0.36388888888888887</v>
      </c>
      <c r="BU2558" s="2" t="s">
        <v>563</v>
      </c>
      <c r="BV2558" s="2" t="s">
        <v>85</v>
      </c>
      <c r="BY2558" s="2">
        <v>1200</v>
      </c>
      <c r="CA2558" s="2" t="s">
        <v>110</v>
      </c>
      <c r="CC2558" s="2" t="s">
        <v>107</v>
      </c>
      <c r="CD2558" s="2">
        <v>2094</v>
      </c>
      <c r="CE2558" s="2" t="s">
        <v>120</v>
      </c>
      <c r="CF2558" s="3">
        <v>43089</v>
      </c>
      <c r="CI2558" s="2">
        <v>1</v>
      </c>
      <c r="CJ2558" s="2">
        <v>1</v>
      </c>
      <c r="CK2558" s="2">
        <v>22</v>
      </c>
      <c r="CL2558" s="2" t="s">
        <v>89</v>
      </c>
    </row>
    <row r="2559" spans="1:90">
      <c r="A2559" s="2" t="s">
        <v>71</v>
      </c>
      <c r="B2559" s="2" t="s">
        <v>72</v>
      </c>
      <c r="C2559" s="2" t="s">
        <v>73</v>
      </c>
      <c r="E2559" s="2" t="str">
        <f>"FES1162596549"</f>
        <v>FES1162596549</v>
      </c>
      <c r="F2559" s="3">
        <v>43087</v>
      </c>
      <c r="G2559" s="2">
        <v>201806</v>
      </c>
      <c r="H2559" s="2" t="s">
        <v>74</v>
      </c>
      <c r="I2559" s="2" t="s">
        <v>75</v>
      </c>
      <c r="J2559" s="2" t="s">
        <v>97</v>
      </c>
      <c r="K2559" s="2" t="s">
        <v>77</v>
      </c>
      <c r="L2559" s="2" t="s">
        <v>566</v>
      </c>
      <c r="M2559" s="2" t="s">
        <v>567</v>
      </c>
      <c r="N2559" s="2" t="s">
        <v>2688</v>
      </c>
      <c r="O2559" s="2" t="s">
        <v>101</v>
      </c>
      <c r="P2559" s="2" t="str">
        <f>"2170605961                    "</f>
        <v xml:space="preserve">2170605961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9.0500000000000007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1</v>
      </c>
      <c r="BJ2559" s="2">
        <v>0.2</v>
      </c>
      <c r="BK2559" s="2">
        <v>1</v>
      </c>
      <c r="BL2559" s="2">
        <v>64.599999999999994</v>
      </c>
      <c r="BM2559" s="2">
        <v>9.0399999999999991</v>
      </c>
      <c r="BN2559" s="2">
        <v>73.64</v>
      </c>
      <c r="BO2559" s="2">
        <v>73.64</v>
      </c>
      <c r="BQ2559" s="2" t="s">
        <v>82</v>
      </c>
      <c r="BR2559" s="2" t="s">
        <v>103</v>
      </c>
      <c r="BS2559" s="3">
        <v>43088</v>
      </c>
      <c r="BT2559" s="4">
        <v>0.3576388888888889</v>
      </c>
      <c r="BU2559" s="2" t="s">
        <v>2689</v>
      </c>
      <c r="BV2559" s="2" t="s">
        <v>85</v>
      </c>
      <c r="BY2559" s="2">
        <v>1200</v>
      </c>
      <c r="CA2559" s="2" t="s">
        <v>2169</v>
      </c>
      <c r="CC2559" s="2" t="s">
        <v>567</v>
      </c>
      <c r="CD2559" s="2">
        <v>1739</v>
      </c>
      <c r="CE2559" s="2" t="s">
        <v>120</v>
      </c>
      <c r="CI2559" s="2">
        <v>1</v>
      </c>
      <c r="CJ2559" s="2">
        <v>1</v>
      </c>
      <c r="CK2559" s="2">
        <v>24</v>
      </c>
      <c r="CL2559" s="2" t="s">
        <v>89</v>
      </c>
    </row>
    <row r="2560" spans="1:90">
      <c r="A2560" s="2" t="s">
        <v>71</v>
      </c>
      <c r="B2560" s="2" t="s">
        <v>72</v>
      </c>
      <c r="C2560" s="2" t="s">
        <v>73</v>
      </c>
      <c r="E2560" s="2" t="str">
        <f>"FES1162596561"</f>
        <v>FES1162596561</v>
      </c>
      <c r="F2560" s="3">
        <v>43087</v>
      </c>
      <c r="G2560" s="2">
        <v>201806</v>
      </c>
      <c r="H2560" s="2" t="s">
        <v>74</v>
      </c>
      <c r="I2560" s="2" t="s">
        <v>75</v>
      </c>
      <c r="J2560" s="2" t="s">
        <v>97</v>
      </c>
      <c r="K2560" s="2" t="s">
        <v>77</v>
      </c>
      <c r="L2560" s="2" t="s">
        <v>173</v>
      </c>
      <c r="M2560" s="2" t="s">
        <v>174</v>
      </c>
      <c r="N2560" s="2" t="s">
        <v>487</v>
      </c>
      <c r="O2560" s="2" t="s">
        <v>101</v>
      </c>
      <c r="P2560" s="2" t="str">
        <f>"2170608237                    "</f>
        <v xml:space="preserve">2170608237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6.43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45.93</v>
      </c>
      <c r="BM2560" s="2">
        <v>6.43</v>
      </c>
      <c r="BN2560" s="2">
        <v>52.36</v>
      </c>
      <c r="BO2560" s="2">
        <v>52.36</v>
      </c>
      <c r="BQ2560" s="2" t="s">
        <v>82</v>
      </c>
      <c r="BR2560" s="2" t="s">
        <v>103</v>
      </c>
      <c r="BS2560" s="3">
        <v>43088</v>
      </c>
      <c r="BT2560" s="4">
        <v>0.41666666666666669</v>
      </c>
      <c r="BU2560" s="2" t="s">
        <v>1262</v>
      </c>
      <c r="BV2560" s="2" t="s">
        <v>85</v>
      </c>
      <c r="BY2560" s="2">
        <v>1200</v>
      </c>
      <c r="CA2560" s="2" t="s">
        <v>1037</v>
      </c>
      <c r="CC2560" s="2" t="s">
        <v>174</v>
      </c>
      <c r="CD2560" s="2">
        <v>7580</v>
      </c>
      <c r="CE2560" s="2" t="s">
        <v>120</v>
      </c>
      <c r="CF2560" s="3">
        <v>43089</v>
      </c>
      <c r="CI2560" s="2">
        <v>1</v>
      </c>
      <c r="CJ2560" s="2">
        <v>1</v>
      </c>
      <c r="CK2560" s="2">
        <v>21</v>
      </c>
      <c r="CL2560" s="2" t="s">
        <v>89</v>
      </c>
    </row>
    <row r="2561" spans="1:90">
      <c r="A2561" s="2" t="s">
        <v>71</v>
      </c>
      <c r="B2561" s="2" t="s">
        <v>72</v>
      </c>
      <c r="C2561" s="2" t="s">
        <v>73</v>
      </c>
      <c r="E2561" s="2" t="str">
        <f>"FES1162596599"</f>
        <v>FES1162596599</v>
      </c>
      <c r="F2561" s="3">
        <v>43087</v>
      </c>
      <c r="G2561" s="2">
        <v>201806</v>
      </c>
      <c r="H2561" s="2" t="s">
        <v>74</v>
      </c>
      <c r="I2561" s="2" t="s">
        <v>75</v>
      </c>
      <c r="J2561" s="2" t="s">
        <v>97</v>
      </c>
      <c r="K2561" s="2" t="s">
        <v>77</v>
      </c>
      <c r="L2561" s="2" t="s">
        <v>173</v>
      </c>
      <c r="M2561" s="2" t="s">
        <v>174</v>
      </c>
      <c r="N2561" s="2" t="s">
        <v>802</v>
      </c>
      <c r="O2561" s="2" t="s">
        <v>101</v>
      </c>
      <c r="P2561" s="2" t="str">
        <f>"2170606288                    "</f>
        <v xml:space="preserve">2170606288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6.43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1</v>
      </c>
      <c r="BJ2561" s="2">
        <v>0.2</v>
      </c>
      <c r="BK2561" s="2">
        <v>1</v>
      </c>
      <c r="BL2561" s="2">
        <v>45.93</v>
      </c>
      <c r="BM2561" s="2">
        <v>6.43</v>
      </c>
      <c r="BN2561" s="2">
        <v>52.36</v>
      </c>
      <c r="BO2561" s="2">
        <v>52.36</v>
      </c>
      <c r="BQ2561" s="2" t="s">
        <v>102</v>
      </c>
      <c r="BR2561" s="2" t="s">
        <v>103</v>
      </c>
      <c r="BS2561" s="3">
        <v>43088</v>
      </c>
      <c r="BT2561" s="4">
        <v>0.47361111111111115</v>
      </c>
      <c r="BU2561" s="2" t="s">
        <v>1787</v>
      </c>
      <c r="BV2561" s="2" t="s">
        <v>89</v>
      </c>
      <c r="BW2561" s="2" t="s">
        <v>149</v>
      </c>
      <c r="BX2561" s="2" t="s">
        <v>246</v>
      </c>
      <c r="BY2561" s="2">
        <v>1200</v>
      </c>
      <c r="CA2561" s="2" t="s">
        <v>395</v>
      </c>
      <c r="CC2561" s="2" t="s">
        <v>174</v>
      </c>
      <c r="CD2561" s="2">
        <v>7441</v>
      </c>
      <c r="CE2561" s="2" t="s">
        <v>120</v>
      </c>
      <c r="CF2561" s="3">
        <v>43089</v>
      </c>
      <c r="CI2561" s="2">
        <v>1</v>
      </c>
      <c r="CJ2561" s="2">
        <v>1</v>
      </c>
      <c r="CK2561" s="2">
        <v>21</v>
      </c>
      <c r="CL2561" s="2" t="s">
        <v>89</v>
      </c>
    </row>
    <row r="2562" spans="1:90">
      <c r="A2562" s="2" t="s">
        <v>71</v>
      </c>
      <c r="B2562" s="2" t="s">
        <v>72</v>
      </c>
      <c r="C2562" s="2" t="s">
        <v>73</v>
      </c>
      <c r="E2562" s="2" t="str">
        <f>"FES1162596516"</f>
        <v>FES1162596516</v>
      </c>
      <c r="F2562" s="3">
        <v>43087</v>
      </c>
      <c r="G2562" s="2">
        <v>201806</v>
      </c>
      <c r="H2562" s="2" t="s">
        <v>74</v>
      </c>
      <c r="I2562" s="2" t="s">
        <v>75</v>
      </c>
      <c r="J2562" s="2" t="s">
        <v>97</v>
      </c>
      <c r="K2562" s="2" t="s">
        <v>77</v>
      </c>
      <c r="L2562" s="2" t="s">
        <v>173</v>
      </c>
      <c r="M2562" s="2" t="s">
        <v>174</v>
      </c>
      <c r="N2562" s="2" t="s">
        <v>381</v>
      </c>
      <c r="O2562" s="2" t="s">
        <v>101</v>
      </c>
      <c r="P2562" s="2" t="str">
        <f>"2170608214                    "</f>
        <v xml:space="preserve">2170608214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6.43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1</v>
      </c>
      <c r="BJ2562" s="2">
        <v>0.2</v>
      </c>
      <c r="BK2562" s="2">
        <v>1</v>
      </c>
      <c r="BL2562" s="2">
        <v>45.93</v>
      </c>
      <c r="BM2562" s="2">
        <v>6.43</v>
      </c>
      <c r="BN2562" s="2">
        <v>52.36</v>
      </c>
      <c r="BO2562" s="2">
        <v>52.36</v>
      </c>
      <c r="BQ2562" s="2" t="s">
        <v>382</v>
      </c>
      <c r="BR2562" s="2" t="s">
        <v>103</v>
      </c>
      <c r="BS2562" s="3">
        <v>43088</v>
      </c>
      <c r="BT2562" s="4">
        <v>0.52500000000000002</v>
      </c>
      <c r="BU2562" s="2" t="s">
        <v>2690</v>
      </c>
      <c r="BV2562" s="2" t="s">
        <v>89</v>
      </c>
      <c r="BW2562" s="2" t="s">
        <v>313</v>
      </c>
      <c r="BX2562" s="2" t="s">
        <v>368</v>
      </c>
      <c r="BY2562" s="2">
        <v>1200</v>
      </c>
      <c r="CA2562" s="2" t="s">
        <v>177</v>
      </c>
      <c r="CC2562" s="2" t="s">
        <v>174</v>
      </c>
      <c r="CD2562" s="2">
        <v>7405</v>
      </c>
      <c r="CE2562" s="2" t="s">
        <v>120</v>
      </c>
      <c r="CF2562" s="3">
        <v>43089</v>
      </c>
      <c r="CI2562" s="2">
        <v>1</v>
      </c>
      <c r="CJ2562" s="2">
        <v>1</v>
      </c>
      <c r="CK2562" s="2">
        <v>21</v>
      </c>
      <c r="CL2562" s="2" t="s">
        <v>89</v>
      </c>
    </row>
    <row r="2563" spans="1:90">
      <c r="A2563" s="2" t="s">
        <v>71</v>
      </c>
      <c r="B2563" s="2" t="s">
        <v>72</v>
      </c>
      <c r="C2563" s="2" t="s">
        <v>73</v>
      </c>
      <c r="E2563" s="2" t="str">
        <f>"FES1162596564"</f>
        <v>FES1162596564</v>
      </c>
      <c r="F2563" s="3">
        <v>43087</v>
      </c>
      <c r="G2563" s="2">
        <v>201806</v>
      </c>
      <c r="H2563" s="2" t="s">
        <v>74</v>
      </c>
      <c r="I2563" s="2" t="s">
        <v>75</v>
      </c>
      <c r="J2563" s="2" t="s">
        <v>97</v>
      </c>
      <c r="K2563" s="2" t="s">
        <v>77</v>
      </c>
      <c r="L2563" s="2" t="s">
        <v>173</v>
      </c>
      <c r="M2563" s="2" t="s">
        <v>174</v>
      </c>
      <c r="N2563" s="2" t="s">
        <v>248</v>
      </c>
      <c r="O2563" s="2" t="s">
        <v>101</v>
      </c>
      <c r="P2563" s="2" t="str">
        <f>"2170608243                    "</f>
        <v xml:space="preserve">2170608243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6.43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45.93</v>
      </c>
      <c r="BM2563" s="2">
        <v>6.43</v>
      </c>
      <c r="BN2563" s="2">
        <v>52.36</v>
      </c>
      <c r="BO2563" s="2">
        <v>52.36</v>
      </c>
      <c r="BQ2563" s="2" t="s">
        <v>249</v>
      </c>
      <c r="BR2563" s="2" t="s">
        <v>103</v>
      </c>
      <c r="BS2563" s="3">
        <v>43088</v>
      </c>
      <c r="BT2563" s="4">
        <v>0.35625000000000001</v>
      </c>
      <c r="BU2563" s="2" t="s">
        <v>250</v>
      </c>
      <c r="BV2563" s="2" t="s">
        <v>85</v>
      </c>
      <c r="BY2563" s="2">
        <v>1200</v>
      </c>
      <c r="CA2563" s="2" t="s">
        <v>234</v>
      </c>
      <c r="CC2563" s="2" t="s">
        <v>174</v>
      </c>
      <c r="CD2563" s="2">
        <v>7530</v>
      </c>
      <c r="CE2563" s="2" t="s">
        <v>120</v>
      </c>
      <c r="CF2563" s="3">
        <v>43089</v>
      </c>
      <c r="CI2563" s="2">
        <v>1</v>
      </c>
      <c r="CJ2563" s="2">
        <v>1</v>
      </c>
      <c r="CK2563" s="2">
        <v>21</v>
      </c>
      <c r="CL2563" s="2" t="s">
        <v>89</v>
      </c>
    </row>
    <row r="2564" spans="1:90">
      <c r="A2564" s="2" t="s">
        <v>71</v>
      </c>
      <c r="B2564" s="2" t="s">
        <v>72</v>
      </c>
      <c r="C2564" s="2" t="s">
        <v>73</v>
      </c>
      <c r="E2564" s="2" t="str">
        <f>"FES1162596601"</f>
        <v>FES1162596601</v>
      </c>
      <c r="F2564" s="3">
        <v>43087</v>
      </c>
      <c r="G2564" s="2">
        <v>201806</v>
      </c>
      <c r="H2564" s="2" t="s">
        <v>74</v>
      </c>
      <c r="I2564" s="2" t="s">
        <v>75</v>
      </c>
      <c r="J2564" s="2" t="s">
        <v>97</v>
      </c>
      <c r="K2564" s="2" t="s">
        <v>77</v>
      </c>
      <c r="L2564" s="2" t="s">
        <v>136</v>
      </c>
      <c r="M2564" s="2" t="s">
        <v>137</v>
      </c>
      <c r="N2564" s="2" t="s">
        <v>138</v>
      </c>
      <c r="O2564" s="2" t="s">
        <v>101</v>
      </c>
      <c r="P2564" s="2" t="str">
        <f>"2170606450                    "</f>
        <v xml:space="preserve">2170606450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6.43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1</v>
      </c>
      <c r="BJ2564" s="2">
        <v>0.2</v>
      </c>
      <c r="BK2564" s="2">
        <v>1</v>
      </c>
      <c r="BL2564" s="2">
        <v>45.93</v>
      </c>
      <c r="BM2564" s="2">
        <v>6.43</v>
      </c>
      <c r="BN2564" s="2">
        <v>52.36</v>
      </c>
      <c r="BO2564" s="2">
        <v>52.36</v>
      </c>
      <c r="BQ2564" s="2" t="s">
        <v>82</v>
      </c>
      <c r="BR2564" s="2" t="s">
        <v>103</v>
      </c>
      <c r="BS2564" s="3">
        <v>43088</v>
      </c>
      <c r="BT2564" s="4">
        <v>0.35416666666666669</v>
      </c>
      <c r="BU2564" s="2" t="s">
        <v>139</v>
      </c>
      <c r="BV2564" s="2" t="s">
        <v>85</v>
      </c>
      <c r="BY2564" s="2">
        <v>1200</v>
      </c>
      <c r="CA2564" s="2" t="s">
        <v>140</v>
      </c>
      <c r="CC2564" s="2" t="s">
        <v>137</v>
      </c>
      <c r="CD2564" s="2">
        <v>6001</v>
      </c>
      <c r="CE2564" s="2" t="s">
        <v>120</v>
      </c>
      <c r="CF2564" s="3">
        <v>43090</v>
      </c>
      <c r="CI2564" s="2">
        <v>1</v>
      </c>
      <c r="CJ2564" s="2">
        <v>1</v>
      </c>
      <c r="CK2564" s="2">
        <v>21</v>
      </c>
      <c r="CL2564" s="2" t="s">
        <v>89</v>
      </c>
    </row>
    <row r="2565" spans="1:90">
      <c r="A2565" s="2" t="s">
        <v>71</v>
      </c>
      <c r="B2565" s="2" t="s">
        <v>72</v>
      </c>
      <c r="C2565" s="2" t="s">
        <v>73</v>
      </c>
      <c r="E2565" s="2" t="str">
        <f>"FES1162596547"</f>
        <v>FES1162596547</v>
      </c>
      <c r="F2565" s="3">
        <v>43087</v>
      </c>
      <c r="G2565" s="2">
        <v>201806</v>
      </c>
      <c r="H2565" s="2" t="s">
        <v>74</v>
      </c>
      <c r="I2565" s="2" t="s">
        <v>75</v>
      </c>
      <c r="J2565" s="2" t="s">
        <v>97</v>
      </c>
      <c r="K2565" s="2" t="s">
        <v>77</v>
      </c>
      <c r="L2565" s="2" t="s">
        <v>145</v>
      </c>
      <c r="M2565" s="2" t="s">
        <v>146</v>
      </c>
      <c r="N2565" s="2" t="s">
        <v>2449</v>
      </c>
      <c r="O2565" s="2" t="s">
        <v>101</v>
      </c>
      <c r="P2565" s="2" t="str">
        <f>"2170605843                    "</f>
        <v xml:space="preserve">2170605843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59.49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10.4</v>
      </c>
      <c r="BJ2565" s="2">
        <v>18.399999999999999</v>
      </c>
      <c r="BK2565" s="2">
        <v>18.5</v>
      </c>
      <c r="BL2565" s="2">
        <v>424.7</v>
      </c>
      <c r="BM2565" s="2">
        <v>59.46</v>
      </c>
      <c r="BN2565" s="2">
        <v>484.16</v>
      </c>
      <c r="BO2565" s="2">
        <v>484.16</v>
      </c>
      <c r="BQ2565" s="2" t="s">
        <v>102</v>
      </c>
      <c r="BR2565" s="2" t="s">
        <v>103</v>
      </c>
      <c r="BS2565" s="3">
        <v>43088</v>
      </c>
      <c r="BT2565" s="4">
        <v>0.41805555555555557</v>
      </c>
      <c r="BU2565" s="2" t="s">
        <v>2691</v>
      </c>
      <c r="BV2565" s="2" t="s">
        <v>85</v>
      </c>
      <c r="BY2565" s="2">
        <v>91862.57</v>
      </c>
      <c r="CA2565" s="2" t="s">
        <v>629</v>
      </c>
      <c r="CC2565" s="2" t="s">
        <v>146</v>
      </c>
      <c r="CD2565" s="2">
        <v>5201</v>
      </c>
      <c r="CE2565" s="2" t="s">
        <v>95</v>
      </c>
      <c r="CF2565" s="3">
        <v>43089</v>
      </c>
      <c r="CI2565" s="2">
        <v>1</v>
      </c>
      <c r="CJ2565" s="2">
        <v>1</v>
      </c>
      <c r="CK2565" s="2">
        <v>21</v>
      </c>
      <c r="CL2565" s="2" t="s">
        <v>89</v>
      </c>
    </row>
    <row r="2566" spans="1:90">
      <c r="A2566" s="2" t="s">
        <v>71</v>
      </c>
      <c r="B2566" s="2" t="s">
        <v>72</v>
      </c>
      <c r="C2566" s="2" t="s">
        <v>73</v>
      </c>
      <c r="E2566" s="2" t="str">
        <f>"FES1162596499"</f>
        <v>FES1162596499</v>
      </c>
      <c r="F2566" s="3">
        <v>43087</v>
      </c>
      <c r="G2566" s="2">
        <v>201806</v>
      </c>
      <c r="H2566" s="2" t="s">
        <v>74</v>
      </c>
      <c r="I2566" s="2" t="s">
        <v>75</v>
      </c>
      <c r="J2566" s="2" t="s">
        <v>97</v>
      </c>
      <c r="K2566" s="2" t="s">
        <v>77</v>
      </c>
      <c r="L2566" s="2" t="s">
        <v>1252</v>
      </c>
      <c r="M2566" s="2" t="s">
        <v>1253</v>
      </c>
      <c r="N2566" s="2" t="s">
        <v>2692</v>
      </c>
      <c r="O2566" s="2" t="s">
        <v>101</v>
      </c>
      <c r="P2566" s="2" t="str">
        <f>"21706065900                   "</f>
        <v xml:space="preserve">21706065900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6.43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</v>
      </c>
      <c r="BJ2566" s="2">
        <v>0.2</v>
      </c>
      <c r="BK2566" s="2">
        <v>1</v>
      </c>
      <c r="BL2566" s="2">
        <v>45.93</v>
      </c>
      <c r="BM2566" s="2">
        <v>6.43</v>
      </c>
      <c r="BN2566" s="2">
        <v>52.36</v>
      </c>
      <c r="BO2566" s="2">
        <v>52.36</v>
      </c>
      <c r="BQ2566" s="2" t="s">
        <v>128</v>
      </c>
      <c r="BR2566" s="2" t="s">
        <v>103</v>
      </c>
      <c r="BS2566" s="3">
        <v>43088</v>
      </c>
      <c r="BT2566" s="4">
        <v>0.375</v>
      </c>
      <c r="BU2566" s="2" t="s">
        <v>2693</v>
      </c>
      <c r="BV2566" s="2" t="s">
        <v>85</v>
      </c>
      <c r="BY2566" s="2">
        <v>1200</v>
      </c>
      <c r="CA2566" s="2" t="s">
        <v>1050</v>
      </c>
      <c r="CC2566" s="2" t="s">
        <v>1253</v>
      </c>
      <c r="CD2566" s="2">
        <v>4125</v>
      </c>
      <c r="CE2566" s="2" t="s">
        <v>120</v>
      </c>
      <c r="CF2566" s="3">
        <v>43091</v>
      </c>
      <c r="CI2566" s="2">
        <v>1</v>
      </c>
      <c r="CJ2566" s="2">
        <v>1</v>
      </c>
      <c r="CK2566" s="2">
        <v>21</v>
      </c>
      <c r="CL2566" s="2" t="s">
        <v>89</v>
      </c>
    </row>
    <row r="2567" spans="1:90">
      <c r="A2567" s="2" t="s">
        <v>71</v>
      </c>
      <c r="B2567" s="2" t="s">
        <v>72</v>
      </c>
      <c r="C2567" s="2" t="s">
        <v>73</v>
      </c>
      <c r="E2567" s="2" t="str">
        <f>"FES1162596616"</f>
        <v>FES1162596616</v>
      </c>
      <c r="F2567" s="3">
        <v>43087</v>
      </c>
      <c r="G2567" s="2">
        <v>201806</v>
      </c>
      <c r="H2567" s="2" t="s">
        <v>74</v>
      </c>
      <c r="I2567" s="2" t="s">
        <v>75</v>
      </c>
      <c r="J2567" s="2" t="s">
        <v>97</v>
      </c>
      <c r="K2567" s="2" t="s">
        <v>77</v>
      </c>
      <c r="L2567" s="2" t="s">
        <v>136</v>
      </c>
      <c r="M2567" s="2" t="s">
        <v>137</v>
      </c>
      <c r="N2567" s="2" t="s">
        <v>1821</v>
      </c>
      <c r="O2567" s="2" t="s">
        <v>101</v>
      </c>
      <c r="P2567" s="2" t="str">
        <f>"2170608022                    "</f>
        <v xml:space="preserve">2170608022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6.43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45.93</v>
      </c>
      <c r="BM2567" s="2">
        <v>6.43</v>
      </c>
      <c r="BN2567" s="2">
        <v>52.36</v>
      </c>
      <c r="BO2567" s="2">
        <v>52.36</v>
      </c>
      <c r="BQ2567" s="2" t="s">
        <v>102</v>
      </c>
      <c r="BR2567" s="2" t="s">
        <v>103</v>
      </c>
      <c r="BS2567" s="3">
        <v>43088</v>
      </c>
      <c r="BT2567" s="4">
        <v>0.34722222222222227</v>
      </c>
      <c r="BU2567" s="2" t="s">
        <v>2694</v>
      </c>
      <c r="BV2567" s="2" t="s">
        <v>85</v>
      </c>
      <c r="BY2567" s="2">
        <v>1200</v>
      </c>
      <c r="CA2567" s="2" t="s">
        <v>180</v>
      </c>
      <c r="CC2567" s="2" t="s">
        <v>137</v>
      </c>
      <c r="CD2567" s="2">
        <v>6000</v>
      </c>
      <c r="CE2567" s="2" t="s">
        <v>120</v>
      </c>
      <c r="CF2567" s="3">
        <v>43088</v>
      </c>
      <c r="CI2567" s="2">
        <v>1</v>
      </c>
      <c r="CJ2567" s="2">
        <v>1</v>
      </c>
      <c r="CK2567" s="2">
        <v>21</v>
      </c>
      <c r="CL2567" s="2" t="s">
        <v>89</v>
      </c>
    </row>
    <row r="2568" spans="1:90">
      <c r="A2568" s="2" t="s">
        <v>71</v>
      </c>
      <c r="B2568" s="2" t="s">
        <v>72</v>
      </c>
      <c r="C2568" s="2" t="s">
        <v>73</v>
      </c>
      <c r="E2568" s="2" t="str">
        <f>"FES1162596513"</f>
        <v>FES1162596513</v>
      </c>
      <c r="F2568" s="3">
        <v>43087</v>
      </c>
      <c r="G2568" s="2">
        <v>201806</v>
      </c>
      <c r="H2568" s="2" t="s">
        <v>74</v>
      </c>
      <c r="I2568" s="2" t="s">
        <v>75</v>
      </c>
      <c r="J2568" s="2" t="s">
        <v>97</v>
      </c>
      <c r="K2568" s="2" t="s">
        <v>77</v>
      </c>
      <c r="L2568" s="2" t="s">
        <v>759</v>
      </c>
      <c r="M2568" s="2" t="s">
        <v>760</v>
      </c>
      <c r="N2568" s="2" t="s">
        <v>761</v>
      </c>
      <c r="O2568" s="2" t="s">
        <v>101</v>
      </c>
      <c r="P2568" s="2" t="str">
        <f>"2170608207                    "</f>
        <v xml:space="preserve">2170608207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6.43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</v>
      </c>
      <c r="BJ2568" s="2">
        <v>0.2</v>
      </c>
      <c r="BK2568" s="2">
        <v>1</v>
      </c>
      <c r="BL2568" s="2">
        <v>45.93</v>
      </c>
      <c r="BM2568" s="2">
        <v>6.43</v>
      </c>
      <c r="BN2568" s="2">
        <v>52.36</v>
      </c>
      <c r="BO2568" s="2">
        <v>52.36</v>
      </c>
      <c r="BQ2568" s="2" t="s">
        <v>82</v>
      </c>
      <c r="BR2568" s="2" t="s">
        <v>103</v>
      </c>
      <c r="BS2568" s="3">
        <v>43088</v>
      </c>
      <c r="BT2568" s="4">
        <v>0.35902777777777778</v>
      </c>
      <c r="BU2568" s="2" t="s">
        <v>1284</v>
      </c>
      <c r="BV2568" s="2" t="s">
        <v>85</v>
      </c>
      <c r="BY2568" s="2">
        <v>1200</v>
      </c>
      <c r="CA2568" s="2" t="s">
        <v>578</v>
      </c>
      <c r="CC2568" s="2" t="s">
        <v>760</v>
      </c>
      <c r="CD2568" s="2">
        <v>4026</v>
      </c>
      <c r="CE2568" s="2" t="s">
        <v>120</v>
      </c>
      <c r="CF2568" s="3">
        <v>43089</v>
      </c>
      <c r="CI2568" s="2">
        <v>1</v>
      </c>
      <c r="CJ2568" s="2">
        <v>1</v>
      </c>
      <c r="CK2568" s="2">
        <v>21</v>
      </c>
      <c r="CL2568" s="2" t="s">
        <v>89</v>
      </c>
    </row>
    <row r="2569" spans="1:90">
      <c r="A2569" s="2" t="s">
        <v>71</v>
      </c>
      <c r="B2569" s="2" t="s">
        <v>72</v>
      </c>
      <c r="C2569" s="2" t="s">
        <v>73</v>
      </c>
      <c r="E2569" s="2" t="str">
        <f>"FES1162596622"</f>
        <v>FES1162596622</v>
      </c>
      <c r="F2569" s="3">
        <v>43087</v>
      </c>
      <c r="G2569" s="2">
        <v>201806</v>
      </c>
      <c r="H2569" s="2" t="s">
        <v>74</v>
      </c>
      <c r="I2569" s="2" t="s">
        <v>75</v>
      </c>
      <c r="J2569" s="2" t="s">
        <v>97</v>
      </c>
      <c r="K2569" s="2" t="s">
        <v>77</v>
      </c>
      <c r="L2569" s="2" t="s">
        <v>277</v>
      </c>
      <c r="M2569" s="2" t="s">
        <v>278</v>
      </c>
      <c r="N2569" s="2" t="s">
        <v>405</v>
      </c>
      <c r="O2569" s="2" t="s">
        <v>101</v>
      </c>
      <c r="P2569" s="2" t="str">
        <f>"2170602682                    "</f>
        <v xml:space="preserve">2170602682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5.03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1</v>
      </c>
      <c r="BJ2569" s="2">
        <v>0.2</v>
      </c>
      <c r="BK2569" s="2">
        <v>1</v>
      </c>
      <c r="BL2569" s="2">
        <v>35.89</v>
      </c>
      <c r="BM2569" s="2">
        <v>5.0199999999999996</v>
      </c>
      <c r="BN2569" s="2">
        <v>40.909999999999997</v>
      </c>
      <c r="BO2569" s="2">
        <v>40.909999999999997</v>
      </c>
      <c r="BQ2569" s="2" t="s">
        <v>406</v>
      </c>
      <c r="BR2569" s="2" t="s">
        <v>103</v>
      </c>
      <c r="BS2569" s="3">
        <v>43088</v>
      </c>
      <c r="BT2569" s="4">
        <v>0.41666666666666669</v>
      </c>
      <c r="BU2569" s="2" t="s">
        <v>407</v>
      </c>
      <c r="BV2569" s="2" t="s">
        <v>85</v>
      </c>
      <c r="BY2569" s="2">
        <v>1200</v>
      </c>
      <c r="CA2569" s="2" t="s">
        <v>2695</v>
      </c>
      <c r="CC2569" s="2" t="s">
        <v>278</v>
      </c>
      <c r="CD2569" s="2">
        <v>2170</v>
      </c>
      <c r="CE2569" s="2" t="s">
        <v>120</v>
      </c>
      <c r="CF2569" s="3">
        <v>43089</v>
      </c>
      <c r="CI2569" s="2">
        <v>1</v>
      </c>
      <c r="CJ2569" s="2">
        <v>1</v>
      </c>
      <c r="CK2569" s="2">
        <v>22</v>
      </c>
      <c r="CL2569" s="2" t="s">
        <v>89</v>
      </c>
    </row>
    <row r="2570" spans="1:90">
      <c r="A2570" s="2" t="s">
        <v>71</v>
      </c>
      <c r="B2570" s="2" t="s">
        <v>72</v>
      </c>
      <c r="C2570" s="2" t="s">
        <v>73</v>
      </c>
      <c r="E2570" s="2" t="str">
        <f>"FES1162596650"</f>
        <v>FES1162596650</v>
      </c>
      <c r="F2570" s="3">
        <v>43087</v>
      </c>
      <c r="G2570" s="2">
        <v>201806</v>
      </c>
      <c r="H2570" s="2" t="s">
        <v>74</v>
      </c>
      <c r="I2570" s="2" t="s">
        <v>75</v>
      </c>
      <c r="J2570" s="2" t="s">
        <v>97</v>
      </c>
      <c r="K2570" s="2" t="s">
        <v>77</v>
      </c>
      <c r="L2570" s="2" t="s">
        <v>212</v>
      </c>
      <c r="M2570" s="2" t="s">
        <v>212</v>
      </c>
      <c r="N2570" s="2" t="s">
        <v>1016</v>
      </c>
      <c r="O2570" s="2" t="s">
        <v>101</v>
      </c>
      <c r="P2570" s="2" t="str">
        <f>"2170608316                    "</f>
        <v xml:space="preserve">2170608316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6.43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1</v>
      </c>
      <c r="BJ2570" s="2">
        <v>0.2</v>
      </c>
      <c r="BK2570" s="2">
        <v>1</v>
      </c>
      <c r="BL2570" s="2">
        <v>45.93</v>
      </c>
      <c r="BM2570" s="2">
        <v>6.43</v>
      </c>
      <c r="BN2570" s="2">
        <v>52.36</v>
      </c>
      <c r="BO2570" s="2">
        <v>52.36</v>
      </c>
      <c r="BQ2570" s="2" t="s">
        <v>128</v>
      </c>
      <c r="BR2570" s="2" t="s">
        <v>103</v>
      </c>
      <c r="BS2570" s="2" t="s">
        <v>185</v>
      </c>
      <c r="BY2570" s="2">
        <v>1200</v>
      </c>
      <c r="CC2570" s="2" t="s">
        <v>212</v>
      </c>
      <c r="CD2570" s="2">
        <v>7620</v>
      </c>
      <c r="CE2570" s="2" t="s">
        <v>120</v>
      </c>
      <c r="CI2570" s="2">
        <v>1</v>
      </c>
      <c r="CJ2570" s="2" t="s">
        <v>185</v>
      </c>
      <c r="CK2570" s="2">
        <v>21</v>
      </c>
      <c r="CL2570" s="2" t="s">
        <v>89</v>
      </c>
    </row>
    <row r="2571" spans="1:90">
      <c r="A2571" s="2" t="s">
        <v>71</v>
      </c>
      <c r="B2571" s="2" t="s">
        <v>72</v>
      </c>
      <c r="C2571" s="2" t="s">
        <v>73</v>
      </c>
      <c r="E2571" s="2" t="str">
        <f>"FES1162596660"</f>
        <v>FES1162596660</v>
      </c>
      <c r="F2571" s="3">
        <v>43087</v>
      </c>
      <c r="G2571" s="2">
        <v>201806</v>
      </c>
      <c r="H2571" s="2" t="s">
        <v>74</v>
      </c>
      <c r="I2571" s="2" t="s">
        <v>75</v>
      </c>
      <c r="J2571" s="2" t="s">
        <v>97</v>
      </c>
      <c r="K2571" s="2" t="s">
        <v>77</v>
      </c>
      <c r="L2571" s="2" t="s">
        <v>860</v>
      </c>
      <c r="M2571" s="2" t="s">
        <v>861</v>
      </c>
      <c r="N2571" s="2" t="s">
        <v>1741</v>
      </c>
      <c r="O2571" s="2" t="s">
        <v>101</v>
      </c>
      <c r="P2571" s="2" t="str">
        <f>"2170608331                    "</f>
        <v xml:space="preserve">2170608331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6.43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</v>
      </c>
      <c r="BJ2571" s="2">
        <v>0.2</v>
      </c>
      <c r="BK2571" s="2">
        <v>1</v>
      </c>
      <c r="BL2571" s="2">
        <v>45.93</v>
      </c>
      <c r="BM2571" s="2">
        <v>6.43</v>
      </c>
      <c r="BN2571" s="2">
        <v>52.36</v>
      </c>
      <c r="BO2571" s="2">
        <v>52.36</v>
      </c>
      <c r="BQ2571" s="2" t="s">
        <v>142</v>
      </c>
      <c r="BR2571" s="2" t="s">
        <v>103</v>
      </c>
      <c r="BS2571" s="3">
        <v>43088</v>
      </c>
      <c r="BT2571" s="4">
        <v>0.65902777777777777</v>
      </c>
      <c r="BU2571" s="2" t="s">
        <v>2696</v>
      </c>
      <c r="BV2571" s="2" t="s">
        <v>89</v>
      </c>
      <c r="BW2571" s="2" t="s">
        <v>471</v>
      </c>
      <c r="BX2571" s="2" t="s">
        <v>246</v>
      </c>
      <c r="BY2571" s="2">
        <v>1200</v>
      </c>
      <c r="CA2571" s="2" t="s">
        <v>542</v>
      </c>
      <c r="CC2571" s="2" t="s">
        <v>861</v>
      </c>
      <c r="CD2571" s="2">
        <v>7139</v>
      </c>
      <c r="CE2571" s="2" t="s">
        <v>120</v>
      </c>
      <c r="CF2571" s="3">
        <v>43089</v>
      </c>
      <c r="CI2571" s="2">
        <v>1</v>
      </c>
      <c r="CJ2571" s="2">
        <v>1</v>
      </c>
      <c r="CK2571" s="2">
        <v>21</v>
      </c>
      <c r="CL2571" s="2" t="s">
        <v>89</v>
      </c>
    </row>
    <row r="2572" spans="1:90">
      <c r="A2572" s="2" t="s">
        <v>71</v>
      </c>
      <c r="B2572" s="2" t="s">
        <v>72</v>
      </c>
      <c r="C2572" s="2" t="s">
        <v>73</v>
      </c>
      <c r="E2572" s="2" t="str">
        <f>"FES1162596586"</f>
        <v>FES1162596586</v>
      </c>
      <c r="F2572" s="3">
        <v>43087</v>
      </c>
      <c r="G2572" s="2">
        <v>201806</v>
      </c>
      <c r="H2572" s="2" t="s">
        <v>74</v>
      </c>
      <c r="I2572" s="2" t="s">
        <v>75</v>
      </c>
      <c r="J2572" s="2" t="s">
        <v>97</v>
      </c>
      <c r="K2572" s="2" t="s">
        <v>77</v>
      </c>
      <c r="L2572" s="2" t="s">
        <v>212</v>
      </c>
      <c r="M2572" s="2" t="s">
        <v>212</v>
      </c>
      <c r="N2572" s="2" t="s">
        <v>370</v>
      </c>
      <c r="O2572" s="2" t="s">
        <v>101</v>
      </c>
      <c r="P2572" s="2" t="str">
        <f>"2170605454                    "</f>
        <v xml:space="preserve">2170605454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6.43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</v>
      </c>
      <c r="BJ2572" s="2">
        <v>0.2</v>
      </c>
      <c r="BK2572" s="2">
        <v>1</v>
      </c>
      <c r="BL2572" s="2">
        <v>45.93</v>
      </c>
      <c r="BM2572" s="2">
        <v>6.43</v>
      </c>
      <c r="BN2572" s="2">
        <v>52.36</v>
      </c>
      <c r="BO2572" s="2">
        <v>52.36</v>
      </c>
      <c r="BQ2572" s="2" t="s">
        <v>102</v>
      </c>
      <c r="BR2572" s="2" t="s">
        <v>103</v>
      </c>
      <c r="BS2572" s="3">
        <v>43088</v>
      </c>
      <c r="BT2572" s="4">
        <v>0.54861111111111105</v>
      </c>
      <c r="BU2572" s="2" t="s">
        <v>2697</v>
      </c>
      <c r="BV2572" s="2" t="s">
        <v>85</v>
      </c>
      <c r="BY2572" s="2">
        <v>1200</v>
      </c>
      <c r="CC2572" s="2" t="s">
        <v>212</v>
      </c>
      <c r="CD2572" s="2">
        <v>7646</v>
      </c>
      <c r="CE2572" s="2" t="s">
        <v>120</v>
      </c>
      <c r="CF2572" s="3">
        <v>43089</v>
      </c>
      <c r="CI2572" s="2">
        <v>1</v>
      </c>
      <c r="CJ2572" s="2">
        <v>1</v>
      </c>
      <c r="CK2572" s="2">
        <v>21</v>
      </c>
      <c r="CL2572" s="2" t="s">
        <v>89</v>
      </c>
    </row>
    <row r="2573" spans="1:90">
      <c r="A2573" s="2" t="s">
        <v>71</v>
      </c>
      <c r="B2573" s="2" t="s">
        <v>72</v>
      </c>
      <c r="C2573" s="2" t="s">
        <v>73</v>
      </c>
      <c r="E2573" s="2" t="str">
        <f>"FES1162596621"</f>
        <v>FES1162596621</v>
      </c>
      <c r="F2573" s="3">
        <v>43087</v>
      </c>
      <c r="G2573" s="2">
        <v>201806</v>
      </c>
      <c r="H2573" s="2" t="s">
        <v>74</v>
      </c>
      <c r="I2573" s="2" t="s">
        <v>75</v>
      </c>
      <c r="J2573" s="2" t="s">
        <v>97</v>
      </c>
      <c r="K2573" s="2" t="s">
        <v>77</v>
      </c>
      <c r="L2573" s="2" t="s">
        <v>173</v>
      </c>
      <c r="M2573" s="2" t="s">
        <v>174</v>
      </c>
      <c r="N2573" s="2" t="s">
        <v>232</v>
      </c>
      <c r="O2573" s="2" t="s">
        <v>101</v>
      </c>
      <c r="P2573" s="2" t="str">
        <f>"2170608280                    "</f>
        <v xml:space="preserve">2170608280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11.26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3.3</v>
      </c>
      <c r="BJ2573" s="2">
        <v>0.9</v>
      </c>
      <c r="BK2573" s="2">
        <v>3.5</v>
      </c>
      <c r="BL2573" s="2">
        <v>80.37</v>
      </c>
      <c r="BM2573" s="2">
        <v>11.25</v>
      </c>
      <c r="BN2573" s="2">
        <v>91.62</v>
      </c>
      <c r="BO2573" s="2">
        <v>91.62</v>
      </c>
      <c r="BQ2573" s="2" t="s">
        <v>102</v>
      </c>
      <c r="BR2573" s="2" t="s">
        <v>103</v>
      </c>
      <c r="BS2573" s="3">
        <v>43088</v>
      </c>
      <c r="BT2573" s="4">
        <v>0.35069444444444442</v>
      </c>
      <c r="BU2573" s="2" t="s">
        <v>1748</v>
      </c>
      <c r="BV2573" s="2" t="s">
        <v>85</v>
      </c>
      <c r="BY2573" s="2">
        <v>4505.09</v>
      </c>
      <c r="CA2573" s="2" t="s">
        <v>234</v>
      </c>
      <c r="CC2573" s="2" t="s">
        <v>174</v>
      </c>
      <c r="CD2573" s="2">
        <v>7530</v>
      </c>
      <c r="CE2573" s="2" t="s">
        <v>87</v>
      </c>
      <c r="CF2573" s="3">
        <v>43089</v>
      </c>
      <c r="CI2573" s="2">
        <v>1</v>
      </c>
      <c r="CJ2573" s="2">
        <v>1</v>
      </c>
      <c r="CK2573" s="2">
        <v>21</v>
      </c>
      <c r="CL2573" s="2" t="s">
        <v>89</v>
      </c>
    </row>
    <row r="2574" spans="1:90">
      <c r="A2574" s="2" t="s">
        <v>71</v>
      </c>
      <c r="B2574" s="2" t="s">
        <v>72</v>
      </c>
      <c r="C2574" s="2" t="s">
        <v>73</v>
      </c>
      <c r="E2574" s="2" t="str">
        <f>"FES1162596507"</f>
        <v>FES1162596507</v>
      </c>
      <c r="F2574" s="3">
        <v>43087</v>
      </c>
      <c r="G2574" s="2">
        <v>201806</v>
      </c>
      <c r="H2574" s="2" t="s">
        <v>74</v>
      </c>
      <c r="I2574" s="2" t="s">
        <v>75</v>
      </c>
      <c r="J2574" s="2" t="s">
        <v>97</v>
      </c>
      <c r="K2574" s="2" t="s">
        <v>77</v>
      </c>
      <c r="L2574" s="2" t="s">
        <v>173</v>
      </c>
      <c r="M2574" s="2" t="s">
        <v>174</v>
      </c>
      <c r="N2574" s="2" t="s">
        <v>1753</v>
      </c>
      <c r="O2574" s="2" t="s">
        <v>101</v>
      </c>
      <c r="P2574" s="2" t="str">
        <f>"2170607562                    "</f>
        <v xml:space="preserve">2170607562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16.079999999999998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2</v>
      </c>
      <c r="BI2574" s="2">
        <v>5</v>
      </c>
      <c r="BJ2574" s="2">
        <v>3</v>
      </c>
      <c r="BK2574" s="2">
        <v>5</v>
      </c>
      <c r="BL2574" s="2">
        <v>114.8</v>
      </c>
      <c r="BM2574" s="2">
        <v>16.07</v>
      </c>
      <c r="BN2574" s="2">
        <v>130.87</v>
      </c>
      <c r="BO2574" s="2">
        <v>130.87</v>
      </c>
      <c r="BQ2574" s="2" t="s">
        <v>82</v>
      </c>
      <c r="BR2574" s="2" t="s">
        <v>103</v>
      </c>
      <c r="BS2574" s="3">
        <v>43088</v>
      </c>
      <c r="BT2574" s="4">
        <v>0.37638888888888888</v>
      </c>
      <c r="BU2574" s="2" t="s">
        <v>1754</v>
      </c>
      <c r="BV2574" s="2" t="s">
        <v>85</v>
      </c>
      <c r="BY2574" s="2">
        <v>15024</v>
      </c>
      <c r="CA2574" s="2" t="s">
        <v>247</v>
      </c>
      <c r="CC2574" s="2" t="s">
        <v>174</v>
      </c>
      <c r="CD2574" s="2">
        <v>7530</v>
      </c>
      <c r="CE2574" s="2" t="s">
        <v>120</v>
      </c>
      <c r="CF2574" s="3">
        <v>43089</v>
      </c>
      <c r="CI2574" s="2">
        <v>1</v>
      </c>
      <c r="CJ2574" s="2">
        <v>1</v>
      </c>
      <c r="CK2574" s="2">
        <v>21</v>
      </c>
      <c r="CL2574" s="2" t="s">
        <v>89</v>
      </c>
    </row>
    <row r="2575" spans="1:90">
      <c r="A2575" s="2" t="s">
        <v>71</v>
      </c>
      <c r="B2575" s="2" t="s">
        <v>72</v>
      </c>
      <c r="C2575" s="2" t="s">
        <v>73</v>
      </c>
      <c r="E2575" s="2" t="str">
        <f>"FES1162596542"</f>
        <v>FES1162596542</v>
      </c>
      <c r="F2575" s="3">
        <v>43087</v>
      </c>
      <c r="G2575" s="2">
        <v>201806</v>
      </c>
      <c r="H2575" s="2" t="s">
        <v>74</v>
      </c>
      <c r="I2575" s="2" t="s">
        <v>75</v>
      </c>
      <c r="J2575" s="2" t="s">
        <v>97</v>
      </c>
      <c r="K2575" s="2" t="s">
        <v>77</v>
      </c>
      <c r="L2575" s="2" t="s">
        <v>277</v>
      </c>
      <c r="M2575" s="2" t="s">
        <v>278</v>
      </c>
      <c r="N2575" s="2" t="s">
        <v>317</v>
      </c>
      <c r="O2575" s="2" t="s">
        <v>101</v>
      </c>
      <c r="P2575" s="2" t="str">
        <f>"2170605224                    "</f>
        <v xml:space="preserve">2170605224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5.03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1.2</v>
      </c>
      <c r="BJ2575" s="2">
        <v>1.4</v>
      </c>
      <c r="BK2575" s="2">
        <v>2</v>
      </c>
      <c r="BL2575" s="2">
        <v>35.89</v>
      </c>
      <c r="BM2575" s="2">
        <v>5.0199999999999996</v>
      </c>
      <c r="BN2575" s="2">
        <v>40.909999999999997</v>
      </c>
      <c r="BO2575" s="2">
        <v>40.909999999999997</v>
      </c>
      <c r="BQ2575" s="2" t="s">
        <v>318</v>
      </c>
      <c r="BR2575" s="2" t="s">
        <v>103</v>
      </c>
      <c r="BS2575" s="3">
        <v>43088</v>
      </c>
      <c r="BT2575" s="4">
        <v>0.41666666666666669</v>
      </c>
      <c r="BU2575" s="2" t="s">
        <v>2698</v>
      </c>
      <c r="BV2575" s="2" t="s">
        <v>85</v>
      </c>
      <c r="BY2575" s="2">
        <v>6846.53</v>
      </c>
      <c r="CA2575" s="2" t="s">
        <v>293</v>
      </c>
      <c r="CC2575" s="2" t="s">
        <v>278</v>
      </c>
      <c r="CD2575" s="2">
        <v>2163</v>
      </c>
      <c r="CE2575" s="2" t="s">
        <v>87</v>
      </c>
      <c r="CF2575" s="3">
        <v>43089</v>
      </c>
      <c r="CI2575" s="2">
        <v>1</v>
      </c>
      <c r="CJ2575" s="2">
        <v>1</v>
      </c>
      <c r="CK2575" s="2">
        <v>22</v>
      </c>
      <c r="CL2575" s="2" t="s">
        <v>89</v>
      </c>
    </row>
    <row r="2576" spans="1:90">
      <c r="A2576" s="2" t="s">
        <v>71</v>
      </c>
      <c r="B2576" s="2" t="s">
        <v>72</v>
      </c>
      <c r="C2576" s="2" t="s">
        <v>73</v>
      </c>
      <c r="E2576" s="2" t="str">
        <f>"FES1162596541"</f>
        <v>FES1162596541</v>
      </c>
      <c r="F2576" s="3">
        <v>43087</v>
      </c>
      <c r="G2576" s="2">
        <v>201806</v>
      </c>
      <c r="H2576" s="2" t="s">
        <v>74</v>
      </c>
      <c r="I2576" s="2" t="s">
        <v>75</v>
      </c>
      <c r="J2576" s="2" t="s">
        <v>97</v>
      </c>
      <c r="K2576" s="2" t="s">
        <v>77</v>
      </c>
      <c r="L2576" s="2" t="s">
        <v>277</v>
      </c>
      <c r="M2576" s="2" t="s">
        <v>278</v>
      </c>
      <c r="N2576" s="2" t="s">
        <v>317</v>
      </c>
      <c r="O2576" s="2" t="s">
        <v>101</v>
      </c>
      <c r="P2576" s="2" t="str">
        <f>"2170604696                    "</f>
        <v xml:space="preserve">2170604696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5.03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1.2</v>
      </c>
      <c r="BJ2576" s="2">
        <v>1.4</v>
      </c>
      <c r="BK2576" s="2">
        <v>2</v>
      </c>
      <c r="BL2576" s="2">
        <v>35.89</v>
      </c>
      <c r="BM2576" s="2">
        <v>5.0199999999999996</v>
      </c>
      <c r="BN2576" s="2">
        <v>40.909999999999997</v>
      </c>
      <c r="BO2576" s="2">
        <v>40.909999999999997</v>
      </c>
      <c r="BQ2576" s="2" t="s">
        <v>318</v>
      </c>
      <c r="BR2576" s="2" t="s">
        <v>103</v>
      </c>
      <c r="BS2576" s="3">
        <v>43088</v>
      </c>
      <c r="BT2576" s="4">
        <v>0.41666666666666669</v>
      </c>
      <c r="BU2576" s="2" t="s">
        <v>2698</v>
      </c>
      <c r="BV2576" s="2" t="s">
        <v>85</v>
      </c>
      <c r="BY2576" s="2">
        <v>7223.37</v>
      </c>
      <c r="CA2576" s="2" t="s">
        <v>293</v>
      </c>
      <c r="CC2576" s="2" t="s">
        <v>278</v>
      </c>
      <c r="CD2576" s="2">
        <v>2163</v>
      </c>
      <c r="CE2576" s="2" t="s">
        <v>87</v>
      </c>
      <c r="CF2576" s="3">
        <v>43089</v>
      </c>
      <c r="CI2576" s="2">
        <v>1</v>
      </c>
      <c r="CJ2576" s="2">
        <v>1</v>
      </c>
      <c r="CK2576" s="2">
        <v>22</v>
      </c>
      <c r="CL2576" s="2" t="s">
        <v>89</v>
      </c>
    </row>
    <row r="2577" spans="1:90">
      <c r="A2577" s="2" t="s">
        <v>71</v>
      </c>
      <c r="B2577" s="2" t="s">
        <v>72</v>
      </c>
      <c r="C2577" s="2" t="s">
        <v>73</v>
      </c>
      <c r="E2577" s="2" t="str">
        <f>"FES1162596591"</f>
        <v>FES1162596591</v>
      </c>
      <c r="F2577" s="3">
        <v>43087</v>
      </c>
      <c r="G2577" s="2">
        <v>201806</v>
      </c>
      <c r="H2577" s="2" t="s">
        <v>74</v>
      </c>
      <c r="I2577" s="2" t="s">
        <v>75</v>
      </c>
      <c r="J2577" s="2" t="s">
        <v>97</v>
      </c>
      <c r="K2577" s="2" t="s">
        <v>77</v>
      </c>
      <c r="L2577" s="2" t="s">
        <v>136</v>
      </c>
      <c r="M2577" s="2" t="s">
        <v>137</v>
      </c>
      <c r="N2577" s="2" t="s">
        <v>662</v>
      </c>
      <c r="O2577" s="2" t="s">
        <v>101</v>
      </c>
      <c r="P2577" s="2" t="str">
        <f>"2170606556                    "</f>
        <v xml:space="preserve">2170606556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11.26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3.5</v>
      </c>
      <c r="BJ2577" s="2">
        <v>1.8</v>
      </c>
      <c r="BK2577" s="2">
        <v>3.5</v>
      </c>
      <c r="BL2577" s="2">
        <v>80.37</v>
      </c>
      <c r="BM2577" s="2">
        <v>11.25</v>
      </c>
      <c r="BN2577" s="2">
        <v>91.62</v>
      </c>
      <c r="BO2577" s="2">
        <v>91.62</v>
      </c>
      <c r="BQ2577" s="2" t="s">
        <v>128</v>
      </c>
      <c r="BR2577" s="2" t="s">
        <v>103</v>
      </c>
      <c r="BS2577" s="3">
        <v>43089</v>
      </c>
      <c r="BT2577" s="4">
        <v>0.45833333333333331</v>
      </c>
      <c r="BU2577" s="2" t="s">
        <v>2699</v>
      </c>
      <c r="BV2577" s="2" t="s">
        <v>89</v>
      </c>
      <c r="BW2577" s="2" t="s">
        <v>2433</v>
      </c>
      <c r="BX2577" s="2" t="s">
        <v>314</v>
      </c>
      <c r="BY2577" s="2">
        <v>9060.48</v>
      </c>
      <c r="CA2577" s="2" t="s">
        <v>1050</v>
      </c>
      <c r="CC2577" s="2" t="s">
        <v>137</v>
      </c>
      <c r="CD2577" s="2">
        <v>6012</v>
      </c>
      <c r="CE2577" s="2" t="s">
        <v>95</v>
      </c>
      <c r="CF2577" s="3">
        <v>43090</v>
      </c>
      <c r="CI2577" s="2">
        <v>1</v>
      </c>
      <c r="CJ2577" s="2">
        <v>2</v>
      </c>
      <c r="CK2577" s="2">
        <v>21</v>
      </c>
      <c r="CL2577" s="2" t="s">
        <v>89</v>
      </c>
    </row>
    <row r="2578" spans="1:90">
      <c r="A2578" s="2" t="s">
        <v>71</v>
      </c>
      <c r="B2578" s="2" t="s">
        <v>72</v>
      </c>
      <c r="C2578" s="2" t="s">
        <v>73</v>
      </c>
      <c r="E2578" s="2" t="str">
        <f>"FES1162596512"</f>
        <v>FES1162596512</v>
      </c>
      <c r="F2578" s="3">
        <v>43087</v>
      </c>
      <c r="G2578" s="2">
        <v>201806</v>
      </c>
      <c r="H2578" s="2" t="s">
        <v>74</v>
      </c>
      <c r="I2578" s="2" t="s">
        <v>75</v>
      </c>
      <c r="J2578" s="2" t="s">
        <v>97</v>
      </c>
      <c r="K2578" s="2" t="s">
        <v>77</v>
      </c>
      <c r="L2578" s="2" t="s">
        <v>1051</v>
      </c>
      <c r="M2578" s="2" t="s">
        <v>1052</v>
      </c>
      <c r="N2578" s="2" t="s">
        <v>1053</v>
      </c>
      <c r="O2578" s="2" t="s">
        <v>101</v>
      </c>
      <c r="P2578" s="2" t="str">
        <f>"2170608209                    "</f>
        <v xml:space="preserve">2170608209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12.47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</v>
      </c>
      <c r="BJ2578" s="2">
        <v>0.2</v>
      </c>
      <c r="BK2578" s="2">
        <v>1</v>
      </c>
      <c r="BL2578" s="2">
        <v>89</v>
      </c>
      <c r="BM2578" s="2">
        <v>12.46</v>
      </c>
      <c r="BN2578" s="2">
        <v>101.46</v>
      </c>
      <c r="BO2578" s="2">
        <v>101.46</v>
      </c>
      <c r="BQ2578" s="2" t="s">
        <v>82</v>
      </c>
      <c r="BR2578" s="2" t="s">
        <v>103</v>
      </c>
      <c r="BS2578" s="3">
        <v>43088</v>
      </c>
      <c r="BT2578" s="4">
        <v>0.45833333333333331</v>
      </c>
      <c r="BU2578" s="2" t="s">
        <v>1054</v>
      </c>
      <c r="BV2578" s="2" t="s">
        <v>85</v>
      </c>
      <c r="BY2578" s="2">
        <v>1200</v>
      </c>
      <c r="CC2578" s="2" t="s">
        <v>1052</v>
      </c>
      <c r="CD2578" s="2">
        <v>3370</v>
      </c>
      <c r="CE2578" s="2" t="s">
        <v>120</v>
      </c>
      <c r="CF2578" s="3">
        <v>43091</v>
      </c>
      <c r="CI2578" s="2">
        <v>3</v>
      </c>
      <c r="CJ2578" s="2">
        <v>1</v>
      </c>
      <c r="CK2578" s="2">
        <v>23</v>
      </c>
      <c r="CL2578" s="2" t="s">
        <v>89</v>
      </c>
    </row>
    <row r="2579" spans="1:90">
      <c r="A2579" s="2" t="s">
        <v>71</v>
      </c>
      <c r="B2579" s="2" t="s">
        <v>72</v>
      </c>
      <c r="C2579" s="2" t="s">
        <v>73</v>
      </c>
      <c r="E2579" s="2" t="str">
        <f>"FES1162596550"</f>
        <v>FES1162596550</v>
      </c>
      <c r="F2579" s="3">
        <v>43087</v>
      </c>
      <c r="G2579" s="2">
        <v>201806</v>
      </c>
      <c r="H2579" s="2" t="s">
        <v>74</v>
      </c>
      <c r="I2579" s="2" t="s">
        <v>75</v>
      </c>
      <c r="J2579" s="2" t="s">
        <v>97</v>
      </c>
      <c r="K2579" s="2" t="s">
        <v>77</v>
      </c>
      <c r="L2579" s="2" t="s">
        <v>1051</v>
      </c>
      <c r="M2579" s="2" t="s">
        <v>1052</v>
      </c>
      <c r="N2579" s="2" t="s">
        <v>1053</v>
      </c>
      <c r="O2579" s="2" t="s">
        <v>101</v>
      </c>
      <c r="P2579" s="2" t="str">
        <f>"2170605965                    "</f>
        <v xml:space="preserve">2170605965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37.799999999999997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3.1</v>
      </c>
      <c r="BJ2579" s="2">
        <v>6.5</v>
      </c>
      <c r="BK2579" s="2">
        <v>6.5</v>
      </c>
      <c r="BL2579" s="2">
        <v>269.85000000000002</v>
      </c>
      <c r="BM2579" s="2">
        <v>37.78</v>
      </c>
      <c r="BN2579" s="2">
        <v>307.63</v>
      </c>
      <c r="BO2579" s="2">
        <v>307.63</v>
      </c>
      <c r="BQ2579" s="2" t="s">
        <v>82</v>
      </c>
      <c r="BR2579" s="2" t="s">
        <v>103</v>
      </c>
      <c r="BS2579" s="3">
        <v>43088</v>
      </c>
      <c r="BT2579" s="4">
        <v>0.58333333333333337</v>
      </c>
      <c r="BU2579" s="2" t="s">
        <v>1054</v>
      </c>
      <c r="BV2579" s="2" t="s">
        <v>85</v>
      </c>
      <c r="BY2579" s="2">
        <v>32446.13</v>
      </c>
      <c r="CC2579" s="2" t="s">
        <v>1052</v>
      </c>
      <c r="CD2579" s="2">
        <v>3370</v>
      </c>
      <c r="CE2579" s="2" t="s">
        <v>1004</v>
      </c>
      <c r="CF2579" s="3">
        <v>43091</v>
      </c>
      <c r="CI2579" s="2">
        <v>3</v>
      </c>
      <c r="CJ2579" s="2">
        <v>1</v>
      </c>
      <c r="CK2579" s="2">
        <v>23</v>
      </c>
      <c r="CL2579" s="2" t="s">
        <v>89</v>
      </c>
    </row>
    <row r="2580" spans="1:90">
      <c r="A2580" s="2" t="s">
        <v>71</v>
      </c>
      <c r="B2580" s="2" t="s">
        <v>72</v>
      </c>
      <c r="C2580" s="2" t="s">
        <v>73</v>
      </c>
      <c r="E2580" s="2" t="str">
        <f>"FES1162596508"</f>
        <v>FES1162596508</v>
      </c>
      <c r="F2580" s="3">
        <v>43087</v>
      </c>
      <c r="G2580" s="2">
        <v>201806</v>
      </c>
      <c r="H2580" s="2" t="s">
        <v>74</v>
      </c>
      <c r="I2580" s="2" t="s">
        <v>75</v>
      </c>
      <c r="J2580" s="2" t="s">
        <v>97</v>
      </c>
      <c r="K2580" s="2" t="s">
        <v>77</v>
      </c>
      <c r="L2580" s="2" t="s">
        <v>490</v>
      </c>
      <c r="M2580" s="2" t="s">
        <v>491</v>
      </c>
      <c r="N2580" s="2" t="s">
        <v>492</v>
      </c>
      <c r="O2580" s="2" t="s">
        <v>101</v>
      </c>
      <c r="P2580" s="2" t="str">
        <f>"2170607714                    "</f>
        <v xml:space="preserve">2170607714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6.43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1</v>
      </c>
      <c r="BJ2580" s="2">
        <v>0.2</v>
      </c>
      <c r="BK2580" s="2">
        <v>1</v>
      </c>
      <c r="BL2580" s="2">
        <v>45.93</v>
      </c>
      <c r="BM2580" s="2">
        <v>6.43</v>
      </c>
      <c r="BN2580" s="2">
        <v>52.36</v>
      </c>
      <c r="BO2580" s="2">
        <v>52.36</v>
      </c>
      <c r="BR2580" s="2" t="s">
        <v>103</v>
      </c>
      <c r="BS2580" s="3">
        <v>43088</v>
      </c>
      <c r="BT2580" s="4">
        <v>0.44791666666666669</v>
      </c>
      <c r="BU2580" s="2" t="s">
        <v>2700</v>
      </c>
      <c r="BV2580" s="2" t="s">
        <v>85</v>
      </c>
      <c r="BY2580" s="2">
        <v>1200</v>
      </c>
      <c r="CA2580" s="2" t="s">
        <v>2679</v>
      </c>
      <c r="CC2580" s="2" t="s">
        <v>491</v>
      </c>
      <c r="CD2580" s="2">
        <v>3699</v>
      </c>
      <c r="CE2580" s="2" t="s">
        <v>120</v>
      </c>
      <c r="CF2580" s="3">
        <v>43089</v>
      </c>
      <c r="CI2580" s="2">
        <v>1</v>
      </c>
      <c r="CJ2580" s="2">
        <v>1</v>
      </c>
      <c r="CK2580" s="2">
        <v>21</v>
      </c>
      <c r="CL2580" s="2" t="s">
        <v>89</v>
      </c>
    </row>
    <row r="2581" spans="1:90">
      <c r="A2581" s="2" t="s">
        <v>71</v>
      </c>
      <c r="B2581" s="2" t="s">
        <v>72</v>
      </c>
      <c r="C2581" s="2" t="s">
        <v>73</v>
      </c>
      <c r="E2581" s="2" t="str">
        <f>"FES1162596503"</f>
        <v>FES1162596503</v>
      </c>
      <c r="F2581" s="3">
        <v>43087</v>
      </c>
      <c r="G2581" s="2">
        <v>201806</v>
      </c>
      <c r="H2581" s="2" t="s">
        <v>74</v>
      </c>
      <c r="I2581" s="2" t="s">
        <v>75</v>
      </c>
      <c r="J2581" s="2" t="s">
        <v>97</v>
      </c>
      <c r="K2581" s="2" t="s">
        <v>77</v>
      </c>
      <c r="L2581" s="2" t="s">
        <v>98</v>
      </c>
      <c r="M2581" s="2" t="s">
        <v>99</v>
      </c>
      <c r="N2581" s="2" t="s">
        <v>226</v>
      </c>
      <c r="O2581" s="2" t="s">
        <v>101</v>
      </c>
      <c r="P2581" s="2" t="str">
        <f>"2170607142                    "</f>
        <v xml:space="preserve">2170607142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6.43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1</v>
      </c>
      <c r="BJ2581" s="2">
        <v>0.2</v>
      </c>
      <c r="BK2581" s="2">
        <v>1</v>
      </c>
      <c r="BL2581" s="2">
        <v>45.93</v>
      </c>
      <c r="BM2581" s="2">
        <v>6.43</v>
      </c>
      <c r="BN2581" s="2">
        <v>52.36</v>
      </c>
      <c r="BO2581" s="2">
        <v>52.36</v>
      </c>
      <c r="BQ2581" s="2" t="s">
        <v>82</v>
      </c>
      <c r="BR2581" s="2" t="s">
        <v>103</v>
      </c>
      <c r="BS2581" s="3">
        <v>43088</v>
      </c>
      <c r="BT2581" s="4">
        <v>0.40972222222222227</v>
      </c>
      <c r="BU2581" s="2" t="s">
        <v>556</v>
      </c>
      <c r="BV2581" s="2" t="s">
        <v>85</v>
      </c>
      <c r="BY2581" s="2">
        <v>1200</v>
      </c>
      <c r="CA2581" s="2" t="s">
        <v>105</v>
      </c>
      <c r="CC2581" s="2" t="s">
        <v>99</v>
      </c>
      <c r="CD2581" s="2">
        <v>3201</v>
      </c>
      <c r="CE2581" s="2" t="s">
        <v>120</v>
      </c>
      <c r="CF2581" s="3">
        <v>43089</v>
      </c>
      <c r="CI2581" s="2">
        <v>1</v>
      </c>
      <c r="CJ2581" s="2">
        <v>1</v>
      </c>
      <c r="CK2581" s="2">
        <v>21</v>
      </c>
      <c r="CL2581" s="2" t="s">
        <v>89</v>
      </c>
    </row>
    <row r="2582" spans="1:90">
      <c r="A2582" s="2" t="s">
        <v>71</v>
      </c>
      <c r="B2582" s="2" t="s">
        <v>72</v>
      </c>
      <c r="C2582" s="2" t="s">
        <v>73</v>
      </c>
      <c r="E2582" s="2" t="str">
        <f>"FES1162596573"</f>
        <v>FES1162596573</v>
      </c>
      <c r="F2582" s="3">
        <v>43087</v>
      </c>
      <c r="G2582" s="2">
        <v>201806</v>
      </c>
      <c r="H2582" s="2" t="s">
        <v>74</v>
      </c>
      <c r="I2582" s="2" t="s">
        <v>75</v>
      </c>
      <c r="J2582" s="2" t="s">
        <v>97</v>
      </c>
      <c r="K2582" s="2" t="s">
        <v>77</v>
      </c>
      <c r="L2582" s="2" t="s">
        <v>136</v>
      </c>
      <c r="M2582" s="2" t="s">
        <v>137</v>
      </c>
      <c r="N2582" s="2" t="s">
        <v>138</v>
      </c>
      <c r="O2582" s="2" t="s">
        <v>101</v>
      </c>
      <c r="P2582" s="2" t="str">
        <f>"2170598510                    "</f>
        <v xml:space="preserve">2170598510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6.43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</v>
      </c>
      <c r="BJ2582" s="2">
        <v>0.2</v>
      </c>
      <c r="BK2582" s="2">
        <v>1</v>
      </c>
      <c r="BL2582" s="2">
        <v>45.93</v>
      </c>
      <c r="BM2582" s="2">
        <v>6.43</v>
      </c>
      <c r="BN2582" s="2">
        <v>52.36</v>
      </c>
      <c r="BO2582" s="2">
        <v>52.36</v>
      </c>
      <c r="BQ2582" s="2" t="s">
        <v>82</v>
      </c>
      <c r="BR2582" s="2" t="s">
        <v>103</v>
      </c>
      <c r="BS2582" s="3">
        <v>43088</v>
      </c>
      <c r="BT2582" s="4">
        <v>0.35416666666666669</v>
      </c>
      <c r="BU2582" s="2" t="s">
        <v>139</v>
      </c>
      <c r="BV2582" s="2" t="s">
        <v>85</v>
      </c>
      <c r="BY2582" s="2">
        <v>1200</v>
      </c>
      <c r="CA2582" s="2" t="s">
        <v>140</v>
      </c>
      <c r="CC2582" s="2" t="s">
        <v>137</v>
      </c>
      <c r="CD2582" s="2">
        <v>6001</v>
      </c>
      <c r="CE2582" s="2" t="s">
        <v>120</v>
      </c>
      <c r="CF2582" s="3">
        <v>43090</v>
      </c>
      <c r="CI2582" s="2">
        <v>1</v>
      </c>
      <c r="CJ2582" s="2">
        <v>1</v>
      </c>
      <c r="CK2582" s="2">
        <v>21</v>
      </c>
      <c r="CL2582" s="2" t="s">
        <v>89</v>
      </c>
    </row>
    <row r="2583" spans="1:90">
      <c r="A2583" s="2" t="s">
        <v>71</v>
      </c>
      <c r="B2583" s="2" t="s">
        <v>72</v>
      </c>
      <c r="C2583" s="2" t="s">
        <v>73</v>
      </c>
      <c r="E2583" s="2" t="str">
        <f>"FES1162596577"</f>
        <v>FES1162596577</v>
      </c>
      <c r="F2583" s="3">
        <v>43087</v>
      </c>
      <c r="G2583" s="2">
        <v>201806</v>
      </c>
      <c r="H2583" s="2" t="s">
        <v>74</v>
      </c>
      <c r="I2583" s="2" t="s">
        <v>75</v>
      </c>
      <c r="J2583" s="2" t="s">
        <v>97</v>
      </c>
      <c r="K2583" s="2" t="s">
        <v>77</v>
      </c>
      <c r="L2583" s="2" t="s">
        <v>136</v>
      </c>
      <c r="M2583" s="2" t="s">
        <v>137</v>
      </c>
      <c r="N2583" s="2" t="s">
        <v>138</v>
      </c>
      <c r="O2583" s="2" t="s">
        <v>101</v>
      </c>
      <c r="P2583" s="2" t="str">
        <f>"217060599184                  "</f>
        <v xml:space="preserve">217060599184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6.43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1</v>
      </c>
      <c r="BJ2583" s="2">
        <v>0.2</v>
      </c>
      <c r="BK2583" s="2">
        <v>1</v>
      </c>
      <c r="BL2583" s="2">
        <v>45.93</v>
      </c>
      <c r="BM2583" s="2">
        <v>6.43</v>
      </c>
      <c r="BN2583" s="2">
        <v>52.36</v>
      </c>
      <c r="BO2583" s="2">
        <v>52.36</v>
      </c>
      <c r="BQ2583" s="2" t="s">
        <v>82</v>
      </c>
      <c r="BR2583" s="2" t="s">
        <v>103</v>
      </c>
      <c r="BS2583" s="3">
        <v>43088</v>
      </c>
      <c r="BT2583" s="4">
        <v>0.35416666666666669</v>
      </c>
      <c r="BU2583" s="2" t="s">
        <v>139</v>
      </c>
      <c r="BV2583" s="2" t="s">
        <v>85</v>
      </c>
      <c r="BY2583" s="2">
        <v>1200</v>
      </c>
      <c r="CA2583" s="2" t="s">
        <v>140</v>
      </c>
      <c r="CC2583" s="2" t="s">
        <v>137</v>
      </c>
      <c r="CD2583" s="2">
        <v>6001</v>
      </c>
      <c r="CE2583" s="2" t="s">
        <v>120</v>
      </c>
      <c r="CF2583" s="3">
        <v>43090</v>
      </c>
      <c r="CI2583" s="2">
        <v>1</v>
      </c>
      <c r="CJ2583" s="2">
        <v>1</v>
      </c>
      <c r="CK2583" s="2">
        <v>21</v>
      </c>
      <c r="CL2583" s="2" t="s">
        <v>89</v>
      </c>
    </row>
    <row r="2584" spans="1:90">
      <c r="A2584" s="2" t="s">
        <v>71</v>
      </c>
      <c r="B2584" s="2" t="s">
        <v>72</v>
      </c>
      <c r="C2584" s="2" t="s">
        <v>73</v>
      </c>
      <c r="E2584" s="2" t="str">
        <f>"FES1162596574"</f>
        <v>FES1162596574</v>
      </c>
      <c r="F2584" s="3">
        <v>43087</v>
      </c>
      <c r="G2584" s="2">
        <v>201806</v>
      </c>
      <c r="H2584" s="2" t="s">
        <v>74</v>
      </c>
      <c r="I2584" s="2" t="s">
        <v>75</v>
      </c>
      <c r="J2584" s="2" t="s">
        <v>97</v>
      </c>
      <c r="K2584" s="2" t="s">
        <v>77</v>
      </c>
      <c r="L2584" s="2" t="s">
        <v>136</v>
      </c>
      <c r="M2584" s="2" t="s">
        <v>137</v>
      </c>
      <c r="N2584" s="2" t="s">
        <v>138</v>
      </c>
      <c r="O2584" s="2" t="s">
        <v>101</v>
      </c>
      <c r="P2584" s="2" t="str">
        <f>"21706059824                   "</f>
        <v xml:space="preserve">21706059824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6.43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1</v>
      </c>
      <c r="BJ2584" s="2">
        <v>0.2</v>
      </c>
      <c r="BK2584" s="2">
        <v>1</v>
      </c>
      <c r="BL2584" s="2">
        <v>45.93</v>
      </c>
      <c r="BM2584" s="2">
        <v>6.43</v>
      </c>
      <c r="BN2584" s="2">
        <v>52.36</v>
      </c>
      <c r="BO2584" s="2">
        <v>52.36</v>
      </c>
      <c r="BQ2584" s="2" t="s">
        <v>82</v>
      </c>
      <c r="BR2584" s="2" t="s">
        <v>103</v>
      </c>
      <c r="BS2584" s="3">
        <v>43088</v>
      </c>
      <c r="BT2584" s="4">
        <v>0.35416666666666669</v>
      </c>
      <c r="BU2584" s="2" t="s">
        <v>139</v>
      </c>
      <c r="BV2584" s="2" t="s">
        <v>85</v>
      </c>
      <c r="BY2584" s="2">
        <v>1200</v>
      </c>
      <c r="CA2584" s="2" t="s">
        <v>140</v>
      </c>
      <c r="CC2584" s="2" t="s">
        <v>137</v>
      </c>
      <c r="CD2584" s="2">
        <v>6001</v>
      </c>
      <c r="CE2584" s="2" t="s">
        <v>120</v>
      </c>
      <c r="CF2584" s="3">
        <v>43090</v>
      </c>
      <c r="CI2584" s="2">
        <v>1</v>
      </c>
      <c r="CJ2584" s="2">
        <v>1</v>
      </c>
      <c r="CK2584" s="2">
        <v>21</v>
      </c>
      <c r="CL2584" s="2" t="s">
        <v>89</v>
      </c>
    </row>
    <row r="2585" spans="1:90">
      <c r="A2585" s="2" t="s">
        <v>71</v>
      </c>
      <c r="B2585" s="2" t="s">
        <v>72</v>
      </c>
      <c r="C2585" s="2" t="s">
        <v>73</v>
      </c>
      <c r="E2585" s="2" t="str">
        <f>"FES1162596576"</f>
        <v>FES1162596576</v>
      </c>
      <c r="F2585" s="3">
        <v>43087</v>
      </c>
      <c r="G2585" s="2">
        <v>201806</v>
      </c>
      <c r="H2585" s="2" t="s">
        <v>74</v>
      </c>
      <c r="I2585" s="2" t="s">
        <v>75</v>
      </c>
      <c r="J2585" s="2" t="s">
        <v>97</v>
      </c>
      <c r="K2585" s="2" t="s">
        <v>77</v>
      </c>
      <c r="L2585" s="2" t="s">
        <v>136</v>
      </c>
      <c r="M2585" s="2" t="s">
        <v>137</v>
      </c>
      <c r="N2585" s="2" t="s">
        <v>138</v>
      </c>
      <c r="O2585" s="2" t="s">
        <v>101</v>
      </c>
      <c r="P2585" s="2" t="str">
        <f>"217060599155                  "</f>
        <v xml:space="preserve">217060599155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6.43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45.93</v>
      </c>
      <c r="BM2585" s="2">
        <v>6.43</v>
      </c>
      <c r="BN2585" s="2">
        <v>52.36</v>
      </c>
      <c r="BO2585" s="2">
        <v>52.36</v>
      </c>
      <c r="BQ2585" s="2" t="s">
        <v>82</v>
      </c>
      <c r="BR2585" s="2" t="s">
        <v>103</v>
      </c>
      <c r="BS2585" s="3">
        <v>43088</v>
      </c>
      <c r="BT2585" s="4">
        <v>0.35416666666666669</v>
      </c>
      <c r="BU2585" s="2" t="s">
        <v>139</v>
      </c>
      <c r="BV2585" s="2" t="s">
        <v>85</v>
      </c>
      <c r="BY2585" s="2">
        <v>1200</v>
      </c>
      <c r="CA2585" s="2" t="s">
        <v>140</v>
      </c>
      <c r="CC2585" s="2" t="s">
        <v>137</v>
      </c>
      <c r="CD2585" s="2">
        <v>6001</v>
      </c>
      <c r="CE2585" s="2" t="s">
        <v>120</v>
      </c>
      <c r="CF2585" s="3">
        <v>43090</v>
      </c>
      <c r="CI2585" s="2">
        <v>1</v>
      </c>
      <c r="CJ2585" s="2">
        <v>1</v>
      </c>
      <c r="CK2585" s="2">
        <v>21</v>
      </c>
      <c r="CL2585" s="2" t="s">
        <v>89</v>
      </c>
    </row>
    <row r="2586" spans="1:90">
      <c r="A2586" s="2" t="s">
        <v>71</v>
      </c>
      <c r="B2586" s="2" t="s">
        <v>72</v>
      </c>
      <c r="C2586" s="2" t="s">
        <v>73</v>
      </c>
      <c r="E2586" s="2" t="str">
        <f>"FES1162596592"</f>
        <v>FES1162596592</v>
      </c>
      <c r="F2586" s="3">
        <v>43087</v>
      </c>
      <c r="G2586" s="2">
        <v>201806</v>
      </c>
      <c r="H2586" s="2" t="s">
        <v>74</v>
      </c>
      <c r="I2586" s="2" t="s">
        <v>75</v>
      </c>
      <c r="J2586" s="2" t="s">
        <v>97</v>
      </c>
      <c r="K2586" s="2" t="s">
        <v>77</v>
      </c>
      <c r="L2586" s="2" t="s">
        <v>547</v>
      </c>
      <c r="M2586" s="2" t="s">
        <v>548</v>
      </c>
      <c r="N2586" s="2" t="s">
        <v>922</v>
      </c>
      <c r="O2586" s="2" t="s">
        <v>101</v>
      </c>
      <c r="P2586" s="2" t="str">
        <f>"2170605742                    "</f>
        <v xml:space="preserve">2170605742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5.03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1</v>
      </c>
      <c r="BJ2586" s="2">
        <v>0.2</v>
      </c>
      <c r="BK2586" s="2">
        <v>1</v>
      </c>
      <c r="BL2586" s="2">
        <v>35.89</v>
      </c>
      <c r="BM2586" s="2">
        <v>5.0199999999999996</v>
      </c>
      <c r="BN2586" s="2">
        <v>40.909999999999997</v>
      </c>
      <c r="BO2586" s="2">
        <v>40.909999999999997</v>
      </c>
      <c r="BQ2586" s="2" t="s">
        <v>1794</v>
      </c>
      <c r="BR2586" s="2" t="s">
        <v>103</v>
      </c>
      <c r="BS2586" s="3">
        <v>43088</v>
      </c>
      <c r="BT2586" s="4">
        <v>0.40069444444444446</v>
      </c>
      <c r="BU2586" s="2" t="s">
        <v>2701</v>
      </c>
      <c r="BV2586" s="2" t="s">
        <v>85</v>
      </c>
      <c r="BY2586" s="2">
        <v>1200</v>
      </c>
      <c r="CA2586" s="2" t="s">
        <v>834</v>
      </c>
      <c r="CC2586" s="2" t="s">
        <v>548</v>
      </c>
      <c r="CD2586" s="2">
        <v>1500</v>
      </c>
      <c r="CE2586" s="2" t="s">
        <v>120</v>
      </c>
      <c r="CF2586" s="3">
        <v>43089</v>
      </c>
      <c r="CI2586" s="2">
        <v>1</v>
      </c>
      <c r="CJ2586" s="2">
        <v>1</v>
      </c>
      <c r="CK2586" s="2">
        <v>22</v>
      </c>
      <c r="CL2586" s="2" t="s">
        <v>89</v>
      </c>
    </row>
    <row r="2587" spans="1:90">
      <c r="A2587" s="2" t="s">
        <v>71</v>
      </c>
      <c r="B2587" s="2" t="s">
        <v>72</v>
      </c>
      <c r="C2587" s="2" t="s">
        <v>73</v>
      </c>
      <c r="E2587" s="2" t="str">
        <f>"FES1162596609"</f>
        <v>FES1162596609</v>
      </c>
      <c r="F2587" s="3">
        <v>43087</v>
      </c>
      <c r="G2587" s="2">
        <v>201806</v>
      </c>
      <c r="H2587" s="2" t="s">
        <v>74</v>
      </c>
      <c r="I2587" s="2" t="s">
        <v>75</v>
      </c>
      <c r="J2587" s="2" t="s">
        <v>97</v>
      </c>
      <c r="K2587" s="2" t="s">
        <v>77</v>
      </c>
      <c r="L2587" s="2" t="s">
        <v>90</v>
      </c>
      <c r="M2587" s="2" t="s">
        <v>91</v>
      </c>
      <c r="N2587" s="2" t="s">
        <v>92</v>
      </c>
      <c r="O2587" s="2" t="s">
        <v>101</v>
      </c>
      <c r="P2587" s="2" t="str">
        <f>"2170607150                    "</f>
        <v xml:space="preserve">2170607150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5.03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</v>
      </c>
      <c r="BJ2587" s="2">
        <v>0.2</v>
      </c>
      <c r="BK2587" s="2">
        <v>1</v>
      </c>
      <c r="BL2587" s="2">
        <v>35.89</v>
      </c>
      <c r="BM2587" s="2">
        <v>5.0199999999999996</v>
      </c>
      <c r="BN2587" s="2">
        <v>40.909999999999997</v>
      </c>
      <c r="BO2587" s="2">
        <v>40.909999999999997</v>
      </c>
      <c r="BQ2587" s="2" t="s">
        <v>102</v>
      </c>
      <c r="BR2587" s="2" t="s">
        <v>103</v>
      </c>
      <c r="BS2587" s="3">
        <v>43088</v>
      </c>
      <c r="BT2587" s="4">
        <v>0.4375</v>
      </c>
      <c r="BU2587" s="2" t="s">
        <v>2702</v>
      </c>
      <c r="BV2587" s="2" t="s">
        <v>85</v>
      </c>
      <c r="BY2587" s="2">
        <v>1200</v>
      </c>
      <c r="CC2587" s="2" t="s">
        <v>91</v>
      </c>
      <c r="CD2587" s="2">
        <v>1559</v>
      </c>
      <c r="CE2587" s="2" t="s">
        <v>120</v>
      </c>
      <c r="CF2587" s="3">
        <v>43088</v>
      </c>
      <c r="CI2587" s="2">
        <v>1</v>
      </c>
      <c r="CJ2587" s="2">
        <v>1</v>
      </c>
      <c r="CK2587" s="2">
        <v>22</v>
      </c>
      <c r="CL2587" s="2" t="s">
        <v>89</v>
      </c>
    </row>
    <row r="2588" spans="1:90">
      <c r="A2588" s="2" t="s">
        <v>71</v>
      </c>
      <c r="B2588" s="2" t="s">
        <v>72</v>
      </c>
      <c r="C2588" s="2" t="s">
        <v>73</v>
      </c>
      <c r="E2588" s="2" t="str">
        <f>"FES1162596615"</f>
        <v>FES1162596615</v>
      </c>
      <c r="F2588" s="3">
        <v>43087</v>
      </c>
      <c r="G2588" s="2">
        <v>201806</v>
      </c>
      <c r="H2588" s="2" t="s">
        <v>74</v>
      </c>
      <c r="I2588" s="2" t="s">
        <v>75</v>
      </c>
      <c r="J2588" s="2" t="s">
        <v>97</v>
      </c>
      <c r="K2588" s="2" t="s">
        <v>77</v>
      </c>
      <c r="L2588" s="2" t="s">
        <v>547</v>
      </c>
      <c r="M2588" s="2" t="s">
        <v>548</v>
      </c>
      <c r="N2588" s="2" t="s">
        <v>2673</v>
      </c>
      <c r="O2588" s="2" t="s">
        <v>101</v>
      </c>
      <c r="P2588" s="2" t="str">
        <f>"2170607757                    "</f>
        <v xml:space="preserve">2170607757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5.03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1</v>
      </c>
      <c r="BJ2588" s="2">
        <v>0.2</v>
      </c>
      <c r="BK2588" s="2">
        <v>1</v>
      </c>
      <c r="BL2588" s="2">
        <v>35.89</v>
      </c>
      <c r="BM2588" s="2">
        <v>5.0199999999999996</v>
      </c>
      <c r="BN2588" s="2">
        <v>40.909999999999997</v>
      </c>
      <c r="BO2588" s="2">
        <v>40.909999999999997</v>
      </c>
      <c r="BQ2588" s="2" t="s">
        <v>187</v>
      </c>
      <c r="BR2588" s="2" t="s">
        <v>103</v>
      </c>
      <c r="BS2588" s="3">
        <v>43088</v>
      </c>
      <c r="BT2588" s="4">
        <v>0.39027777777777778</v>
      </c>
      <c r="BU2588" s="2" t="s">
        <v>2703</v>
      </c>
      <c r="BV2588" s="2" t="s">
        <v>85</v>
      </c>
      <c r="BY2588" s="2">
        <v>1200</v>
      </c>
      <c r="CA2588" s="2" t="s">
        <v>834</v>
      </c>
      <c r="CC2588" s="2" t="s">
        <v>548</v>
      </c>
      <c r="CD2588" s="2">
        <v>1501</v>
      </c>
      <c r="CE2588" s="2" t="s">
        <v>120</v>
      </c>
      <c r="CF2588" s="3">
        <v>43089</v>
      </c>
      <c r="CI2588" s="2">
        <v>1</v>
      </c>
      <c r="CJ2588" s="2">
        <v>1</v>
      </c>
      <c r="CK2588" s="2">
        <v>22</v>
      </c>
      <c r="CL2588" s="2" t="s">
        <v>89</v>
      </c>
    </row>
    <row r="2589" spans="1:90">
      <c r="A2589" s="2" t="s">
        <v>71</v>
      </c>
      <c r="B2589" s="2" t="s">
        <v>72</v>
      </c>
      <c r="C2589" s="2" t="s">
        <v>73</v>
      </c>
      <c r="E2589" s="2" t="str">
        <f>"FES1162596589"</f>
        <v>FES1162596589</v>
      </c>
      <c r="F2589" s="3">
        <v>43087</v>
      </c>
      <c r="G2589" s="2">
        <v>201806</v>
      </c>
      <c r="H2589" s="2" t="s">
        <v>74</v>
      </c>
      <c r="I2589" s="2" t="s">
        <v>75</v>
      </c>
      <c r="J2589" s="2" t="s">
        <v>97</v>
      </c>
      <c r="K2589" s="2" t="s">
        <v>77</v>
      </c>
      <c r="L2589" s="2" t="s">
        <v>125</v>
      </c>
      <c r="M2589" s="2" t="s">
        <v>126</v>
      </c>
      <c r="N2589" s="2" t="s">
        <v>664</v>
      </c>
      <c r="O2589" s="2" t="s">
        <v>101</v>
      </c>
      <c r="P2589" s="2" t="str">
        <f>"2170605587                    "</f>
        <v xml:space="preserve">2170605587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6.43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45.93</v>
      </c>
      <c r="BM2589" s="2">
        <v>6.43</v>
      </c>
      <c r="BN2589" s="2">
        <v>52.36</v>
      </c>
      <c r="BO2589" s="2">
        <v>52.36</v>
      </c>
      <c r="BQ2589" s="2" t="s">
        <v>102</v>
      </c>
      <c r="BR2589" s="2" t="s">
        <v>103</v>
      </c>
      <c r="BS2589" s="3">
        <v>43088</v>
      </c>
      <c r="BT2589" s="4">
        <v>0.37152777777777773</v>
      </c>
      <c r="BU2589" s="2" t="s">
        <v>2110</v>
      </c>
      <c r="BV2589" s="2" t="s">
        <v>85</v>
      </c>
      <c r="BY2589" s="2">
        <v>1200</v>
      </c>
      <c r="CA2589" s="2" t="s">
        <v>666</v>
      </c>
      <c r="CC2589" s="2" t="s">
        <v>126</v>
      </c>
      <c r="CD2589" s="2">
        <v>4001</v>
      </c>
      <c r="CE2589" s="2" t="s">
        <v>120</v>
      </c>
      <c r="CF2589" s="3">
        <v>43089</v>
      </c>
      <c r="CI2589" s="2">
        <v>1</v>
      </c>
      <c r="CJ2589" s="2">
        <v>1</v>
      </c>
      <c r="CK2589" s="2">
        <v>21</v>
      </c>
      <c r="CL2589" s="2" t="s">
        <v>89</v>
      </c>
    </row>
    <row r="2590" spans="1:90">
      <c r="A2590" s="2" t="s">
        <v>71</v>
      </c>
      <c r="B2590" s="2" t="s">
        <v>72</v>
      </c>
      <c r="C2590" s="2" t="s">
        <v>73</v>
      </c>
      <c r="E2590" s="2" t="str">
        <f>"FES1162596563"</f>
        <v>FES1162596563</v>
      </c>
      <c r="F2590" s="3">
        <v>43087</v>
      </c>
      <c r="G2590" s="2">
        <v>201806</v>
      </c>
      <c r="H2590" s="2" t="s">
        <v>74</v>
      </c>
      <c r="I2590" s="2" t="s">
        <v>75</v>
      </c>
      <c r="J2590" s="2" t="s">
        <v>97</v>
      </c>
      <c r="K2590" s="2" t="s">
        <v>77</v>
      </c>
      <c r="L2590" s="2" t="s">
        <v>2524</v>
      </c>
      <c r="M2590" s="2" t="s">
        <v>2525</v>
      </c>
      <c r="N2590" s="2" t="s">
        <v>2704</v>
      </c>
      <c r="O2590" s="2" t="s">
        <v>101</v>
      </c>
      <c r="P2590" s="2" t="str">
        <f>"2170608239                    "</f>
        <v xml:space="preserve">2170608239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12.47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</v>
      </c>
      <c r="BJ2590" s="2">
        <v>0.2</v>
      </c>
      <c r="BK2590" s="2">
        <v>1</v>
      </c>
      <c r="BL2590" s="2">
        <v>89</v>
      </c>
      <c r="BM2590" s="2">
        <v>12.46</v>
      </c>
      <c r="BN2590" s="2">
        <v>101.46</v>
      </c>
      <c r="BO2590" s="2">
        <v>101.46</v>
      </c>
      <c r="BR2590" s="2" t="s">
        <v>103</v>
      </c>
      <c r="BS2590" s="3">
        <v>43088</v>
      </c>
      <c r="BT2590" s="4">
        <v>0.75</v>
      </c>
      <c r="BU2590" s="2" t="s">
        <v>2705</v>
      </c>
      <c r="BV2590" s="2" t="s">
        <v>89</v>
      </c>
      <c r="BW2590" s="2" t="s">
        <v>471</v>
      </c>
      <c r="BX2590" s="2" t="s">
        <v>594</v>
      </c>
      <c r="BY2590" s="2">
        <v>1200</v>
      </c>
      <c r="CC2590" s="2" t="s">
        <v>2525</v>
      </c>
      <c r="CD2590" s="2">
        <v>4490</v>
      </c>
      <c r="CE2590" s="2" t="s">
        <v>120</v>
      </c>
      <c r="CF2590" s="3">
        <v>43090</v>
      </c>
      <c r="CI2590" s="2">
        <v>1</v>
      </c>
      <c r="CJ2590" s="2">
        <v>1</v>
      </c>
      <c r="CK2590" s="2">
        <v>23</v>
      </c>
      <c r="CL2590" s="2" t="s">
        <v>89</v>
      </c>
    </row>
    <row r="2591" spans="1:90">
      <c r="A2591" s="2" t="s">
        <v>71</v>
      </c>
      <c r="B2591" s="2" t="s">
        <v>72</v>
      </c>
      <c r="C2591" s="2" t="s">
        <v>73</v>
      </c>
      <c r="E2591" s="2" t="str">
        <f>"FES1162596585"</f>
        <v>FES1162596585</v>
      </c>
      <c r="F2591" s="3">
        <v>43087</v>
      </c>
      <c r="G2591" s="2">
        <v>201806</v>
      </c>
      <c r="H2591" s="2" t="s">
        <v>74</v>
      </c>
      <c r="I2591" s="2" t="s">
        <v>75</v>
      </c>
      <c r="J2591" s="2" t="s">
        <v>97</v>
      </c>
      <c r="K2591" s="2" t="s">
        <v>77</v>
      </c>
      <c r="L2591" s="2" t="s">
        <v>98</v>
      </c>
      <c r="M2591" s="2" t="s">
        <v>99</v>
      </c>
      <c r="N2591" s="2" t="s">
        <v>670</v>
      </c>
      <c r="O2591" s="2" t="s">
        <v>101</v>
      </c>
      <c r="P2591" s="2" t="str">
        <f>"2170605159                    "</f>
        <v xml:space="preserve">2170605159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6.43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</v>
      </c>
      <c r="BJ2591" s="2">
        <v>0.2</v>
      </c>
      <c r="BK2591" s="2">
        <v>1</v>
      </c>
      <c r="BL2591" s="2">
        <v>45.93</v>
      </c>
      <c r="BM2591" s="2">
        <v>6.43</v>
      </c>
      <c r="BN2591" s="2">
        <v>52.36</v>
      </c>
      <c r="BO2591" s="2">
        <v>52.36</v>
      </c>
      <c r="BQ2591" s="2" t="s">
        <v>102</v>
      </c>
      <c r="BR2591" s="2" t="s">
        <v>103</v>
      </c>
      <c r="BS2591" s="2" t="s">
        <v>185</v>
      </c>
      <c r="BY2591" s="2">
        <v>1200</v>
      </c>
      <c r="CC2591" s="2" t="s">
        <v>99</v>
      </c>
      <c r="CD2591" s="2">
        <v>3200</v>
      </c>
      <c r="CE2591" s="2" t="s">
        <v>120</v>
      </c>
      <c r="CI2591" s="2">
        <v>1</v>
      </c>
      <c r="CJ2591" s="2" t="s">
        <v>185</v>
      </c>
      <c r="CK2591" s="2">
        <v>21</v>
      </c>
      <c r="CL2591" s="2" t="s">
        <v>89</v>
      </c>
    </row>
    <row r="2592" spans="1:90">
      <c r="A2592" s="2" t="s">
        <v>71</v>
      </c>
      <c r="B2592" s="2" t="s">
        <v>72</v>
      </c>
      <c r="C2592" s="2" t="s">
        <v>73</v>
      </c>
      <c r="E2592" s="2" t="str">
        <f>"FES1162596560"</f>
        <v>FES1162596560</v>
      </c>
      <c r="F2592" s="3">
        <v>43087</v>
      </c>
      <c r="G2592" s="2">
        <v>201806</v>
      </c>
      <c r="H2592" s="2" t="s">
        <v>74</v>
      </c>
      <c r="I2592" s="2" t="s">
        <v>75</v>
      </c>
      <c r="J2592" s="2" t="s">
        <v>97</v>
      </c>
      <c r="K2592" s="2" t="s">
        <v>77</v>
      </c>
      <c r="L2592" s="2" t="s">
        <v>115</v>
      </c>
      <c r="M2592" s="2" t="s">
        <v>116</v>
      </c>
      <c r="N2592" s="2" t="s">
        <v>1894</v>
      </c>
      <c r="O2592" s="2" t="s">
        <v>101</v>
      </c>
      <c r="P2592" s="2" t="str">
        <f>"2170606590                    "</f>
        <v xml:space="preserve">2170606590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5.03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</v>
      </c>
      <c r="BJ2592" s="2">
        <v>0.2</v>
      </c>
      <c r="BK2592" s="2">
        <v>1</v>
      </c>
      <c r="BL2592" s="2">
        <v>35.89</v>
      </c>
      <c r="BM2592" s="2">
        <v>5.0199999999999996</v>
      </c>
      <c r="BN2592" s="2">
        <v>40.909999999999997</v>
      </c>
      <c r="BO2592" s="2">
        <v>40.909999999999997</v>
      </c>
      <c r="BQ2592" s="2" t="s">
        <v>102</v>
      </c>
      <c r="BR2592" s="2" t="s">
        <v>103</v>
      </c>
      <c r="BS2592" s="3">
        <v>43088</v>
      </c>
      <c r="BT2592" s="4">
        <v>0.3659722222222222</v>
      </c>
      <c r="BU2592" s="2" t="s">
        <v>2706</v>
      </c>
      <c r="BV2592" s="2" t="s">
        <v>85</v>
      </c>
      <c r="BY2592" s="2">
        <v>1200</v>
      </c>
      <c r="CA2592" s="2" t="s">
        <v>1068</v>
      </c>
      <c r="CC2592" s="2" t="s">
        <v>116</v>
      </c>
      <c r="CD2592" s="2">
        <v>1459</v>
      </c>
      <c r="CE2592" s="2" t="s">
        <v>120</v>
      </c>
      <c r="CF2592" s="3">
        <v>43089</v>
      </c>
      <c r="CI2592" s="2">
        <v>1</v>
      </c>
      <c r="CJ2592" s="2">
        <v>1</v>
      </c>
      <c r="CK2592" s="2">
        <v>22</v>
      </c>
      <c r="CL2592" s="2" t="s">
        <v>89</v>
      </c>
    </row>
    <row r="2593" spans="1:90">
      <c r="A2593" s="2" t="s">
        <v>71</v>
      </c>
      <c r="B2593" s="2" t="s">
        <v>72</v>
      </c>
      <c r="C2593" s="2" t="s">
        <v>73</v>
      </c>
      <c r="E2593" s="2" t="str">
        <f>"FES1162596595"</f>
        <v>FES1162596595</v>
      </c>
      <c r="F2593" s="3">
        <v>43087</v>
      </c>
      <c r="G2593" s="2">
        <v>201806</v>
      </c>
      <c r="H2593" s="2" t="s">
        <v>74</v>
      </c>
      <c r="I2593" s="2" t="s">
        <v>75</v>
      </c>
      <c r="J2593" s="2" t="s">
        <v>97</v>
      </c>
      <c r="K2593" s="2" t="s">
        <v>77</v>
      </c>
      <c r="L2593" s="2" t="s">
        <v>173</v>
      </c>
      <c r="M2593" s="2" t="s">
        <v>174</v>
      </c>
      <c r="N2593" s="2" t="s">
        <v>802</v>
      </c>
      <c r="O2593" s="2" t="s">
        <v>101</v>
      </c>
      <c r="P2593" s="2" t="str">
        <f>"2170605814                    "</f>
        <v xml:space="preserve">2170605814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6.43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1</v>
      </c>
      <c r="BJ2593" s="2">
        <v>0.2</v>
      </c>
      <c r="BK2593" s="2">
        <v>1</v>
      </c>
      <c r="BL2593" s="2">
        <v>45.93</v>
      </c>
      <c r="BM2593" s="2">
        <v>6.43</v>
      </c>
      <c r="BN2593" s="2">
        <v>52.36</v>
      </c>
      <c r="BO2593" s="2">
        <v>52.36</v>
      </c>
      <c r="BQ2593" s="2" t="s">
        <v>102</v>
      </c>
      <c r="BR2593" s="2" t="s">
        <v>103</v>
      </c>
      <c r="BS2593" s="3">
        <v>43088</v>
      </c>
      <c r="BT2593" s="4">
        <v>0.47361111111111115</v>
      </c>
      <c r="BU2593" s="2" t="s">
        <v>1787</v>
      </c>
      <c r="BV2593" s="2" t="s">
        <v>89</v>
      </c>
      <c r="BW2593" s="2" t="s">
        <v>149</v>
      </c>
      <c r="BX2593" s="2" t="s">
        <v>246</v>
      </c>
      <c r="BY2593" s="2">
        <v>1200</v>
      </c>
      <c r="CA2593" s="2" t="s">
        <v>395</v>
      </c>
      <c r="CC2593" s="2" t="s">
        <v>174</v>
      </c>
      <c r="CD2593" s="2">
        <v>7441</v>
      </c>
      <c r="CE2593" s="2" t="s">
        <v>120</v>
      </c>
      <c r="CF2593" s="3">
        <v>43089</v>
      </c>
      <c r="CI2593" s="2">
        <v>1</v>
      </c>
      <c r="CJ2593" s="2">
        <v>1</v>
      </c>
      <c r="CK2593" s="2">
        <v>21</v>
      </c>
      <c r="CL2593" s="2" t="s">
        <v>89</v>
      </c>
    </row>
    <row r="2594" spans="1:90">
      <c r="A2594" s="2" t="s">
        <v>71</v>
      </c>
      <c r="B2594" s="2" t="s">
        <v>72</v>
      </c>
      <c r="C2594" s="2" t="s">
        <v>73</v>
      </c>
      <c r="E2594" s="2" t="str">
        <f>"FES1162596502"</f>
        <v>FES1162596502</v>
      </c>
      <c r="F2594" s="3">
        <v>43087</v>
      </c>
      <c r="G2594" s="2">
        <v>201806</v>
      </c>
      <c r="H2594" s="2" t="s">
        <v>74</v>
      </c>
      <c r="I2594" s="2" t="s">
        <v>75</v>
      </c>
      <c r="J2594" s="2" t="s">
        <v>97</v>
      </c>
      <c r="K2594" s="2" t="s">
        <v>77</v>
      </c>
      <c r="L2594" s="2" t="s">
        <v>136</v>
      </c>
      <c r="M2594" s="2" t="s">
        <v>137</v>
      </c>
      <c r="N2594" s="2" t="s">
        <v>178</v>
      </c>
      <c r="O2594" s="2" t="s">
        <v>101</v>
      </c>
      <c r="P2594" s="2" t="str">
        <f>"2170607035                    "</f>
        <v xml:space="preserve">2170607035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6.43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1</v>
      </c>
      <c r="BJ2594" s="2">
        <v>0.2</v>
      </c>
      <c r="BK2594" s="2">
        <v>1</v>
      </c>
      <c r="BL2594" s="2">
        <v>45.93</v>
      </c>
      <c r="BM2594" s="2">
        <v>6.43</v>
      </c>
      <c r="BN2594" s="2">
        <v>52.36</v>
      </c>
      <c r="BO2594" s="2">
        <v>52.36</v>
      </c>
      <c r="BQ2594" s="2" t="s">
        <v>102</v>
      </c>
      <c r="BR2594" s="2" t="s">
        <v>103</v>
      </c>
      <c r="BS2594" s="3">
        <v>43088</v>
      </c>
      <c r="BT2594" s="4">
        <v>0.31597222222222221</v>
      </c>
      <c r="BU2594" s="2" t="s">
        <v>179</v>
      </c>
      <c r="BV2594" s="2" t="s">
        <v>85</v>
      </c>
      <c r="BY2594" s="2">
        <v>1200</v>
      </c>
      <c r="CA2594" s="2" t="s">
        <v>180</v>
      </c>
      <c r="CC2594" s="2" t="s">
        <v>137</v>
      </c>
      <c r="CD2594" s="2">
        <v>6001</v>
      </c>
      <c r="CE2594" s="2" t="s">
        <v>120</v>
      </c>
      <c r="CF2594" s="3">
        <v>43090</v>
      </c>
      <c r="CI2594" s="2">
        <v>1</v>
      </c>
      <c r="CJ2594" s="2">
        <v>1</v>
      </c>
      <c r="CK2594" s="2">
        <v>21</v>
      </c>
      <c r="CL2594" s="2" t="s">
        <v>89</v>
      </c>
    </row>
    <row r="2595" spans="1:90">
      <c r="A2595" s="2" t="s">
        <v>71</v>
      </c>
      <c r="B2595" s="2" t="s">
        <v>72</v>
      </c>
      <c r="C2595" s="2" t="s">
        <v>73</v>
      </c>
      <c r="E2595" s="2" t="str">
        <f>"FES1162596501"</f>
        <v>FES1162596501</v>
      </c>
      <c r="F2595" s="3">
        <v>43087</v>
      </c>
      <c r="G2595" s="2">
        <v>201806</v>
      </c>
      <c r="H2595" s="2" t="s">
        <v>74</v>
      </c>
      <c r="I2595" s="2" t="s">
        <v>75</v>
      </c>
      <c r="J2595" s="2" t="s">
        <v>97</v>
      </c>
      <c r="K2595" s="2" t="s">
        <v>77</v>
      </c>
      <c r="L2595" s="2" t="s">
        <v>136</v>
      </c>
      <c r="M2595" s="2" t="s">
        <v>137</v>
      </c>
      <c r="N2595" s="2" t="s">
        <v>823</v>
      </c>
      <c r="O2595" s="2" t="s">
        <v>101</v>
      </c>
      <c r="P2595" s="2" t="str">
        <f>"2170606828                    "</f>
        <v xml:space="preserve">2170606828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6.43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1</v>
      </c>
      <c r="BJ2595" s="2">
        <v>0.2</v>
      </c>
      <c r="BK2595" s="2">
        <v>1</v>
      </c>
      <c r="BL2595" s="2">
        <v>45.93</v>
      </c>
      <c r="BM2595" s="2">
        <v>6.43</v>
      </c>
      <c r="BN2595" s="2">
        <v>52.36</v>
      </c>
      <c r="BO2595" s="2">
        <v>52.36</v>
      </c>
      <c r="BQ2595" s="2" t="s">
        <v>924</v>
      </c>
      <c r="BR2595" s="2" t="s">
        <v>103</v>
      </c>
      <c r="BS2595" s="2" t="s">
        <v>185</v>
      </c>
      <c r="BY2595" s="2">
        <v>1200</v>
      </c>
      <c r="CC2595" s="2" t="s">
        <v>137</v>
      </c>
      <c r="CD2595" s="2">
        <v>6001</v>
      </c>
      <c r="CE2595" s="2" t="s">
        <v>120</v>
      </c>
      <c r="CI2595" s="2">
        <v>1</v>
      </c>
      <c r="CJ2595" s="2" t="s">
        <v>185</v>
      </c>
      <c r="CK2595" s="2">
        <v>21</v>
      </c>
      <c r="CL2595" s="2" t="s">
        <v>89</v>
      </c>
    </row>
    <row r="2596" spans="1:90">
      <c r="A2596" s="2" t="s">
        <v>71</v>
      </c>
      <c r="B2596" s="2" t="s">
        <v>72</v>
      </c>
      <c r="C2596" s="2" t="s">
        <v>73</v>
      </c>
      <c r="E2596" s="2" t="str">
        <f>"FES1162596506"</f>
        <v>FES1162596506</v>
      </c>
      <c r="F2596" s="3">
        <v>43087</v>
      </c>
      <c r="G2596" s="2">
        <v>201806</v>
      </c>
      <c r="H2596" s="2" t="s">
        <v>74</v>
      </c>
      <c r="I2596" s="2" t="s">
        <v>75</v>
      </c>
      <c r="J2596" s="2" t="s">
        <v>97</v>
      </c>
      <c r="K2596" s="2" t="s">
        <v>77</v>
      </c>
      <c r="L2596" s="2" t="s">
        <v>145</v>
      </c>
      <c r="M2596" s="2" t="s">
        <v>146</v>
      </c>
      <c r="N2596" s="2" t="s">
        <v>922</v>
      </c>
      <c r="O2596" s="2" t="s">
        <v>101</v>
      </c>
      <c r="P2596" s="2" t="str">
        <f>"2170607544                    "</f>
        <v xml:space="preserve">2170607544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6.43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1</v>
      </c>
      <c r="BJ2596" s="2">
        <v>0.2</v>
      </c>
      <c r="BK2596" s="2">
        <v>1</v>
      </c>
      <c r="BL2596" s="2">
        <v>45.93</v>
      </c>
      <c r="BM2596" s="2">
        <v>6.43</v>
      </c>
      <c r="BN2596" s="2">
        <v>52.36</v>
      </c>
      <c r="BO2596" s="2">
        <v>52.36</v>
      </c>
      <c r="BQ2596" s="2" t="s">
        <v>102</v>
      </c>
      <c r="BR2596" s="2" t="s">
        <v>103</v>
      </c>
      <c r="BS2596" s="3">
        <v>43088</v>
      </c>
      <c r="BT2596" s="4">
        <v>0.36180555555555555</v>
      </c>
      <c r="BU2596" s="2" t="s">
        <v>2707</v>
      </c>
      <c r="BV2596" s="2" t="s">
        <v>85</v>
      </c>
      <c r="BY2596" s="2">
        <v>1200</v>
      </c>
      <c r="CA2596" s="2" t="s">
        <v>629</v>
      </c>
      <c r="CC2596" s="2" t="s">
        <v>146</v>
      </c>
      <c r="CD2596" s="2">
        <v>5201</v>
      </c>
      <c r="CE2596" s="2" t="s">
        <v>120</v>
      </c>
      <c r="CF2596" s="3">
        <v>43089</v>
      </c>
      <c r="CI2596" s="2">
        <v>1</v>
      </c>
      <c r="CJ2596" s="2">
        <v>1</v>
      </c>
      <c r="CK2596" s="2">
        <v>21</v>
      </c>
      <c r="CL2596" s="2" t="s">
        <v>89</v>
      </c>
    </row>
    <row r="2597" spans="1:90">
      <c r="A2597" s="2" t="s">
        <v>71</v>
      </c>
      <c r="B2597" s="2" t="s">
        <v>72</v>
      </c>
      <c r="C2597" s="2" t="s">
        <v>73</v>
      </c>
      <c r="E2597" s="2" t="str">
        <f>"009935791589"</f>
        <v>009935791589</v>
      </c>
      <c r="F2597" s="3">
        <v>43087</v>
      </c>
      <c r="G2597" s="2">
        <v>201806</v>
      </c>
      <c r="H2597" s="2" t="s">
        <v>74</v>
      </c>
      <c r="I2597" s="2" t="s">
        <v>75</v>
      </c>
      <c r="J2597" s="2" t="s">
        <v>97</v>
      </c>
      <c r="K2597" s="2" t="s">
        <v>77</v>
      </c>
      <c r="L2597" s="2" t="s">
        <v>566</v>
      </c>
      <c r="M2597" s="2" t="s">
        <v>567</v>
      </c>
      <c r="N2597" s="2" t="s">
        <v>2708</v>
      </c>
      <c r="O2597" s="2" t="s">
        <v>101</v>
      </c>
      <c r="P2597" s="2" t="str">
        <f>"1162592456                    "</f>
        <v xml:space="preserve">1162592456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9.0500000000000007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</v>
      </c>
      <c r="BJ2597" s="2">
        <v>1.9</v>
      </c>
      <c r="BK2597" s="2">
        <v>2</v>
      </c>
      <c r="BL2597" s="2">
        <v>64.599999999999994</v>
      </c>
      <c r="BM2597" s="2">
        <v>9.0399999999999991</v>
      </c>
      <c r="BN2597" s="2">
        <v>73.64</v>
      </c>
      <c r="BO2597" s="2">
        <v>73.64</v>
      </c>
      <c r="BQ2597" s="2" t="s">
        <v>2709</v>
      </c>
      <c r="BR2597" s="2" t="s">
        <v>103</v>
      </c>
      <c r="BS2597" s="2" t="s">
        <v>185</v>
      </c>
      <c r="BY2597" s="2">
        <v>9600</v>
      </c>
      <c r="CC2597" s="2" t="s">
        <v>567</v>
      </c>
      <c r="CD2597" s="2">
        <v>1754</v>
      </c>
      <c r="CE2597" s="2" t="s">
        <v>87</v>
      </c>
      <c r="CI2597" s="2">
        <v>1</v>
      </c>
      <c r="CJ2597" s="2" t="s">
        <v>185</v>
      </c>
      <c r="CK2597" s="2">
        <v>24</v>
      </c>
      <c r="CL2597" s="2" t="s">
        <v>89</v>
      </c>
    </row>
    <row r="2598" spans="1:90">
      <c r="A2598" s="2" t="s">
        <v>71</v>
      </c>
      <c r="B2598" s="2" t="s">
        <v>72</v>
      </c>
      <c r="C2598" s="2" t="s">
        <v>73</v>
      </c>
      <c r="E2598" s="2" t="str">
        <f>"FES1162596658"</f>
        <v>FES1162596658</v>
      </c>
      <c r="F2598" s="3">
        <v>43087</v>
      </c>
      <c r="G2598" s="2">
        <v>201806</v>
      </c>
      <c r="H2598" s="2" t="s">
        <v>74</v>
      </c>
      <c r="I2598" s="2" t="s">
        <v>75</v>
      </c>
      <c r="J2598" s="2" t="s">
        <v>97</v>
      </c>
      <c r="K2598" s="2" t="s">
        <v>77</v>
      </c>
      <c r="L2598" s="2" t="s">
        <v>136</v>
      </c>
      <c r="M2598" s="2" t="s">
        <v>137</v>
      </c>
      <c r="N2598" s="2" t="s">
        <v>2434</v>
      </c>
      <c r="O2598" s="2" t="s">
        <v>101</v>
      </c>
      <c r="P2598" s="2" t="str">
        <f>"21706827                      "</f>
        <v xml:space="preserve">21706827  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6.43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45.93</v>
      </c>
      <c r="BM2598" s="2">
        <v>6.43</v>
      </c>
      <c r="BN2598" s="2">
        <v>52.36</v>
      </c>
      <c r="BO2598" s="2">
        <v>52.36</v>
      </c>
      <c r="BQ2598" s="2" t="s">
        <v>142</v>
      </c>
      <c r="BR2598" s="2" t="s">
        <v>103</v>
      </c>
      <c r="BS2598" s="3">
        <v>43088</v>
      </c>
      <c r="BT2598" s="4">
        <v>0.3125</v>
      </c>
      <c r="BU2598" s="2" t="s">
        <v>2710</v>
      </c>
      <c r="BV2598" s="2" t="s">
        <v>85</v>
      </c>
      <c r="BY2598" s="2">
        <v>1200</v>
      </c>
      <c r="CA2598" s="2" t="s">
        <v>261</v>
      </c>
      <c r="CC2598" s="2" t="s">
        <v>137</v>
      </c>
      <c r="CD2598" s="2">
        <v>6001</v>
      </c>
      <c r="CE2598" s="2" t="s">
        <v>120</v>
      </c>
      <c r="CF2598" s="3">
        <v>43090</v>
      </c>
      <c r="CI2598" s="2">
        <v>1</v>
      </c>
      <c r="CJ2598" s="2">
        <v>1</v>
      </c>
      <c r="CK2598" s="2">
        <v>21</v>
      </c>
      <c r="CL2598" s="2" t="s">
        <v>89</v>
      </c>
    </row>
    <row r="2599" spans="1:90">
      <c r="A2599" s="2" t="s">
        <v>71</v>
      </c>
      <c r="B2599" s="2" t="s">
        <v>72</v>
      </c>
      <c r="C2599" s="2" t="s">
        <v>73</v>
      </c>
      <c r="E2599" s="2" t="str">
        <f>"FES1162596554"</f>
        <v>FES1162596554</v>
      </c>
      <c r="F2599" s="3">
        <v>43087</v>
      </c>
      <c r="G2599" s="2">
        <v>201806</v>
      </c>
      <c r="H2599" s="2" t="s">
        <v>74</v>
      </c>
      <c r="I2599" s="2" t="s">
        <v>75</v>
      </c>
      <c r="J2599" s="2" t="s">
        <v>97</v>
      </c>
      <c r="K2599" s="2" t="s">
        <v>77</v>
      </c>
      <c r="L2599" s="2" t="s">
        <v>145</v>
      </c>
      <c r="M2599" s="2" t="s">
        <v>146</v>
      </c>
      <c r="N2599" s="2" t="s">
        <v>953</v>
      </c>
      <c r="O2599" s="2" t="s">
        <v>101</v>
      </c>
      <c r="P2599" s="2" t="str">
        <f>"2170606194                    "</f>
        <v xml:space="preserve">2170606194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6.43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1</v>
      </c>
      <c r="BJ2599" s="2">
        <v>0.2</v>
      </c>
      <c r="BK2599" s="2">
        <v>1</v>
      </c>
      <c r="BL2599" s="2">
        <v>45.93</v>
      </c>
      <c r="BM2599" s="2">
        <v>6.43</v>
      </c>
      <c r="BN2599" s="2">
        <v>52.36</v>
      </c>
      <c r="BO2599" s="2">
        <v>52.36</v>
      </c>
      <c r="BQ2599" s="2" t="s">
        <v>102</v>
      </c>
      <c r="BR2599" s="2" t="s">
        <v>103</v>
      </c>
      <c r="BS2599" s="3">
        <v>43088</v>
      </c>
      <c r="BT2599" s="4">
        <v>0.41180555555555554</v>
      </c>
      <c r="BU2599" s="2" t="s">
        <v>2711</v>
      </c>
      <c r="BV2599" s="2" t="s">
        <v>85</v>
      </c>
      <c r="BY2599" s="2">
        <v>1200</v>
      </c>
      <c r="CA2599" s="2" t="s">
        <v>629</v>
      </c>
      <c r="CC2599" s="2" t="s">
        <v>146</v>
      </c>
      <c r="CD2599" s="2">
        <v>5201</v>
      </c>
      <c r="CE2599" s="2" t="s">
        <v>120</v>
      </c>
      <c r="CF2599" s="3">
        <v>43089</v>
      </c>
      <c r="CI2599" s="2">
        <v>1</v>
      </c>
      <c r="CJ2599" s="2">
        <v>1</v>
      </c>
      <c r="CK2599" s="2">
        <v>21</v>
      </c>
      <c r="CL2599" s="2" t="s">
        <v>89</v>
      </c>
    </row>
    <row r="2600" spans="1:90">
      <c r="A2600" s="2" t="s">
        <v>71</v>
      </c>
      <c r="B2600" s="2" t="s">
        <v>72</v>
      </c>
      <c r="C2600" s="2" t="s">
        <v>73</v>
      </c>
      <c r="E2600" s="2" t="str">
        <f>"FES1162596598"</f>
        <v>FES1162596598</v>
      </c>
      <c r="F2600" s="3">
        <v>43087</v>
      </c>
      <c r="G2600" s="2">
        <v>201806</v>
      </c>
      <c r="H2600" s="2" t="s">
        <v>74</v>
      </c>
      <c r="I2600" s="2" t="s">
        <v>75</v>
      </c>
      <c r="J2600" s="2" t="s">
        <v>97</v>
      </c>
      <c r="K2600" s="2" t="s">
        <v>77</v>
      </c>
      <c r="L2600" s="2" t="s">
        <v>145</v>
      </c>
      <c r="M2600" s="2" t="s">
        <v>146</v>
      </c>
      <c r="N2600" s="2" t="s">
        <v>953</v>
      </c>
      <c r="O2600" s="2" t="s">
        <v>101</v>
      </c>
      <c r="P2600" s="2" t="str">
        <f>"2170606194                    "</f>
        <v xml:space="preserve">2170606194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6.43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1</v>
      </c>
      <c r="BJ2600" s="2">
        <v>0.2</v>
      </c>
      <c r="BK2600" s="2">
        <v>1</v>
      </c>
      <c r="BL2600" s="2">
        <v>45.93</v>
      </c>
      <c r="BM2600" s="2">
        <v>6.43</v>
      </c>
      <c r="BN2600" s="2">
        <v>52.36</v>
      </c>
      <c r="BO2600" s="2">
        <v>52.36</v>
      </c>
      <c r="BQ2600" s="2" t="s">
        <v>102</v>
      </c>
      <c r="BR2600" s="2" t="s">
        <v>103</v>
      </c>
      <c r="BS2600" s="3">
        <v>43088</v>
      </c>
      <c r="BT2600" s="4">
        <v>0.40972222222222227</v>
      </c>
      <c r="BU2600" s="2" t="s">
        <v>2711</v>
      </c>
      <c r="BV2600" s="2" t="s">
        <v>85</v>
      </c>
      <c r="BY2600" s="2">
        <v>1200</v>
      </c>
      <c r="CA2600" s="2" t="s">
        <v>629</v>
      </c>
      <c r="CC2600" s="2" t="s">
        <v>146</v>
      </c>
      <c r="CD2600" s="2">
        <v>5201</v>
      </c>
      <c r="CE2600" s="2" t="s">
        <v>120</v>
      </c>
      <c r="CF2600" s="3">
        <v>43089</v>
      </c>
      <c r="CI2600" s="2">
        <v>1</v>
      </c>
      <c r="CJ2600" s="2">
        <v>1</v>
      </c>
      <c r="CK2600" s="2">
        <v>21</v>
      </c>
      <c r="CL2600" s="2" t="s">
        <v>89</v>
      </c>
    </row>
    <row r="2601" spans="1:90">
      <c r="A2601" s="2" t="s">
        <v>71</v>
      </c>
      <c r="B2601" s="2" t="s">
        <v>72</v>
      </c>
      <c r="C2601" s="2" t="s">
        <v>73</v>
      </c>
      <c r="E2601" s="2" t="str">
        <f>"FES1162596539"</f>
        <v>FES1162596539</v>
      </c>
      <c r="F2601" s="3">
        <v>43087</v>
      </c>
      <c r="G2601" s="2">
        <v>201806</v>
      </c>
      <c r="H2601" s="2" t="s">
        <v>74</v>
      </c>
      <c r="I2601" s="2" t="s">
        <v>75</v>
      </c>
      <c r="J2601" s="2" t="s">
        <v>97</v>
      </c>
      <c r="K2601" s="2" t="s">
        <v>77</v>
      </c>
      <c r="L2601" s="2" t="s">
        <v>125</v>
      </c>
      <c r="M2601" s="2" t="s">
        <v>126</v>
      </c>
      <c r="N2601" s="2" t="s">
        <v>2712</v>
      </c>
      <c r="O2601" s="2" t="s">
        <v>101</v>
      </c>
      <c r="P2601" s="2" t="str">
        <f>"2170600779                    "</f>
        <v xml:space="preserve">2170600779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6.43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1.9</v>
      </c>
      <c r="BJ2601" s="2">
        <v>1.4</v>
      </c>
      <c r="BK2601" s="2">
        <v>2</v>
      </c>
      <c r="BL2601" s="2">
        <v>45.93</v>
      </c>
      <c r="BM2601" s="2">
        <v>6.43</v>
      </c>
      <c r="BN2601" s="2">
        <v>52.36</v>
      </c>
      <c r="BO2601" s="2">
        <v>52.36</v>
      </c>
      <c r="BQ2601" s="2" t="s">
        <v>2713</v>
      </c>
      <c r="BR2601" s="2" t="s">
        <v>103</v>
      </c>
      <c r="BS2601" s="3">
        <v>43088</v>
      </c>
      <c r="BT2601" s="4">
        <v>0.41666666666666669</v>
      </c>
      <c r="BU2601" s="2" t="s">
        <v>2714</v>
      </c>
      <c r="BV2601" s="2" t="s">
        <v>85</v>
      </c>
      <c r="BY2601" s="2">
        <v>6767.71</v>
      </c>
      <c r="CC2601" s="2" t="s">
        <v>126</v>
      </c>
      <c r="CD2601" s="2">
        <v>4001</v>
      </c>
      <c r="CE2601" s="2" t="s">
        <v>120</v>
      </c>
      <c r="CF2601" s="3">
        <v>43089</v>
      </c>
      <c r="CI2601" s="2">
        <v>1</v>
      </c>
      <c r="CJ2601" s="2">
        <v>1</v>
      </c>
      <c r="CK2601" s="2">
        <v>21</v>
      </c>
      <c r="CL2601" s="2" t="s">
        <v>89</v>
      </c>
    </row>
    <row r="2602" spans="1:90">
      <c r="A2602" s="2" t="s">
        <v>71</v>
      </c>
      <c r="B2602" s="2" t="s">
        <v>72</v>
      </c>
      <c r="C2602" s="2" t="s">
        <v>73</v>
      </c>
      <c r="E2602" s="2" t="str">
        <f>"FES1162596606"</f>
        <v>FES1162596606</v>
      </c>
      <c r="F2602" s="3">
        <v>43087</v>
      </c>
      <c r="G2602" s="2">
        <v>201806</v>
      </c>
      <c r="H2602" s="2" t="s">
        <v>74</v>
      </c>
      <c r="I2602" s="2" t="s">
        <v>75</v>
      </c>
      <c r="J2602" s="2" t="s">
        <v>97</v>
      </c>
      <c r="K2602" s="2" t="s">
        <v>77</v>
      </c>
      <c r="L2602" s="2" t="s">
        <v>136</v>
      </c>
      <c r="M2602" s="2" t="s">
        <v>137</v>
      </c>
      <c r="N2602" s="2" t="s">
        <v>178</v>
      </c>
      <c r="O2602" s="2" t="s">
        <v>101</v>
      </c>
      <c r="P2602" s="2" t="str">
        <f>"2170606985                    "</f>
        <v xml:space="preserve">2170606985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6.43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1</v>
      </c>
      <c r="BJ2602" s="2">
        <v>0.2</v>
      </c>
      <c r="BK2602" s="2">
        <v>1</v>
      </c>
      <c r="BL2602" s="2">
        <v>45.93</v>
      </c>
      <c r="BM2602" s="2">
        <v>6.43</v>
      </c>
      <c r="BN2602" s="2">
        <v>52.36</v>
      </c>
      <c r="BO2602" s="2">
        <v>52.36</v>
      </c>
      <c r="BQ2602" s="2" t="s">
        <v>102</v>
      </c>
      <c r="BR2602" s="2" t="s">
        <v>103</v>
      </c>
      <c r="BS2602" s="3">
        <v>43088</v>
      </c>
      <c r="BT2602" s="4">
        <v>0.31597222222222221</v>
      </c>
      <c r="BU2602" s="2" t="s">
        <v>179</v>
      </c>
      <c r="BV2602" s="2" t="s">
        <v>85</v>
      </c>
      <c r="BY2602" s="2">
        <v>1200</v>
      </c>
      <c r="CA2602" s="2" t="s">
        <v>180</v>
      </c>
      <c r="CC2602" s="2" t="s">
        <v>137</v>
      </c>
      <c r="CD2602" s="2">
        <v>6001</v>
      </c>
      <c r="CE2602" s="2" t="s">
        <v>120</v>
      </c>
      <c r="CF2602" s="3">
        <v>43090</v>
      </c>
      <c r="CI2602" s="2">
        <v>1</v>
      </c>
      <c r="CJ2602" s="2">
        <v>1</v>
      </c>
      <c r="CK2602" s="2">
        <v>21</v>
      </c>
      <c r="CL2602" s="2" t="s">
        <v>89</v>
      </c>
    </row>
    <row r="2603" spans="1:90">
      <c r="A2603" s="2" t="s">
        <v>71</v>
      </c>
      <c r="B2603" s="2" t="s">
        <v>72</v>
      </c>
      <c r="C2603" s="2" t="s">
        <v>73</v>
      </c>
      <c r="E2603" s="2" t="str">
        <f>"FES1162596682"</f>
        <v>FES1162596682</v>
      </c>
      <c r="F2603" s="3">
        <v>43087</v>
      </c>
      <c r="G2603" s="2">
        <v>201806</v>
      </c>
      <c r="H2603" s="2" t="s">
        <v>74</v>
      </c>
      <c r="I2603" s="2" t="s">
        <v>75</v>
      </c>
      <c r="J2603" s="2" t="s">
        <v>97</v>
      </c>
      <c r="K2603" s="2" t="s">
        <v>77</v>
      </c>
      <c r="L2603" s="2" t="s">
        <v>651</v>
      </c>
      <c r="M2603" s="2" t="s">
        <v>652</v>
      </c>
      <c r="N2603" s="2" t="s">
        <v>953</v>
      </c>
      <c r="O2603" s="2" t="s">
        <v>101</v>
      </c>
      <c r="P2603" s="2" t="str">
        <f>"21706080001                   "</f>
        <v xml:space="preserve">21706080001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9.0500000000000007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64.599999999999994</v>
      </c>
      <c r="BM2603" s="2">
        <v>9.0399999999999991</v>
      </c>
      <c r="BN2603" s="2">
        <v>73.64</v>
      </c>
      <c r="BO2603" s="2">
        <v>73.64</v>
      </c>
      <c r="BQ2603" s="2" t="s">
        <v>82</v>
      </c>
      <c r="BR2603" s="2" t="s">
        <v>103</v>
      </c>
      <c r="BS2603" s="2" t="s">
        <v>185</v>
      </c>
      <c r="BY2603" s="2">
        <v>1200</v>
      </c>
      <c r="CC2603" s="2" t="s">
        <v>652</v>
      </c>
      <c r="CD2603" s="2">
        <v>250</v>
      </c>
      <c r="CE2603" s="2" t="s">
        <v>120</v>
      </c>
      <c r="CI2603" s="2">
        <v>1</v>
      </c>
      <c r="CJ2603" s="2" t="s">
        <v>185</v>
      </c>
      <c r="CK2603" s="2">
        <v>24</v>
      </c>
      <c r="CL2603" s="2" t="s">
        <v>89</v>
      </c>
    </row>
    <row r="2604" spans="1:90">
      <c r="A2604" s="2" t="s">
        <v>71</v>
      </c>
      <c r="B2604" s="2" t="s">
        <v>72</v>
      </c>
      <c r="C2604" s="2" t="s">
        <v>73</v>
      </c>
      <c r="E2604" s="2" t="str">
        <f>"FES1162596702"</f>
        <v>FES1162596702</v>
      </c>
      <c r="F2604" s="3">
        <v>43087</v>
      </c>
      <c r="G2604" s="2">
        <v>201806</v>
      </c>
      <c r="H2604" s="2" t="s">
        <v>74</v>
      </c>
      <c r="I2604" s="2" t="s">
        <v>75</v>
      </c>
      <c r="J2604" s="2" t="s">
        <v>97</v>
      </c>
      <c r="K2604" s="2" t="s">
        <v>77</v>
      </c>
      <c r="L2604" s="2" t="s">
        <v>173</v>
      </c>
      <c r="M2604" s="2" t="s">
        <v>174</v>
      </c>
      <c r="N2604" s="2" t="s">
        <v>175</v>
      </c>
      <c r="O2604" s="2" t="s">
        <v>101</v>
      </c>
      <c r="P2604" s="2" t="str">
        <f>"2170608385                    "</f>
        <v xml:space="preserve">2170608385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6.43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45.93</v>
      </c>
      <c r="BM2604" s="2">
        <v>6.43</v>
      </c>
      <c r="BN2604" s="2">
        <v>52.36</v>
      </c>
      <c r="BO2604" s="2">
        <v>52.36</v>
      </c>
      <c r="BQ2604" s="2" t="s">
        <v>102</v>
      </c>
      <c r="BR2604" s="2" t="s">
        <v>103</v>
      </c>
      <c r="BS2604" s="3">
        <v>43088</v>
      </c>
      <c r="BT2604" s="4">
        <v>0.5229166666666667</v>
      </c>
      <c r="BU2604" s="2" t="s">
        <v>176</v>
      </c>
      <c r="BV2604" s="2" t="s">
        <v>89</v>
      </c>
      <c r="BW2604" s="2" t="s">
        <v>313</v>
      </c>
      <c r="BX2604" s="2" t="s">
        <v>368</v>
      </c>
      <c r="BY2604" s="2">
        <v>1200</v>
      </c>
      <c r="CA2604" s="2" t="s">
        <v>177</v>
      </c>
      <c r="CC2604" s="2" t="s">
        <v>174</v>
      </c>
      <c r="CD2604" s="2">
        <v>7405</v>
      </c>
      <c r="CE2604" s="2" t="s">
        <v>120</v>
      </c>
      <c r="CF2604" s="3">
        <v>43089</v>
      </c>
      <c r="CI2604" s="2">
        <v>1</v>
      </c>
      <c r="CJ2604" s="2">
        <v>1</v>
      </c>
      <c r="CK2604" s="2">
        <v>21</v>
      </c>
      <c r="CL2604" s="2" t="s">
        <v>89</v>
      </c>
    </row>
    <row r="2605" spans="1:90">
      <c r="A2605" s="2" t="s">
        <v>71</v>
      </c>
      <c r="B2605" s="2" t="s">
        <v>72</v>
      </c>
      <c r="C2605" s="2" t="s">
        <v>73</v>
      </c>
      <c r="E2605" s="2" t="str">
        <f>"FES1162596569"</f>
        <v>FES1162596569</v>
      </c>
      <c r="F2605" s="3">
        <v>43087</v>
      </c>
      <c r="G2605" s="2">
        <v>201806</v>
      </c>
      <c r="H2605" s="2" t="s">
        <v>74</v>
      </c>
      <c r="I2605" s="2" t="s">
        <v>75</v>
      </c>
      <c r="J2605" s="2" t="s">
        <v>97</v>
      </c>
      <c r="K2605" s="2" t="s">
        <v>77</v>
      </c>
      <c r="L2605" s="2" t="s">
        <v>74</v>
      </c>
      <c r="M2605" s="2" t="s">
        <v>75</v>
      </c>
      <c r="N2605" s="2" t="s">
        <v>596</v>
      </c>
      <c r="O2605" s="2" t="s">
        <v>101</v>
      </c>
      <c r="P2605" s="2" t="str">
        <f>"2170607505                    "</f>
        <v xml:space="preserve">2170607505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5.03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1</v>
      </c>
      <c r="BJ2605" s="2">
        <v>0.2</v>
      </c>
      <c r="BK2605" s="2">
        <v>1</v>
      </c>
      <c r="BL2605" s="2">
        <v>35.89</v>
      </c>
      <c r="BM2605" s="2">
        <v>5.0199999999999996</v>
      </c>
      <c r="BN2605" s="2">
        <v>40.909999999999997</v>
      </c>
      <c r="BO2605" s="2">
        <v>40.909999999999997</v>
      </c>
      <c r="BQ2605" s="2" t="s">
        <v>82</v>
      </c>
      <c r="BR2605" s="2" t="s">
        <v>103</v>
      </c>
      <c r="BS2605" s="3">
        <v>43088</v>
      </c>
      <c r="BT2605" s="4">
        <v>0.4375</v>
      </c>
      <c r="BU2605" s="2" t="s">
        <v>597</v>
      </c>
      <c r="BV2605" s="2" t="s">
        <v>85</v>
      </c>
      <c r="BY2605" s="2">
        <v>1200</v>
      </c>
      <c r="CA2605" s="2" t="s">
        <v>203</v>
      </c>
      <c r="CC2605" s="2" t="s">
        <v>75</v>
      </c>
      <c r="CD2605" s="2">
        <v>1665</v>
      </c>
      <c r="CE2605" s="2" t="s">
        <v>120</v>
      </c>
      <c r="CF2605" s="3">
        <v>43089</v>
      </c>
      <c r="CI2605" s="2">
        <v>1</v>
      </c>
      <c r="CJ2605" s="2">
        <v>1</v>
      </c>
      <c r="CK2605" s="2">
        <v>22</v>
      </c>
      <c r="CL2605" s="2" t="s">
        <v>89</v>
      </c>
    </row>
    <row r="2606" spans="1:90">
      <c r="A2606" s="2" t="s">
        <v>71</v>
      </c>
      <c r="B2606" s="2" t="s">
        <v>72</v>
      </c>
      <c r="C2606" s="2" t="s">
        <v>73</v>
      </c>
      <c r="E2606" s="2" t="str">
        <f>"FES1162596690"</f>
        <v>FES1162596690</v>
      </c>
      <c r="F2606" s="3">
        <v>43087</v>
      </c>
      <c r="G2606" s="2">
        <v>201806</v>
      </c>
      <c r="H2606" s="2" t="s">
        <v>74</v>
      </c>
      <c r="I2606" s="2" t="s">
        <v>75</v>
      </c>
      <c r="J2606" s="2" t="s">
        <v>97</v>
      </c>
      <c r="K2606" s="2" t="s">
        <v>77</v>
      </c>
      <c r="L2606" s="2" t="s">
        <v>125</v>
      </c>
      <c r="M2606" s="2" t="s">
        <v>126</v>
      </c>
      <c r="N2606" s="2" t="s">
        <v>1998</v>
      </c>
      <c r="O2606" s="2" t="s">
        <v>101</v>
      </c>
      <c r="P2606" s="2" t="str">
        <f>"2170608369                    "</f>
        <v xml:space="preserve">2170608369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6.43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45.93</v>
      </c>
      <c r="BM2606" s="2">
        <v>6.43</v>
      </c>
      <c r="BN2606" s="2">
        <v>52.36</v>
      </c>
      <c r="BO2606" s="2">
        <v>52.36</v>
      </c>
      <c r="BQ2606" s="2" t="s">
        <v>82</v>
      </c>
      <c r="BR2606" s="2" t="s">
        <v>103</v>
      </c>
      <c r="BS2606" s="3">
        <v>43088</v>
      </c>
      <c r="BT2606" s="4">
        <v>0.43611111111111112</v>
      </c>
      <c r="BU2606" s="2" t="s">
        <v>1444</v>
      </c>
      <c r="BV2606" s="2" t="s">
        <v>85</v>
      </c>
      <c r="BY2606" s="2">
        <v>1200</v>
      </c>
      <c r="CC2606" s="2" t="s">
        <v>126</v>
      </c>
      <c r="CD2606" s="2">
        <v>4051</v>
      </c>
      <c r="CE2606" s="2" t="s">
        <v>120</v>
      </c>
      <c r="CF2606" s="3">
        <v>43090</v>
      </c>
      <c r="CI2606" s="2">
        <v>1</v>
      </c>
      <c r="CJ2606" s="2">
        <v>1</v>
      </c>
      <c r="CK2606" s="2">
        <v>21</v>
      </c>
      <c r="CL2606" s="2" t="s">
        <v>89</v>
      </c>
    </row>
    <row r="2607" spans="1:90">
      <c r="A2607" s="2" t="s">
        <v>71</v>
      </c>
      <c r="B2607" s="2" t="s">
        <v>72</v>
      </c>
      <c r="C2607" s="2" t="s">
        <v>73</v>
      </c>
      <c r="E2607" s="2" t="str">
        <f>"FES1162596610"</f>
        <v>FES1162596610</v>
      </c>
      <c r="F2607" s="3">
        <v>43087</v>
      </c>
      <c r="G2607" s="2">
        <v>201806</v>
      </c>
      <c r="H2607" s="2" t="s">
        <v>74</v>
      </c>
      <c r="I2607" s="2" t="s">
        <v>75</v>
      </c>
      <c r="J2607" s="2" t="s">
        <v>97</v>
      </c>
      <c r="K2607" s="2" t="s">
        <v>77</v>
      </c>
      <c r="L2607" s="2" t="s">
        <v>145</v>
      </c>
      <c r="M2607" s="2" t="s">
        <v>146</v>
      </c>
      <c r="N2607" s="2" t="s">
        <v>181</v>
      </c>
      <c r="O2607" s="2" t="s">
        <v>101</v>
      </c>
      <c r="P2607" s="2" t="str">
        <f>"2170607152                    "</f>
        <v xml:space="preserve">2170607152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6.43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0.2</v>
      </c>
      <c r="BK2607" s="2">
        <v>1</v>
      </c>
      <c r="BL2607" s="2">
        <v>45.93</v>
      </c>
      <c r="BM2607" s="2">
        <v>6.43</v>
      </c>
      <c r="BN2607" s="2">
        <v>52.36</v>
      </c>
      <c r="BO2607" s="2">
        <v>52.36</v>
      </c>
      <c r="BQ2607" s="2" t="s">
        <v>82</v>
      </c>
      <c r="BR2607" s="2" t="s">
        <v>103</v>
      </c>
      <c r="BS2607" s="3">
        <v>43088</v>
      </c>
      <c r="BT2607" s="4">
        <v>0.3576388888888889</v>
      </c>
      <c r="BU2607" s="2" t="s">
        <v>2715</v>
      </c>
      <c r="BV2607" s="2" t="s">
        <v>85</v>
      </c>
      <c r="BY2607" s="2">
        <v>1200</v>
      </c>
      <c r="CA2607" s="2" t="s">
        <v>629</v>
      </c>
      <c r="CC2607" s="2" t="s">
        <v>146</v>
      </c>
      <c r="CD2607" s="2">
        <v>5201</v>
      </c>
      <c r="CE2607" s="2" t="s">
        <v>120</v>
      </c>
      <c r="CF2607" s="3">
        <v>43089</v>
      </c>
      <c r="CI2607" s="2">
        <v>1</v>
      </c>
      <c r="CJ2607" s="2">
        <v>1</v>
      </c>
      <c r="CK2607" s="2">
        <v>21</v>
      </c>
      <c r="CL2607" s="2" t="s">
        <v>89</v>
      </c>
    </row>
    <row r="2608" spans="1:90">
      <c r="A2608" s="2" t="s">
        <v>71</v>
      </c>
      <c r="B2608" s="2" t="s">
        <v>72</v>
      </c>
      <c r="C2608" s="2" t="s">
        <v>73</v>
      </c>
      <c r="E2608" s="2" t="str">
        <f>"FES1162596675"</f>
        <v>FES1162596675</v>
      </c>
      <c r="F2608" s="3">
        <v>43087</v>
      </c>
      <c r="G2608" s="2">
        <v>201806</v>
      </c>
      <c r="H2608" s="2" t="s">
        <v>74</v>
      </c>
      <c r="I2608" s="2" t="s">
        <v>75</v>
      </c>
      <c r="J2608" s="2" t="s">
        <v>97</v>
      </c>
      <c r="K2608" s="2" t="s">
        <v>77</v>
      </c>
      <c r="L2608" s="2" t="s">
        <v>173</v>
      </c>
      <c r="M2608" s="2" t="s">
        <v>174</v>
      </c>
      <c r="N2608" s="2" t="s">
        <v>1980</v>
      </c>
      <c r="O2608" s="2" t="s">
        <v>101</v>
      </c>
      <c r="P2608" s="2" t="str">
        <f>"2170628347                    "</f>
        <v xml:space="preserve">2170628347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6.43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45.93</v>
      </c>
      <c r="BM2608" s="2">
        <v>6.43</v>
      </c>
      <c r="BN2608" s="2">
        <v>52.36</v>
      </c>
      <c r="BO2608" s="2">
        <v>52.36</v>
      </c>
      <c r="BQ2608" s="2" t="s">
        <v>128</v>
      </c>
      <c r="BR2608" s="2" t="s">
        <v>103</v>
      </c>
      <c r="BS2608" s="3">
        <v>43088</v>
      </c>
      <c r="BT2608" s="4">
        <v>0.3527777777777778</v>
      </c>
      <c r="BU2608" s="2" t="s">
        <v>2716</v>
      </c>
      <c r="BV2608" s="2" t="s">
        <v>85</v>
      </c>
      <c r="BY2608" s="2">
        <v>1200</v>
      </c>
      <c r="CA2608" s="2" t="s">
        <v>1389</v>
      </c>
      <c r="CC2608" s="2" t="s">
        <v>174</v>
      </c>
      <c r="CD2608" s="2">
        <v>7460</v>
      </c>
      <c r="CE2608" s="2" t="s">
        <v>120</v>
      </c>
      <c r="CF2608" s="3">
        <v>43089</v>
      </c>
      <c r="CI2608" s="2">
        <v>1</v>
      </c>
      <c r="CJ2608" s="2">
        <v>1</v>
      </c>
      <c r="CK2608" s="2">
        <v>21</v>
      </c>
      <c r="CL2608" s="2" t="s">
        <v>89</v>
      </c>
    </row>
    <row r="2609" spans="1:90">
      <c r="A2609" s="2" t="s">
        <v>71</v>
      </c>
      <c r="B2609" s="2" t="s">
        <v>72</v>
      </c>
      <c r="C2609" s="2" t="s">
        <v>73</v>
      </c>
      <c r="E2609" s="2" t="str">
        <f>"FES1162596262"</f>
        <v>FES1162596262</v>
      </c>
      <c r="F2609" s="3">
        <v>43087</v>
      </c>
      <c r="G2609" s="2">
        <v>201806</v>
      </c>
      <c r="H2609" s="2" t="s">
        <v>74</v>
      </c>
      <c r="I2609" s="2" t="s">
        <v>75</v>
      </c>
      <c r="J2609" s="2" t="s">
        <v>97</v>
      </c>
      <c r="K2609" s="2" t="s">
        <v>77</v>
      </c>
      <c r="L2609" s="2" t="s">
        <v>566</v>
      </c>
      <c r="M2609" s="2" t="s">
        <v>567</v>
      </c>
      <c r="N2609" s="2" t="s">
        <v>2717</v>
      </c>
      <c r="O2609" s="2" t="s">
        <v>101</v>
      </c>
      <c r="P2609" s="2" t="str">
        <f>"2170608014                    "</f>
        <v xml:space="preserve">2170608014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9.0500000000000007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</v>
      </c>
      <c r="BJ2609" s="2">
        <v>0.2</v>
      </c>
      <c r="BK2609" s="2">
        <v>1</v>
      </c>
      <c r="BL2609" s="2">
        <v>64.599999999999994</v>
      </c>
      <c r="BM2609" s="2">
        <v>9.0399999999999991</v>
      </c>
      <c r="BN2609" s="2">
        <v>73.64</v>
      </c>
      <c r="BO2609" s="2">
        <v>73.64</v>
      </c>
      <c r="BR2609" s="2" t="s">
        <v>103</v>
      </c>
      <c r="BS2609" s="2" t="s">
        <v>185</v>
      </c>
      <c r="BY2609" s="2">
        <v>1200</v>
      </c>
      <c r="CC2609" s="2" t="s">
        <v>567</v>
      </c>
      <c r="CD2609" s="2">
        <v>1753</v>
      </c>
      <c r="CE2609" s="2" t="s">
        <v>120</v>
      </c>
      <c r="CI2609" s="2">
        <v>1</v>
      </c>
      <c r="CJ2609" s="2" t="s">
        <v>185</v>
      </c>
      <c r="CK2609" s="2">
        <v>24</v>
      </c>
      <c r="CL2609" s="2" t="s">
        <v>89</v>
      </c>
    </row>
    <row r="2610" spans="1:90">
      <c r="A2610" s="2" t="s">
        <v>71</v>
      </c>
      <c r="B2610" s="2" t="s">
        <v>72</v>
      </c>
      <c r="C2610" s="2" t="s">
        <v>73</v>
      </c>
      <c r="E2610" s="2" t="str">
        <f>"FES1162596618"</f>
        <v>FES1162596618</v>
      </c>
      <c r="F2610" s="3">
        <v>43087</v>
      </c>
      <c r="G2610" s="2">
        <v>201806</v>
      </c>
      <c r="H2610" s="2" t="s">
        <v>74</v>
      </c>
      <c r="I2610" s="2" t="s">
        <v>75</v>
      </c>
      <c r="J2610" s="2" t="s">
        <v>97</v>
      </c>
      <c r="K2610" s="2" t="s">
        <v>77</v>
      </c>
      <c r="L2610" s="2" t="s">
        <v>131</v>
      </c>
      <c r="M2610" s="2" t="s">
        <v>132</v>
      </c>
      <c r="N2610" s="2" t="s">
        <v>2196</v>
      </c>
      <c r="O2610" s="2" t="s">
        <v>101</v>
      </c>
      <c r="P2610" s="2" t="str">
        <f>"2170608270                    "</f>
        <v xml:space="preserve">2170608270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12.87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2.9</v>
      </c>
      <c r="BJ2610" s="2">
        <v>3.9</v>
      </c>
      <c r="BK2610" s="2">
        <v>4</v>
      </c>
      <c r="BL2610" s="2">
        <v>91.85</v>
      </c>
      <c r="BM2610" s="2">
        <v>12.86</v>
      </c>
      <c r="BN2610" s="2">
        <v>104.71</v>
      </c>
      <c r="BO2610" s="2">
        <v>104.71</v>
      </c>
      <c r="BQ2610" s="2" t="s">
        <v>82</v>
      </c>
      <c r="BR2610" s="2" t="s">
        <v>103</v>
      </c>
      <c r="BS2610" s="3">
        <v>43088</v>
      </c>
      <c r="BT2610" s="4">
        <v>0.4375</v>
      </c>
      <c r="BU2610" s="2" t="s">
        <v>2718</v>
      </c>
      <c r="BV2610" s="2" t="s">
        <v>85</v>
      </c>
      <c r="BY2610" s="2">
        <v>19491.84</v>
      </c>
      <c r="CA2610" s="2" t="s">
        <v>135</v>
      </c>
      <c r="CC2610" s="2" t="s">
        <v>132</v>
      </c>
      <c r="CD2610" s="2">
        <v>4302</v>
      </c>
      <c r="CE2610" s="2" t="s">
        <v>87</v>
      </c>
      <c r="CF2610" s="3">
        <v>43089</v>
      </c>
      <c r="CI2610" s="2">
        <v>1</v>
      </c>
      <c r="CJ2610" s="2">
        <v>1</v>
      </c>
      <c r="CK2610" s="2">
        <v>21</v>
      </c>
      <c r="CL2610" s="2" t="s">
        <v>89</v>
      </c>
    </row>
    <row r="2611" spans="1:90">
      <c r="A2611" s="2" t="s">
        <v>71</v>
      </c>
      <c r="B2611" s="2" t="s">
        <v>72</v>
      </c>
      <c r="C2611" s="2" t="s">
        <v>73</v>
      </c>
      <c r="E2611" s="2" t="str">
        <f>"FES1162596505"</f>
        <v>FES1162596505</v>
      </c>
      <c r="F2611" s="3">
        <v>43087</v>
      </c>
      <c r="G2611" s="2">
        <v>201806</v>
      </c>
      <c r="H2611" s="2" t="s">
        <v>74</v>
      </c>
      <c r="I2611" s="2" t="s">
        <v>75</v>
      </c>
      <c r="J2611" s="2" t="s">
        <v>97</v>
      </c>
      <c r="K2611" s="2" t="s">
        <v>77</v>
      </c>
      <c r="L2611" s="2" t="s">
        <v>74</v>
      </c>
      <c r="M2611" s="2" t="s">
        <v>75</v>
      </c>
      <c r="N2611" s="2" t="s">
        <v>596</v>
      </c>
      <c r="O2611" s="2" t="s">
        <v>101</v>
      </c>
      <c r="P2611" s="2" t="str">
        <f>"2170607505                    "</f>
        <v xml:space="preserve">2170607505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5.03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3</v>
      </c>
      <c r="BJ2611" s="2">
        <v>4</v>
      </c>
      <c r="BK2611" s="2">
        <v>4</v>
      </c>
      <c r="BL2611" s="2">
        <v>35.89</v>
      </c>
      <c r="BM2611" s="2">
        <v>5.0199999999999996</v>
      </c>
      <c r="BN2611" s="2">
        <v>40.909999999999997</v>
      </c>
      <c r="BO2611" s="2">
        <v>40.909999999999997</v>
      </c>
      <c r="BQ2611" s="2" t="s">
        <v>82</v>
      </c>
      <c r="BR2611" s="2" t="s">
        <v>103</v>
      </c>
      <c r="BS2611" s="3">
        <v>43088</v>
      </c>
      <c r="BT2611" s="4">
        <v>0.4375</v>
      </c>
      <c r="BU2611" s="2" t="s">
        <v>597</v>
      </c>
      <c r="BV2611" s="2" t="s">
        <v>85</v>
      </c>
      <c r="BY2611" s="2">
        <v>20202</v>
      </c>
      <c r="CA2611" s="2" t="s">
        <v>203</v>
      </c>
      <c r="CC2611" s="2" t="s">
        <v>75</v>
      </c>
      <c r="CD2611" s="2">
        <v>1665</v>
      </c>
      <c r="CE2611" s="2" t="s">
        <v>87</v>
      </c>
      <c r="CF2611" s="3">
        <v>43089</v>
      </c>
      <c r="CI2611" s="2">
        <v>1</v>
      </c>
      <c r="CJ2611" s="2">
        <v>1</v>
      </c>
      <c r="CK2611" s="2">
        <v>22</v>
      </c>
      <c r="CL2611" s="2" t="s">
        <v>89</v>
      </c>
    </row>
    <row r="2612" spans="1:90">
      <c r="A2612" s="2" t="s">
        <v>71</v>
      </c>
      <c r="B2612" s="2" t="s">
        <v>72</v>
      </c>
      <c r="C2612" s="2" t="s">
        <v>73</v>
      </c>
      <c r="E2612" s="2" t="str">
        <f>"FES1162596246"</f>
        <v>FES1162596246</v>
      </c>
      <c r="F2612" s="3">
        <v>43087</v>
      </c>
      <c r="G2612" s="2">
        <v>201806</v>
      </c>
      <c r="H2612" s="2" t="s">
        <v>74</v>
      </c>
      <c r="I2612" s="2" t="s">
        <v>75</v>
      </c>
      <c r="J2612" s="2" t="s">
        <v>97</v>
      </c>
      <c r="K2612" s="2" t="s">
        <v>77</v>
      </c>
      <c r="L2612" s="2" t="s">
        <v>158</v>
      </c>
      <c r="M2612" s="2" t="s">
        <v>159</v>
      </c>
      <c r="N2612" s="2" t="s">
        <v>564</v>
      </c>
      <c r="O2612" s="2" t="s">
        <v>101</v>
      </c>
      <c r="P2612" s="2" t="str">
        <f>"2170605108                    "</f>
        <v xml:space="preserve">2170605108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6.43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</v>
      </c>
      <c r="BJ2612" s="2">
        <v>0.2</v>
      </c>
      <c r="BK2612" s="2">
        <v>1</v>
      </c>
      <c r="BL2612" s="2">
        <v>45.93</v>
      </c>
      <c r="BM2612" s="2">
        <v>6.43</v>
      </c>
      <c r="BN2612" s="2">
        <v>52.36</v>
      </c>
      <c r="BO2612" s="2">
        <v>52.36</v>
      </c>
      <c r="BQ2612" s="2" t="s">
        <v>128</v>
      </c>
      <c r="BR2612" s="2" t="s">
        <v>103</v>
      </c>
      <c r="BS2612" s="3">
        <v>43088</v>
      </c>
      <c r="BT2612" s="4">
        <v>0.4375</v>
      </c>
      <c r="BU2612" s="2" t="s">
        <v>2719</v>
      </c>
      <c r="BV2612" s="2" t="s">
        <v>85</v>
      </c>
      <c r="BY2612" s="2">
        <v>1200</v>
      </c>
      <c r="CC2612" s="2" t="s">
        <v>159</v>
      </c>
      <c r="CD2612" s="2">
        <v>200</v>
      </c>
      <c r="CE2612" s="2" t="s">
        <v>120</v>
      </c>
      <c r="CF2612" s="3">
        <v>43090</v>
      </c>
      <c r="CI2612" s="2">
        <v>1</v>
      </c>
      <c r="CJ2612" s="2">
        <v>1</v>
      </c>
      <c r="CK2612" s="2">
        <v>21</v>
      </c>
      <c r="CL2612" s="2" t="s">
        <v>89</v>
      </c>
    </row>
    <row r="2613" spans="1:90">
      <c r="A2613" s="2" t="s">
        <v>71</v>
      </c>
      <c r="B2613" s="2" t="s">
        <v>72</v>
      </c>
      <c r="C2613" s="2" t="s">
        <v>73</v>
      </c>
      <c r="E2613" s="2" t="str">
        <f>"FES1162596612"</f>
        <v>FES1162596612</v>
      </c>
      <c r="F2613" s="3">
        <v>43087</v>
      </c>
      <c r="G2613" s="2">
        <v>201806</v>
      </c>
      <c r="H2613" s="2" t="s">
        <v>74</v>
      </c>
      <c r="I2613" s="2" t="s">
        <v>75</v>
      </c>
      <c r="J2613" s="2" t="s">
        <v>97</v>
      </c>
      <c r="K2613" s="2" t="s">
        <v>77</v>
      </c>
      <c r="L2613" s="2" t="s">
        <v>74</v>
      </c>
      <c r="M2613" s="2" t="s">
        <v>75</v>
      </c>
      <c r="N2613" s="2" t="s">
        <v>596</v>
      </c>
      <c r="O2613" s="2" t="s">
        <v>101</v>
      </c>
      <c r="P2613" s="2" t="str">
        <f>"2170607505                    "</f>
        <v xml:space="preserve">2170607505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5.03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</v>
      </c>
      <c r="BJ2613" s="2">
        <v>0.2</v>
      </c>
      <c r="BK2613" s="2">
        <v>1</v>
      </c>
      <c r="BL2613" s="2">
        <v>35.89</v>
      </c>
      <c r="BM2613" s="2">
        <v>5.0199999999999996</v>
      </c>
      <c r="BN2613" s="2">
        <v>40.909999999999997</v>
      </c>
      <c r="BO2613" s="2">
        <v>40.909999999999997</v>
      </c>
      <c r="BQ2613" s="2" t="s">
        <v>82</v>
      </c>
      <c r="BR2613" s="2" t="s">
        <v>103</v>
      </c>
      <c r="BS2613" s="3">
        <v>43088</v>
      </c>
      <c r="BT2613" s="4">
        <v>0.4375</v>
      </c>
      <c r="BU2613" s="2" t="s">
        <v>597</v>
      </c>
      <c r="BV2613" s="2" t="s">
        <v>85</v>
      </c>
      <c r="BY2613" s="2">
        <v>1200</v>
      </c>
      <c r="CA2613" s="2" t="s">
        <v>203</v>
      </c>
      <c r="CC2613" s="2" t="s">
        <v>75</v>
      </c>
      <c r="CD2613" s="2">
        <v>1665</v>
      </c>
      <c r="CE2613" s="2" t="s">
        <v>120</v>
      </c>
      <c r="CF2613" s="3">
        <v>43089</v>
      </c>
      <c r="CI2613" s="2">
        <v>1</v>
      </c>
      <c r="CJ2613" s="2">
        <v>1</v>
      </c>
      <c r="CK2613" s="2">
        <v>22</v>
      </c>
      <c r="CL2613" s="2" t="s">
        <v>89</v>
      </c>
    </row>
    <row r="2614" spans="1:90">
      <c r="A2614" s="2" t="s">
        <v>71</v>
      </c>
      <c r="B2614" s="2" t="s">
        <v>72</v>
      </c>
      <c r="C2614" s="2" t="s">
        <v>73</v>
      </c>
      <c r="E2614" s="2" t="str">
        <f>"FES1162596500"</f>
        <v>FES1162596500</v>
      </c>
      <c r="F2614" s="3">
        <v>43087</v>
      </c>
      <c r="G2614" s="2">
        <v>201806</v>
      </c>
      <c r="H2614" s="2" t="s">
        <v>74</v>
      </c>
      <c r="I2614" s="2" t="s">
        <v>75</v>
      </c>
      <c r="J2614" s="2" t="s">
        <v>97</v>
      </c>
      <c r="K2614" s="2" t="s">
        <v>77</v>
      </c>
      <c r="L2614" s="2" t="s">
        <v>189</v>
      </c>
      <c r="M2614" s="2" t="s">
        <v>190</v>
      </c>
      <c r="N2614" s="2" t="s">
        <v>959</v>
      </c>
      <c r="O2614" s="2" t="s">
        <v>101</v>
      </c>
      <c r="P2614" s="2" t="str">
        <f>"2170606648                    "</f>
        <v xml:space="preserve">2170606648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6.43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1</v>
      </c>
      <c r="BJ2614" s="2">
        <v>0.2</v>
      </c>
      <c r="BK2614" s="2">
        <v>1</v>
      </c>
      <c r="BL2614" s="2">
        <v>45.93</v>
      </c>
      <c r="BM2614" s="2">
        <v>6.43</v>
      </c>
      <c r="BN2614" s="2">
        <v>52.36</v>
      </c>
      <c r="BO2614" s="2">
        <v>52.36</v>
      </c>
      <c r="BQ2614" s="2" t="s">
        <v>229</v>
      </c>
      <c r="BR2614" s="2" t="s">
        <v>103</v>
      </c>
      <c r="BS2614" s="2" t="s">
        <v>185</v>
      </c>
      <c r="BY2614" s="2">
        <v>1200</v>
      </c>
      <c r="CC2614" s="2" t="s">
        <v>190</v>
      </c>
      <c r="CD2614" s="2">
        <v>157</v>
      </c>
      <c r="CE2614" s="2" t="s">
        <v>120</v>
      </c>
      <c r="CI2614" s="2">
        <v>1</v>
      </c>
      <c r="CJ2614" s="2" t="s">
        <v>185</v>
      </c>
      <c r="CK2614" s="2">
        <v>21</v>
      </c>
      <c r="CL2614" s="2" t="s">
        <v>89</v>
      </c>
    </row>
    <row r="2615" spans="1:90">
      <c r="A2615" s="2" t="s">
        <v>71</v>
      </c>
      <c r="B2615" s="2" t="s">
        <v>72</v>
      </c>
      <c r="C2615" s="2" t="s">
        <v>73</v>
      </c>
      <c r="E2615" s="2" t="str">
        <f>"FES1162596604"</f>
        <v>FES1162596604</v>
      </c>
      <c r="F2615" s="3">
        <v>43087</v>
      </c>
      <c r="G2615" s="2">
        <v>201806</v>
      </c>
      <c r="H2615" s="2" t="s">
        <v>74</v>
      </c>
      <c r="I2615" s="2" t="s">
        <v>75</v>
      </c>
      <c r="J2615" s="2" t="s">
        <v>97</v>
      </c>
      <c r="K2615" s="2" t="s">
        <v>77</v>
      </c>
      <c r="L2615" s="2" t="s">
        <v>136</v>
      </c>
      <c r="M2615" s="2" t="s">
        <v>137</v>
      </c>
      <c r="N2615" s="2" t="s">
        <v>178</v>
      </c>
      <c r="O2615" s="2" t="s">
        <v>101</v>
      </c>
      <c r="P2615" s="2" t="str">
        <f>"2170606823                    "</f>
        <v xml:space="preserve">2170606823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6.43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1</v>
      </c>
      <c r="BJ2615" s="2">
        <v>0.2</v>
      </c>
      <c r="BK2615" s="2">
        <v>1</v>
      </c>
      <c r="BL2615" s="2">
        <v>45.93</v>
      </c>
      <c r="BM2615" s="2">
        <v>6.43</v>
      </c>
      <c r="BN2615" s="2">
        <v>52.36</v>
      </c>
      <c r="BO2615" s="2">
        <v>52.36</v>
      </c>
      <c r="BQ2615" s="2" t="s">
        <v>102</v>
      </c>
      <c r="BR2615" s="2" t="s">
        <v>103</v>
      </c>
      <c r="BS2615" s="3">
        <v>43088</v>
      </c>
      <c r="BT2615" s="4">
        <v>0.31597222222222221</v>
      </c>
      <c r="BU2615" s="2" t="s">
        <v>2720</v>
      </c>
      <c r="BV2615" s="2" t="s">
        <v>85</v>
      </c>
      <c r="BY2615" s="2">
        <v>1200</v>
      </c>
      <c r="CA2615" s="2" t="s">
        <v>180</v>
      </c>
      <c r="CC2615" s="2" t="s">
        <v>137</v>
      </c>
      <c r="CD2615" s="2">
        <v>6001</v>
      </c>
      <c r="CE2615" s="2" t="s">
        <v>120</v>
      </c>
      <c r="CF2615" s="3">
        <v>43090</v>
      </c>
      <c r="CI2615" s="2">
        <v>1</v>
      </c>
      <c r="CJ2615" s="2">
        <v>1</v>
      </c>
      <c r="CK2615" s="2">
        <v>21</v>
      </c>
      <c r="CL2615" s="2" t="s">
        <v>89</v>
      </c>
    </row>
    <row r="2616" spans="1:90">
      <c r="A2616" s="2" t="s">
        <v>71</v>
      </c>
      <c r="B2616" s="2" t="s">
        <v>72</v>
      </c>
      <c r="C2616" s="2" t="s">
        <v>73</v>
      </c>
      <c r="E2616" s="2" t="str">
        <f>"FES1162596588"</f>
        <v>FES1162596588</v>
      </c>
      <c r="F2616" s="3">
        <v>43087</v>
      </c>
      <c r="G2616" s="2">
        <v>201806</v>
      </c>
      <c r="H2616" s="2" t="s">
        <v>74</v>
      </c>
      <c r="I2616" s="2" t="s">
        <v>75</v>
      </c>
      <c r="J2616" s="2" t="s">
        <v>97</v>
      </c>
      <c r="K2616" s="2" t="s">
        <v>77</v>
      </c>
      <c r="L2616" s="2" t="s">
        <v>136</v>
      </c>
      <c r="M2616" s="2" t="s">
        <v>137</v>
      </c>
      <c r="N2616" s="2" t="s">
        <v>1385</v>
      </c>
      <c r="O2616" s="2" t="s">
        <v>101</v>
      </c>
      <c r="P2616" s="2" t="str">
        <f>"2170605536                    "</f>
        <v xml:space="preserve">2170605536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12.87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3.9</v>
      </c>
      <c r="BJ2616" s="2">
        <v>1.8</v>
      </c>
      <c r="BK2616" s="2">
        <v>4</v>
      </c>
      <c r="BL2616" s="2">
        <v>91.85</v>
      </c>
      <c r="BM2616" s="2">
        <v>12.86</v>
      </c>
      <c r="BN2616" s="2">
        <v>104.71</v>
      </c>
      <c r="BO2616" s="2">
        <v>104.71</v>
      </c>
      <c r="BQ2616" s="2" t="s">
        <v>1386</v>
      </c>
      <c r="BR2616" s="2" t="s">
        <v>103</v>
      </c>
      <c r="BS2616" s="2" t="s">
        <v>185</v>
      </c>
      <c r="BY2616" s="2">
        <v>8913.49</v>
      </c>
      <c r="CC2616" s="2" t="s">
        <v>137</v>
      </c>
      <c r="CD2616" s="2">
        <v>6001</v>
      </c>
      <c r="CE2616" s="2" t="s">
        <v>95</v>
      </c>
      <c r="CI2616" s="2">
        <v>1</v>
      </c>
      <c r="CJ2616" s="2" t="s">
        <v>185</v>
      </c>
      <c r="CK2616" s="2">
        <v>21</v>
      </c>
      <c r="CL2616" s="2" t="s">
        <v>89</v>
      </c>
    </row>
    <row r="2617" spans="1:90">
      <c r="A2617" s="2" t="s">
        <v>71</v>
      </c>
      <c r="B2617" s="2" t="s">
        <v>72</v>
      </c>
      <c r="C2617" s="2" t="s">
        <v>73</v>
      </c>
      <c r="E2617" s="2" t="str">
        <f>"FES1162596517"</f>
        <v>FES1162596517</v>
      </c>
      <c r="F2617" s="3">
        <v>43087</v>
      </c>
      <c r="G2617" s="2">
        <v>201806</v>
      </c>
      <c r="H2617" s="2" t="s">
        <v>74</v>
      </c>
      <c r="I2617" s="2" t="s">
        <v>75</v>
      </c>
      <c r="J2617" s="2" t="s">
        <v>97</v>
      </c>
      <c r="K2617" s="2" t="s">
        <v>77</v>
      </c>
      <c r="L2617" s="2" t="s">
        <v>158</v>
      </c>
      <c r="M2617" s="2" t="s">
        <v>159</v>
      </c>
      <c r="N2617" s="2" t="s">
        <v>186</v>
      </c>
      <c r="O2617" s="2" t="s">
        <v>101</v>
      </c>
      <c r="P2617" s="2" t="str">
        <f>"217060739                     "</f>
        <v xml:space="preserve">217060739 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6.43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</v>
      </c>
      <c r="BJ2617" s="2">
        <v>0.2</v>
      </c>
      <c r="BK2617" s="2">
        <v>1</v>
      </c>
      <c r="BL2617" s="2">
        <v>45.93</v>
      </c>
      <c r="BM2617" s="2">
        <v>6.43</v>
      </c>
      <c r="BN2617" s="2">
        <v>52.36</v>
      </c>
      <c r="BO2617" s="2">
        <v>52.36</v>
      </c>
      <c r="BQ2617" s="2" t="s">
        <v>187</v>
      </c>
      <c r="BR2617" s="2" t="s">
        <v>103</v>
      </c>
      <c r="BS2617" s="3">
        <v>43088</v>
      </c>
      <c r="BT2617" s="4">
        <v>0</v>
      </c>
      <c r="BU2617" s="2" t="s">
        <v>2721</v>
      </c>
      <c r="BV2617" s="2" t="s">
        <v>85</v>
      </c>
      <c r="BY2617" s="2">
        <v>1200</v>
      </c>
      <c r="CC2617" s="2" t="s">
        <v>159</v>
      </c>
      <c r="CD2617" s="2">
        <v>159</v>
      </c>
      <c r="CE2617" s="2" t="s">
        <v>120</v>
      </c>
      <c r="CF2617" s="3">
        <v>43090</v>
      </c>
      <c r="CI2617" s="2">
        <v>1</v>
      </c>
      <c r="CJ2617" s="2">
        <v>1</v>
      </c>
      <c r="CK2617" s="2">
        <v>21</v>
      </c>
      <c r="CL2617" s="2" t="s">
        <v>89</v>
      </c>
    </row>
    <row r="2618" spans="1:90">
      <c r="A2618" s="2" t="s">
        <v>71</v>
      </c>
      <c r="B2618" s="2" t="s">
        <v>72</v>
      </c>
      <c r="C2618" s="2" t="s">
        <v>73</v>
      </c>
      <c r="E2618" s="2" t="str">
        <f>"FES1162596685"</f>
        <v>FES1162596685</v>
      </c>
      <c r="F2618" s="3">
        <v>43087</v>
      </c>
      <c r="G2618" s="2">
        <v>201806</v>
      </c>
      <c r="H2618" s="2" t="s">
        <v>74</v>
      </c>
      <c r="I2618" s="2" t="s">
        <v>75</v>
      </c>
      <c r="J2618" s="2" t="s">
        <v>97</v>
      </c>
      <c r="K2618" s="2" t="s">
        <v>77</v>
      </c>
      <c r="L2618" s="2" t="s">
        <v>212</v>
      </c>
      <c r="M2618" s="2" t="s">
        <v>212</v>
      </c>
      <c r="N2618" s="2" t="s">
        <v>1016</v>
      </c>
      <c r="O2618" s="2" t="s">
        <v>101</v>
      </c>
      <c r="P2618" s="2" t="str">
        <f>"2170608363                    "</f>
        <v xml:space="preserve">2170608363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6.43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</v>
      </c>
      <c r="BJ2618" s="2">
        <v>1</v>
      </c>
      <c r="BK2618" s="2">
        <v>1</v>
      </c>
      <c r="BL2618" s="2">
        <v>45.93</v>
      </c>
      <c r="BM2618" s="2">
        <v>6.43</v>
      </c>
      <c r="BN2618" s="2">
        <v>52.36</v>
      </c>
      <c r="BO2618" s="2">
        <v>52.36</v>
      </c>
      <c r="BQ2618" s="2" t="s">
        <v>128</v>
      </c>
      <c r="BR2618" s="2" t="s">
        <v>103</v>
      </c>
      <c r="BS2618" s="2" t="s">
        <v>185</v>
      </c>
      <c r="BY2618" s="2">
        <v>4751.82</v>
      </c>
      <c r="CC2618" s="2" t="s">
        <v>212</v>
      </c>
      <c r="CD2618" s="2">
        <v>7620</v>
      </c>
      <c r="CE2618" s="2" t="s">
        <v>87</v>
      </c>
      <c r="CI2618" s="2">
        <v>1</v>
      </c>
      <c r="CJ2618" s="2" t="s">
        <v>185</v>
      </c>
      <c r="CK2618" s="2">
        <v>21</v>
      </c>
      <c r="CL2618" s="2" t="s">
        <v>89</v>
      </c>
    </row>
    <row r="2619" spans="1:90">
      <c r="A2619" s="2" t="s">
        <v>71</v>
      </c>
      <c r="B2619" s="2" t="s">
        <v>72</v>
      </c>
      <c r="C2619" s="2" t="s">
        <v>73</v>
      </c>
      <c r="E2619" s="2" t="str">
        <f>"FES1162596640"</f>
        <v>FES1162596640</v>
      </c>
      <c r="F2619" s="3">
        <v>43087</v>
      </c>
      <c r="G2619" s="2">
        <v>201806</v>
      </c>
      <c r="H2619" s="2" t="s">
        <v>74</v>
      </c>
      <c r="I2619" s="2" t="s">
        <v>75</v>
      </c>
      <c r="J2619" s="2" t="s">
        <v>97</v>
      </c>
      <c r="K2619" s="2" t="s">
        <v>77</v>
      </c>
      <c r="L2619" s="2" t="s">
        <v>136</v>
      </c>
      <c r="M2619" s="2" t="s">
        <v>137</v>
      </c>
      <c r="N2619" s="2" t="s">
        <v>258</v>
      </c>
      <c r="O2619" s="2" t="s">
        <v>101</v>
      </c>
      <c r="P2619" s="2" t="str">
        <f>"2170607874                    "</f>
        <v xml:space="preserve">2170607874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19.3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5.6</v>
      </c>
      <c r="BJ2619" s="2">
        <v>3.7</v>
      </c>
      <c r="BK2619" s="2">
        <v>6</v>
      </c>
      <c r="BL2619" s="2">
        <v>137.76</v>
      </c>
      <c r="BM2619" s="2">
        <v>19.29</v>
      </c>
      <c r="BN2619" s="2">
        <v>157.05000000000001</v>
      </c>
      <c r="BO2619" s="2">
        <v>157.05000000000001</v>
      </c>
      <c r="BQ2619" s="2" t="s">
        <v>102</v>
      </c>
      <c r="BR2619" s="2" t="s">
        <v>103</v>
      </c>
      <c r="BS2619" s="3">
        <v>43088</v>
      </c>
      <c r="BT2619" s="4">
        <v>0.39583333333333331</v>
      </c>
      <c r="BU2619" s="2" t="s">
        <v>2583</v>
      </c>
      <c r="BV2619" s="2" t="s">
        <v>85</v>
      </c>
      <c r="BY2619" s="2">
        <v>18543.53</v>
      </c>
      <c r="CC2619" s="2" t="s">
        <v>137</v>
      </c>
      <c r="CD2619" s="2">
        <v>6001</v>
      </c>
      <c r="CE2619" s="2" t="s">
        <v>95</v>
      </c>
      <c r="CF2619" s="3">
        <v>43090</v>
      </c>
      <c r="CI2619" s="2">
        <v>1</v>
      </c>
      <c r="CJ2619" s="2">
        <v>1</v>
      </c>
      <c r="CK2619" s="2">
        <v>21</v>
      </c>
      <c r="CL2619" s="2" t="s">
        <v>89</v>
      </c>
    </row>
    <row r="2620" spans="1:90">
      <c r="A2620" s="2" t="s">
        <v>71</v>
      </c>
      <c r="B2620" s="2" t="s">
        <v>72</v>
      </c>
      <c r="C2620" s="2" t="s">
        <v>73</v>
      </c>
      <c r="E2620" s="2" t="str">
        <f>"FES1162596469"</f>
        <v>FES1162596469</v>
      </c>
      <c r="F2620" s="3">
        <v>43087</v>
      </c>
      <c r="G2620" s="2">
        <v>201806</v>
      </c>
      <c r="H2620" s="2" t="s">
        <v>74</v>
      </c>
      <c r="I2620" s="2" t="s">
        <v>75</v>
      </c>
      <c r="J2620" s="2" t="s">
        <v>97</v>
      </c>
      <c r="K2620" s="2" t="s">
        <v>77</v>
      </c>
      <c r="L2620" s="2" t="s">
        <v>74</v>
      </c>
      <c r="M2620" s="2" t="s">
        <v>75</v>
      </c>
      <c r="N2620" s="2" t="s">
        <v>688</v>
      </c>
      <c r="O2620" s="2" t="s">
        <v>101</v>
      </c>
      <c r="P2620" s="2" t="str">
        <f>"2170607661                    "</f>
        <v xml:space="preserve">2170607661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5.03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5.4</v>
      </c>
      <c r="BJ2620" s="2">
        <v>3.3</v>
      </c>
      <c r="BK2620" s="2">
        <v>6</v>
      </c>
      <c r="BL2620" s="2">
        <v>35.89</v>
      </c>
      <c r="BM2620" s="2">
        <v>5.0199999999999996</v>
      </c>
      <c r="BN2620" s="2">
        <v>40.909999999999997</v>
      </c>
      <c r="BO2620" s="2">
        <v>40.909999999999997</v>
      </c>
      <c r="BQ2620" s="2" t="s">
        <v>82</v>
      </c>
      <c r="BR2620" s="2" t="s">
        <v>103</v>
      </c>
      <c r="BS2620" s="3">
        <v>43088</v>
      </c>
      <c r="BT2620" s="4">
        <v>0.4375</v>
      </c>
      <c r="BU2620" s="2" t="s">
        <v>2722</v>
      </c>
      <c r="BV2620" s="2" t="s">
        <v>85</v>
      </c>
      <c r="BY2620" s="2">
        <v>16707.669999999998</v>
      </c>
      <c r="CA2620" s="2" t="s">
        <v>203</v>
      </c>
      <c r="CC2620" s="2" t="s">
        <v>75</v>
      </c>
      <c r="CD2620" s="2">
        <v>1666</v>
      </c>
      <c r="CE2620" s="2" t="s">
        <v>95</v>
      </c>
      <c r="CF2620" s="3">
        <v>43089</v>
      </c>
      <c r="CI2620" s="2">
        <v>1</v>
      </c>
      <c r="CJ2620" s="2">
        <v>1</v>
      </c>
      <c r="CK2620" s="2">
        <v>22</v>
      </c>
      <c r="CL2620" s="2" t="s">
        <v>89</v>
      </c>
    </row>
    <row r="2621" spans="1:90">
      <c r="A2621" s="2" t="s">
        <v>71</v>
      </c>
      <c r="B2621" s="2" t="s">
        <v>72</v>
      </c>
      <c r="C2621" s="2" t="s">
        <v>73</v>
      </c>
      <c r="E2621" s="2" t="str">
        <f>"FES1162596299"</f>
        <v>FES1162596299</v>
      </c>
      <c r="F2621" s="3">
        <v>43087</v>
      </c>
      <c r="G2621" s="2">
        <v>201806</v>
      </c>
      <c r="H2621" s="2" t="s">
        <v>74</v>
      </c>
      <c r="I2621" s="2" t="s">
        <v>75</v>
      </c>
      <c r="J2621" s="2" t="s">
        <v>97</v>
      </c>
      <c r="K2621" s="2" t="s">
        <v>77</v>
      </c>
      <c r="L2621" s="2" t="s">
        <v>74</v>
      </c>
      <c r="M2621" s="2" t="s">
        <v>75</v>
      </c>
      <c r="N2621" s="2" t="s">
        <v>688</v>
      </c>
      <c r="O2621" s="2" t="s">
        <v>101</v>
      </c>
      <c r="P2621" s="2" t="str">
        <f>"2170607661                    "</f>
        <v xml:space="preserve">2170607661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6.84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10.1</v>
      </c>
      <c r="BJ2621" s="2">
        <v>3.3</v>
      </c>
      <c r="BK2621" s="2">
        <v>11</v>
      </c>
      <c r="BL2621" s="2">
        <v>48.8</v>
      </c>
      <c r="BM2621" s="2">
        <v>6.83</v>
      </c>
      <c r="BN2621" s="2">
        <v>55.63</v>
      </c>
      <c r="BO2621" s="2">
        <v>55.63</v>
      </c>
      <c r="BQ2621" s="2" t="s">
        <v>82</v>
      </c>
      <c r="BR2621" s="2" t="s">
        <v>103</v>
      </c>
      <c r="BS2621" s="3">
        <v>43088</v>
      </c>
      <c r="BT2621" s="4">
        <v>0.4375</v>
      </c>
      <c r="BU2621" s="2" t="s">
        <v>2722</v>
      </c>
      <c r="BV2621" s="2" t="s">
        <v>85</v>
      </c>
      <c r="BY2621" s="2">
        <v>16314.62</v>
      </c>
      <c r="CA2621" s="2" t="s">
        <v>203</v>
      </c>
      <c r="CC2621" s="2" t="s">
        <v>75</v>
      </c>
      <c r="CD2621" s="2">
        <v>1666</v>
      </c>
      <c r="CE2621" s="2" t="s">
        <v>95</v>
      </c>
      <c r="CF2621" s="3">
        <v>43089</v>
      </c>
      <c r="CI2621" s="2">
        <v>1</v>
      </c>
      <c r="CJ2621" s="2">
        <v>1</v>
      </c>
      <c r="CK2621" s="2">
        <v>22</v>
      </c>
      <c r="CL2621" s="2" t="s">
        <v>89</v>
      </c>
    </row>
    <row r="2622" spans="1:90">
      <c r="A2622" s="2" t="s">
        <v>71</v>
      </c>
      <c r="B2622" s="2" t="s">
        <v>72</v>
      </c>
      <c r="C2622" s="2" t="s">
        <v>73</v>
      </c>
      <c r="E2622" s="2" t="str">
        <f>"FES1162596694"</f>
        <v>FES1162596694</v>
      </c>
      <c r="F2622" s="3">
        <v>43087</v>
      </c>
      <c r="G2622" s="2">
        <v>201806</v>
      </c>
      <c r="H2622" s="2" t="s">
        <v>74</v>
      </c>
      <c r="I2622" s="2" t="s">
        <v>75</v>
      </c>
      <c r="J2622" s="2" t="s">
        <v>97</v>
      </c>
      <c r="K2622" s="2" t="s">
        <v>77</v>
      </c>
      <c r="L2622" s="2" t="s">
        <v>125</v>
      </c>
      <c r="M2622" s="2" t="s">
        <v>126</v>
      </c>
      <c r="N2622" s="2" t="s">
        <v>856</v>
      </c>
      <c r="O2622" s="2" t="s">
        <v>101</v>
      </c>
      <c r="P2622" s="2" t="str">
        <f>"2170608373                    "</f>
        <v xml:space="preserve">2170608373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6.43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0.2</v>
      </c>
      <c r="BK2622" s="2">
        <v>1</v>
      </c>
      <c r="BL2622" s="2">
        <v>45.93</v>
      </c>
      <c r="BM2622" s="2">
        <v>6.43</v>
      </c>
      <c r="BN2622" s="2">
        <v>52.36</v>
      </c>
      <c r="BO2622" s="2">
        <v>52.36</v>
      </c>
      <c r="BQ2622" s="2" t="s">
        <v>82</v>
      </c>
      <c r="BR2622" s="2" t="s">
        <v>103</v>
      </c>
      <c r="BS2622" s="3">
        <v>43088</v>
      </c>
      <c r="BT2622" s="4">
        <v>0.40902777777777777</v>
      </c>
      <c r="BU2622" s="2" t="s">
        <v>821</v>
      </c>
      <c r="BV2622" s="2" t="s">
        <v>85</v>
      </c>
      <c r="BY2622" s="2">
        <v>1200</v>
      </c>
      <c r="CA2622" s="2" t="s">
        <v>135</v>
      </c>
      <c r="CC2622" s="2" t="s">
        <v>126</v>
      </c>
      <c r="CD2622" s="2">
        <v>4068</v>
      </c>
      <c r="CE2622" s="2" t="s">
        <v>120</v>
      </c>
      <c r="CF2622" s="3">
        <v>43089</v>
      </c>
      <c r="CI2622" s="2">
        <v>1</v>
      </c>
      <c r="CJ2622" s="2">
        <v>1</v>
      </c>
      <c r="CK2622" s="2">
        <v>21</v>
      </c>
      <c r="CL2622" s="2" t="s">
        <v>89</v>
      </c>
    </row>
    <row r="2623" spans="1:90">
      <c r="A2623" s="2" t="s">
        <v>71</v>
      </c>
      <c r="B2623" s="2" t="s">
        <v>72</v>
      </c>
      <c r="C2623" s="2" t="s">
        <v>73</v>
      </c>
      <c r="E2623" s="2" t="str">
        <f>"FES1162596701"</f>
        <v>FES1162596701</v>
      </c>
      <c r="F2623" s="3">
        <v>43087</v>
      </c>
      <c r="G2623" s="2">
        <v>201806</v>
      </c>
      <c r="H2623" s="2" t="s">
        <v>74</v>
      </c>
      <c r="I2623" s="2" t="s">
        <v>75</v>
      </c>
      <c r="J2623" s="2" t="s">
        <v>97</v>
      </c>
      <c r="K2623" s="2" t="s">
        <v>77</v>
      </c>
      <c r="L2623" s="2" t="s">
        <v>173</v>
      </c>
      <c r="M2623" s="2" t="s">
        <v>174</v>
      </c>
      <c r="N2623" s="2" t="s">
        <v>2723</v>
      </c>
      <c r="O2623" s="2" t="s">
        <v>101</v>
      </c>
      <c r="P2623" s="2" t="str">
        <f>"2170608382                    "</f>
        <v xml:space="preserve">2170608382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6.43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</v>
      </c>
      <c r="BJ2623" s="2">
        <v>0.2</v>
      </c>
      <c r="BK2623" s="2">
        <v>1</v>
      </c>
      <c r="BL2623" s="2">
        <v>45.93</v>
      </c>
      <c r="BM2623" s="2">
        <v>6.43</v>
      </c>
      <c r="BN2623" s="2">
        <v>52.36</v>
      </c>
      <c r="BO2623" s="2">
        <v>52.36</v>
      </c>
      <c r="BQ2623" s="2" t="s">
        <v>82</v>
      </c>
      <c r="BR2623" s="2" t="s">
        <v>103</v>
      </c>
      <c r="BS2623" s="3">
        <v>43088</v>
      </c>
      <c r="BT2623" s="4">
        <v>0.55555555555555558</v>
      </c>
      <c r="BU2623" s="2" t="s">
        <v>1877</v>
      </c>
      <c r="BV2623" s="2" t="s">
        <v>89</v>
      </c>
      <c r="BW2623" s="2" t="s">
        <v>313</v>
      </c>
      <c r="BX2623" s="2" t="s">
        <v>246</v>
      </c>
      <c r="BY2623" s="2">
        <v>1200</v>
      </c>
      <c r="CA2623" s="2" t="s">
        <v>360</v>
      </c>
      <c r="CC2623" s="2" t="s">
        <v>174</v>
      </c>
      <c r="CD2623" s="2">
        <v>7405</v>
      </c>
      <c r="CE2623" s="2" t="s">
        <v>120</v>
      </c>
      <c r="CF2623" s="3">
        <v>43089</v>
      </c>
      <c r="CI2623" s="2">
        <v>1</v>
      </c>
      <c r="CJ2623" s="2">
        <v>1</v>
      </c>
      <c r="CK2623" s="2">
        <v>21</v>
      </c>
      <c r="CL2623" s="2" t="s">
        <v>89</v>
      </c>
    </row>
    <row r="2624" spans="1:90">
      <c r="A2624" s="2" t="s">
        <v>71</v>
      </c>
      <c r="B2624" s="2" t="s">
        <v>72</v>
      </c>
      <c r="C2624" s="2" t="s">
        <v>73</v>
      </c>
      <c r="E2624" s="2" t="str">
        <f>"FES1162596657"</f>
        <v>FES1162596657</v>
      </c>
      <c r="F2624" s="3">
        <v>43087</v>
      </c>
      <c r="G2624" s="2">
        <v>201806</v>
      </c>
      <c r="H2624" s="2" t="s">
        <v>74</v>
      </c>
      <c r="I2624" s="2" t="s">
        <v>75</v>
      </c>
      <c r="J2624" s="2" t="s">
        <v>97</v>
      </c>
      <c r="K2624" s="2" t="s">
        <v>77</v>
      </c>
      <c r="L2624" s="2" t="s">
        <v>158</v>
      </c>
      <c r="M2624" s="2" t="s">
        <v>159</v>
      </c>
      <c r="N2624" s="2" t="s">
        <v>963</v>
      </c>
      <c r="O2624" s="2" t="s">
        <v>101</v>
      </c>
      <c r="P2624" s="2" t="str">
        <f>"2170608326                    "</f>
        <v xml:space="preserve">2170608326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6.43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45.93</v>
      </c>
      <c r="BM2624" s="2">
        <v>6.43</v>
      </c>
      <c r="BN2624" s="2">
        <v>52.36</v>
      </c>
      <c r="BO2624" s="2">
        <v>52.36</v>
      </c>
      <c r="BQ2624" s="2" t="s">
        <v>82</v>
      </c>
      <c r="BR2624" s="2" t="s">
        <v>103</v>
      </c>
      <c r="BS2624" s="3">
        <v>43088</v>
      </c>
      <c r="BT2624" s="4">
        <v>0.64236111111111105</v>
      </c>
      <c r="BU2624" s="2" t="s">
        <v>2074</v>
      </c>
      <c r="BV2624" s="2" t="s">
        <v>89</v>
      </c>
      <c r="BW2624" s="2" t="s">
        <v>156</v>
      </c>
      <c r="BX2624" s="2" t="s">
        <v>668</v>
      </c>
      <c r="BY2624" s="2">
        <v>1200</v>
      </c>
      <c r="CC2624" s="2" t="s">
        <v>159</v>
      </c>
      <c r="CD2624" s="2">
        <v>1</v>
      </c>
      <c r="CE2624" s="2" t="s">
        <v>120</v>
      </c>
      <c r="CF2624" s="3">
        <v>43090</v>
      </c>
      <c r="CI2624" s="2">
        <v>1</v>
      </c>
      <c r="CJ2624" s="2">
        <v>1</v>
      </c>
      <c r="CK2624" s="2">
        <v>21</v>
      </c>
      <c r="CL2624" s="2" t="s">
        <v>89</v>
      </c>
    </row>
    <row r="2625" spans="1:90">
      <c r="A2625" s="2" t="s">
        <v>71</v>
      </c>
      <c r="B2625" s="2" t="s">
        <v>72</v>
      </c>
      <c r="C2625" s="2" t="s">
        <v>73</v>
      </c>
      <c r="E2625" s="2" t="str">
        <f>"FES1162596689"</f>
        <v>FES1162596689</v>
      </c>
      <c r="F2625" s="3">
        <v>43087</v>
      </c>
      <c r="G2625" s="2">
        <v>201806</v>
      </c>
      <c r="H2625" s="2" t="s">
        <v>74</v>
      </c>
      <c r="I2625" s="2" t="s">
        <v>75</v>
      </c>
      <c r="J2625" s="2" t="s">
        <v>97</v>
      </c>
      <c r="K2625" s="2" t="s">
        <v>77</v>
      </c>
      <c r="L2625" s="2" t="s">
        <v>125</v>
      </c>
      <c r="M2625" s="2" t="s">
        <v>126</v>
      </c>
      <c r="N2625" s="2" t="s">
        <v>1367</v>
      </c>
      <c r="O2625" s="2" t="s">
        <v>101</v>
      </c>
      <c r="P2625" s="2" t="str">
        <f>"2170608366                    "</f>
        <v xml:space="preserve">2170608366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12.87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3.6</v>
      </c>
      <c r="BJ2625" s="2">
        <v>3.4</v>
      </c>
      <c r="BK2625" s="2">
        <v>4</v>
      </c>
      <c r="BL2625" s="2">
        <v>91.85</v>
      </c>
      <c r="BM2625" s="2">
        <v>12.86</v>
      </c>
      <c r="BN2625" s="2">
        <v>104.71</v>
      </c>
      <c r="BO2625" s="2">
        <v>104.71</v>
      </c>
      <c r="BR2625" s="2" t="s">
        <v>103</v>
      </c>
      <c r="BS2625" s="3">
        <v>43088</v>
      </c>
      <c r="BT2625" s="4">
        <v>0.30555555555555552</v>
      </c>
      <c r="BU2625" s="2" t="s">
        <v>1693</v>
      </c>
      <c r="BV2625" s="2" t="s">
        <v>85</v>
      </c>
      <c r="BY2625" s="2">
        <v>17194.099999999999</v>
      </c>
      <c r="CA2625" s="2" t="s">
        <v>1369</v>
      </c>
      <c r="CC2625" s="2" t="s">
        <v>126</v>
      </c>
      <c r="CD2625" s="2">
        <v>4064</v>
      </c>
      <c r="CE2625" s="2" t="s">
        <v>95</v>
      </c>
      <c r="CF2625" s="3">
        <v>43089</v>
      </c>
      <c r="CI2625" s="2">
        <v>1</v>
      </c>
      <c r="CJ2625" s="2">
        <v>1</v>
      </c>
      <c r="CK2625" s="2">
        <v>21</v>
      </c>
      <c r="CL2625" s="2" t="s">
        <v>89</v>
      </c>
    </row>
    <row r="2626" spans="1:90">
      <c r="A2626" s="2" t="s">
        <v>71</v>
      </c>
      <c r="B2626" s="2" t="s">
        <v>72</v>
      </c>
      <c r="C2626" s="2" t="s">
        <v>73</v>
      </c>
      <c r="E2626" s="2" t="str">
        <f>"FES1162596374"</f>
        <v>FES1162596374</v>
      </c>
      <c r="F2626" s="3">
        <v>43087</v>
      </c>
      <c r="G2626" s="2">
        <v>201806</v>
      </c>
      <c r="H2626" s="2" t="s">
        <v>74</v>
      </c>
      <c r="I2626" s="2" t="s">
        <v>75</v>
      </c>
      <c r="J2626" s="2" t="s">
        <v>97</v>
      </c>
      <c r="K2626" s="2" t="s">
        <v>77</v>
      </c>
      <c r="L2626" s="2" t="s">
        <v>74</v>
      </c>
      <c r="M2626" s="2" t="s">
        <v>75</v>
      </c>
      <c r="N2626" s="2" t="s">
        <v>964</v>
      </c>
      <c r="O2626" s="2" t="s">
        <v>101</v>
      </c>
      <c r="P2626" s="2" t="str">
        <f>"217060614                     "</f>
        <v xml:space="preserve">217060614 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5.03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1.9</v>
      </c>
      <c r="BJ2626" s="2">
        <v>1.6</v>
      </c>
      <c r="BK2626" s="2">
        <v>2</v>
      </c>
      <c r="BL2626" s="2">
        <v>35.89</v>
      </c>
      <c r="BM2626" s="2">
        <v>5.0199999999999996</v>
      </c>
      <c r="BN2626" s="2">
        <v>40.909999999999997</v>
      </c>
      <c r="BO2626" s="2">
        <v>40.909999999999997</v>
      </c>
      <c r="BQ2626" s="2" t="s">
        <v>2724</v>
      </c>
      <c r="BR2626" s="2" t="s">
        <v>103</v>
      </c>
      <c r="BS2626" s="2" t="s">
        <v>185</v>
      </c>
      <c r="BY2626" s="2">
        <v>8075.78</v>
      </c>
      <c r="CC2626" s="2" t="s">
        <v>75</v>
      </c>
      <c r="CD2626" s="2">
        <v>1665</v>
      </c>
      <c r="CE2626" s="2" t="s">
        <v>95</v>
      </c>
      <c r="CI2626" s="2">
        <v>1</v>
      </c>
      <c r="CJ2626" s="2" t="s">
        <v>185</v>
      </c>
      <c r="CK2626" s="2">
        <v>22</v>
      </c>
      <c r="CL2626" s="2" t="s">
        <v>89</v>
      </c>
    </row>
    <row r="2627" spans="1:90">
      <c r="A2627" s="2" t="s">
        <v>71</v>
      </c>
      <c r="B2627" s="2" t="s">
        <v>72</v>
      </c>
      <c r="C2627" s="2" t="s">
        <v>73</v>
      </c>
      <c r="E2627" s="2" t="str">
        <f>"FES1162596632"</f>
        <v>FES1162596632</v>
      </c>
      <c r="F2627" s="3">
        <v>43087</v>
      </c>
      <c r="G2627" s="2">
        <v>201806</v>
      </c>
      <c r="H2627" s="2" t="s">
        <v>74</v>
      </c>
      <c r="I2627" s="2" t="s">
        <v>75</v>
      </c>
      <c r="J2627" s="2" t="s">
        <v>97</v>
      </c>
      <c r="K2627" s="2" t="s">
        <v>77</v>
      </c>
      <c r="L2627" s="2" t="s">
        <v>131</v>
      </c>
      <c r="M2627" s="2" t="s">
        <v>132</v>
      </c>
      <c r="N2627" s="2" t="s">
        <v>133</v>
      </c>
      <c r="O2627" s="2" t="s">
        <v>101</v>
      </c>
      <c r="P2627" s="2" t="str">
        <f>"2170608292                    "</f>
        <v xml:space="preserve">2170608292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6.43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</v>
      </c>
      <c r="BJ2627" s="2">
        <v>0.2</v>
      </c>
      <c r="BK2627" s="2">
        <v>1</v>
      </c>
      <c r="BL2627" s="2">
        <v>45.93</v>
      </c>
      <c r="BM2627" s="2">
        <v>6.43</v>
      </c>
      <c r="BN2627" s="2">
        <v>52.36</v>
      </c>
      <c r="BO2627" s="2">
        <v>52.36</v>
      </c>
      <c r="BQ2627" s="2" t="s">
        <v>102</v>
      </c>
      <c r="BR2627" s="2" t="s">
        <v>103</v>
      </c>
      <c r="BS2627" s="3">
        <v>43088</v>
      </c>
      <c r="BT2627" s="4">
        <v>0.45208333333333334</v>
      </c>
      <c r="BU2627" s="2" t="s">
        <v>2725</v>
      </c>
      <c r="BV2627" s="2" t="s">
        <v>85</v>
      </c>
      <c r="BY2627" s="2">
        <v>1200</v>
      </c>
      <c r="CA2627" s="2" t="s">
        <v>135</v>
      </c>
      <c r="CC2627" s="2" t="s">
        <v>132</v>
      </c>
      <c r="CD2627" s="2">
        <v>4302</v>
      </c>
      <c r="CE2627" s="2" t="s">
        <v>120</v>
      </c>
      <c r="CF2627" s="3">
        <v>43089</v>
      </c>
      <c r="CI2627" s="2">
        <v>1</v>
      </c>
      <c r="CJ2627" s="2">
        <v>1</v>
      </c>
      <c r="CK2627" s="2">
        <v>21</v>
      </c>
      <c r="CL2627" s="2" t="s">
        <v>89</v>
      </c>
    </row>
    <row r="2628" spans="1:90">
      <c r="A2628" s="2" t="s">
        <v>71</v>
      </c>
      <c r="B2628" s="2" t="s">
        <v>72</v>
      </c>
      <c r="C2628" s="2" t="s">
        <v>73</v>
      </c>
      <c r="E2628" s="2" t="str">
        <f>"FES1162596581"</f>
        <v>FES1162596581</v>
      </c>
      <c r="F2628" s="3">
        <v>43087</v>
      </c>
      <c r="G2628" s="2">
        <v>201806</v>
      </c>
      <c r="H2628" s="2" t="s">
        <v>74</v>
      </c>
      <c r="I2628" s="2" t="s">
        <v>75</v>
      </c>
      <c r="J2628" s="2" t="s">
        <v>97</v>
      </c>
      <c r="K2628" s="2" t="s">
        <v>77</v>
      </c>
      <c r="L2628" s="2" t="s">
        <v>158</v>
      </c>
      <c r="M2628" s="2" t="s">
        <v>159</v>
      </c>
      <c r="N2628" s="2" t="s">
        <v>543</v>
      </c>
      <c r="O2628" s="2" t="s">
        <v>101</v>
      </c>
      <c r="P2628" s="2" t="str">
        <f>"2170602908                    "</f>
        <v xml:space="preserve">2170602908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6.43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45.93</v>
      </c>
      <c r="BM2628" s="2">
        <v>6.43</v>
      </c>
      <c r="BN2628" s="2">
        <v>52.36</v>
      </c>
      <c r="BO2628" s="2">
        <v>52.36</v>
      </c>
      <c r="BQ2628" s="2" t="s">
        <v>82</v>
      </c>
      <c r="BR2628" s="2" t="s">
        <v>103</v>
      </c>
      <c r="BS2628" s="2" t="s">
        <v>185</v>
      </c>
      <c r="BY2628" s="2">
        <v>1200</v>
      </c>
      <c r="CC2628" s="2" t="s">
        <v>159</v>
      </c>
      <c r="CD2628" s="2">
        <v>1</v>
      </c>
      <c r="CE2628" s="2" t="s">
        <v>120</v>
      </c>
      <c r="CI2628" s="2">
        <v>1</v>
      </c>
      <c r="CJ2628" s="2" t="s">
        <v>185</v>
      </c>
      <c r="CK2628" s="2">
        <v>21</v>
      </c>
      <c r="CL2628" s="2" t="s">
        <v>89</v>
      </c>
    </row>
    <row r="2629" spans="1:90">
      <c r="A2629" s="2" t="s">
        <v>71</v>
      </c>
      <c r="B2629" s="2" t="s">
        <v>72</v>
      </c>
      <c r="C2629" s="2" t="s">
        <v>73</v>
      </c>
      <c r="E2629" s="2" t="str">
        <f>"FES1162596687"</f>
        <v>FES1162596687</v>
      </c>
      <c r="F2629" s="3">
        <v>43087</v>
      </c>
      <c r="G2629" s="2">
        <v>201806</v>
      </c>
      <c r="H2629" s="2" t="s">
        <v>74</v>
      </c>
      <c r="I2629" s="2" t="s">
        <v>75</v>
      </c>
      <c r="J2629" s="2" t="s">
        <v>97</v>
      </c>
      <c r="K2629" s="2" t="s">
        <v>77</v>
      </c>
      <c r="L2629" s="2" t="s">
        <v>98</v>
      </c>
      <c r="M2629" s="2" t="s">
        <v>99</v>
      </c>
      <c r="N2629" s="2" t="s">
        <v>1032</v>
      </c>
      <c r="O2629" s="2" t="s">
        <v>101</v>
      </c>
      <c r="P2629" s="2" t="str">
        <f>"2170608145                    "</f>
        <v xml:space="preserve">2170608145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22.51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6.6</v>
      </c>
      <c r="BJ2629" s="2">
        <v>3.8</v>
      </c>
      <c r="BK2629" s="2">
        <v>7</v>
      </c>
      <c r="BL2629" s="2">
        <v>160.71</v>
      </c>
      <c r="BM2629" s="2">
        <v>22.5</v>
      </c>
      <c r="BN2629" s="2">
        <v>183.21</v>
      </c>
      <c r="BO2629" s="2">
        <v>183.21</v>
      </c>
      <c r="BQ2629" s="2" t="s">
        <v>2726</v>
      </c>
      <c r="BR2629" s="2" t="s">
        <v>103</v>
      </c>
      <c r="BS2629" s="3">
        <v>43088</v>
      </c>
      <c r="BT2629" s="4">
        <v>0.37152777777777773</v>
      </c>
      <c r="BU2629" s="2" t="s">
        <v>2727</v>
      </c>
      <c r="BV2629" s="2" t="s">
        <v>85</v>
      </c>
      <c r="BY2629" s="2">
        <v>19130.16</v>
      </c>
      <c r="CA2629" s="2" t="s">
        <v>497</v>
      </c>
      <c r="CC2629" s="2" t="s">
        <v>99</v>
      </c>
      <c r="CD2629" s="2">
        <v>3201</v>
      </c>
      <c r="CE2629" s="2" t="s">
        <v>95</v>
      </c>
      <c r="CF2629" s="3">
        <v>43089</v>
      </c>
      <c r="CI2629" s="2">
        <v>1</v>
      </c>
      <c r="CJ2629" s="2">
        <v>1</v>
      </c>
      <c r="CK2629" s="2">
        <v>21</v>
      </c>
      <c r="CL2629" s="2" t="s">
        <v>89</v>
      </c>
    </row>
    <row r="2630" spans="1:90">
      <c r="A2630" s="2" t="s">
        <v>71</v>
      </c>
      <c r="B2630" s="2" t="s">
        <v>72</v>
      </c>
      <c r="C2630" s="2" t="s">
        <v>73</v>
      </c>
      <c r="E2630" s="2" t="str">
        <f>"FES1162596666"</f>
        <v>FES1162596666</v>
      </c>
      <c r="F2630" s="3">
        <v>43087</v>
      </c>
      <c r="G2630" s="2">
        <v>201806</v>
      </c>
      <c r="H2630" s="2" t="s">
        <v>74</v>
      </c>
      <c r="I2630" s="2" t="s">
        <v>75</v>
      </c>
      <c r="J2630" s="2" t="s">
        <v>97</v>
      </c>
      <c r="K2630" s="2" t="s">
        <v>77</v>
      </c>
      <c r="L2630" s="2" t="s">
        <v>2139</v>
      </c>
      <c r="M2630" s="2" t="s">
        <v>2140</v>
      </c>
      <c r="N2630" s="2" t="s">
        <v>2728</v>
      </c>
      <c r="O2630" s="2" t="s">
        <v>101</v>
      </c>
      <c r="P2630" s="2" t="str">
        <f>"2170608337                    "</f>
        <v xml:space="preserve">2170608337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5.03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2.4</v>
      </c>
      <c r="BJ2630" s="2">
        <v>1.9</v>
      </c>
      <c r="BK2630" s="2">
        <v>3</v>
      </c>
      <c r="BL2630" s="2">
        <v>35.89</v>
      </c>
      <c r="BM2630" s="2">
        <v>5.0199999999999996</v>
      </c>
      <c r="BN2630" s="2">
        <v>40.909999999999997</v>
      </c>
      <c r="BO2630" s="2">
        <v>40.909999999999997</v>
      </c>
      <c r="BQ2630" s="2" t="s">
        <v>2729</v>
      </c>
      <c r="BR2630" s="2" t="s">
        <v>103</v>
      </c>
      <c r="BS2630" s="3">
        <v>43088</v>
      </c>
      <c r="BT2630" s="4">
        <v>0.43541666666666662</v>
      </c>
      <c r="BU2630" s="2" t="s">
        <v>640</v>
      </c>
      <c r="BV2630" s="2" t="s">
        <v>85</v>
      </c>
      <c r="BY2630" s="2">
        <v>9259.43</v>
      </c>
      <c r="CA2630" s="2" t="s">
        <v>457</v>
      </c>
      <c r="CC2630" s="2" t="s">
        <v>2140</v>
      </c>
      <c r="CD2630" s="2">
        <v>1685</v>
      </c>
      <c r="CE2630" s="2" t="s">
        <v>95</v>
      </c>
      <c r="CF2630" s="3">
        <v>43089</v>
      </c>
      <c r="CI2630" s="2">
        <v>1</v>
      </c>
      <c r="CJ2630" s="2">
        <v>1</v>
      </c>
      <c r="CK2630" s="2">
        <v>22</v>
      </c>
      <c r="CL2630" s="2" t="s">
        <v>89</v>
      </c>
    </row>
    <row r="2631" spans="1:90">
      <c r="A2631" s="2" t="s">
        <v>71</v>
      </c>
      <c r="B2631" s="2" t="s">
        <v>72</v>
      </c>
      <c r="C2631" s="2" t="s">
        <v>73</v>
      </c>
      <c r="E2631" s="2" t="str">
        <f>"FES1162596696"</f>
        <v>FES1162596696</v>
      </c>
      <c r="F2631" s="3">
        <v>43087</v>
      </c>
      <c r="G2631" s="2">
        <v>201806</v>
      </c>
      <c r="H2631" s="2" t="s">
        <v>74</v>
      </c>
      <c r="I2631" s="2" t="s">
        <v>75</v>
      </c>
      <c r="J2631" s="2" t="s">
        <v>97</v>
      </c>
      <c r="K2631" s="2" t="s">
        <v>77</v>
      </c>
      <c r="L2631" s="2" t="s">
        <v>173</v>
      </c>
      <c r="M2631" s="2" t="s">
        <v>174</v>
      </c>
      <c r="N2631" s="2" t="s">
        <v>1259</v>
      </c>
      <c r="O2631" s="2" t="s">
        <v>101</v>
      </c>
      <c r="P2631" s="2" t="str">
        <f>"2170608374                    "</f>
        <v xml:space="preserve">2170608374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6.43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1</v>
      </c>
      <c r="BJ2631" s="2">
        <v>0.2</v>
      </c>
      <c r="BK2631" s="2">
        <v>1</v>
      </c>
      <c r="BL2631" s="2">
        <v>45.93</v>
      </c>
      <c r="BM2631" s="2">
        <v>6.43</v>
      </c>
      <c r="BN2631" s="2">
        <v>52.36</v>
      </c>
      <c r="BO2631" s="2">
        <v>52.36</v>
      </c>
      <c r="BQ2631" s="2" t="s">
        <v>82</v>
      </c>
      <c r="BR2631" s="2" t="s">
        <v>103</v>
      </c>
      <c r="BS2631" s="3">
        <v>43088</v>
      </c>
      <c r="BT2631" s="4">
        <v>0.43402777777777773</v>
      </c>
      <c r="BU2631" s="2" t="s">
        <v>586</v>
      </c>
      <c r="BV2631" s="2" t="s">
        <v>85</v>
      </c>
      <c r="BY2631" s="2">
        <v>1200</v>
      </c>
      <c r="CA2631" s="2" t="s">
        <v>1261</v>
      </c>
      <c r="CC2631" s="2" t="s">
        <v>174</v>
      </c>
      <c r="CD2631" s="2">
        <v>7800</v>
      </c>
      <c r="CE2631" s="2" t="s">
        <v>120</v>
      </c>
      <c r="CF2631" s="3">
        <v>43089</v>
      </c>
      <c r="CI2631" s="2">
        <v>1</v>
      </c>
      <c r="CJ2631" s="2">
        <v>1</v>
      </c>
      <c r="CK2631" s="2">
        <v>21</v>
      </c>
      <c r="CL2631" s="2" t="s">
        <v>89</v>
      </c>
    </row>
    <row r="2632" spans="1:90">
      <c r="A2632" s="2" t="s">
        <v>71</v>
      </c>
      <c r="B2632" s="2" t="s">
        <v>72</v>
      </c>
      <c r="C2632" s="2" t="s">
        <v>73</v>
      </c>
      <c r="E2632" s="2" t="str">
        <f>"FES1162596697"</f>
        <v>FES1162596697</v>
      </c>
      <c r="F2632" s="3">
        <v>43087</v>
      </c>
      <c r="G2632" s="2">
        <v>201806</v>
      </c>
      <c r="H2632" s="2" t="s">
        <v>74</v>
      </c>
      <c r="I2632" s="2" t="s">
        <v>75</v>
      </c>
      <c r="J2632" s="2" t="s">
        <v>97</v>
      </c>
      <c r="K2632" s="2" t="s">
        <v>77</v>
      </c>
      <c r="L2632" s="2" t="s">
        <v>212</v>
      </c>
      <c r="M2632" s="2" t="s">
        <v>212</v>
      </c>
      <c r="N2632" s="2" t="s">
        <v>1263</v>
      </c>
      <c r="O2632" s="2" t="s">
        <v>101</v>
      </c>
      <c r="P2632" s="2" t="str">
        <f>"2170608375                    "</f>
        <v xml:space="preserve">2170608375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6.43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45.93</v>
      </c>
      <c r="BM2632" s="2">
        <v>6.43</v>
      </c>
      <c r="BN2632" s="2">
        <v>52.36</v>
      </c>
      <c r="BO2632" s="2">
        <v>52.36</v>
      </c>
      <c r="BQ2632" s="2" t="s">
        <v>82</v>
      </c>
      <c r="BR2632" s="2" t="s">
        <v>103</v>
      </c>
      <c r="BS2632" s="3">
        <v>43088</v>
      </c>
      <c r="BT2632" s="4">
        <v>0.54375000000000007</v>
      </c>
      <c r="BU2632" s="2" t="s">
        <v>2269</v>
      </c>
      <c r="BV2632" s="2" t="s">
        <v>85</v>
      </c>
      <c r="BY2632" s="2">
        <v>1200</v>
      </c>
      <c r="CC2632" s="2" t="s">
        <v>212</v>
      </c>
      <c r="CD2632" s="2">
        <v>7646</v>
      </c>
      <c r="CE2632" s="2" t="s">
        <v>120</v>
      </c>
      <c r="CF2632" s="3">
        <v>43089</v>
      </c>
      <c r="CI2632" s="2">
        <v>1</v>
      </c>
      <c r="CJ2632" s="2">
        <v>1</v>
      </c>
      <c r="CK2632" s="2">
        <v>21</v>
      </c>
      <c r="CL2632" s="2" t="s">
        <v>89</v>
      </c>
    </row>
    <row r="2633" spans="1:90">
      <c r="A2633" s="2" t="s">
        <v>71</v>
      </c>
      <c r="B2633" s="2" t="s">
        <v>72</v>
      </c>
      <c r="C2633" s="2" t="s">
        <v>73</v>
      </c>
      <c r="E2633" s="2" t="str">
        <f>"FES1162596691"</f>
        <v>FES1162596691</v>
      </c>
      <c r="F2633" s="3">
        <v>43087</v>
      </c>
      <c r="G2633" s="2">
        <v>201806</v>
      </c>
      <c r="H2633" s="2" t="s">
        <v>74</v>
      </c>
      <c r="I2633" s="2" t="s">
        <v>75</v>
      </c>
      <c r="J2633" s="2" t="s">
        <v>97</v>
      </c>
      <c r="K2633" s="2" t="s">
        <v>77</v>
      </c>
      <c r="L2633" s="2" t="s">
        <v>521</v>
      </c>
      <c r="M2633" s="2" t="s">
        <v>522</v>
      </c>
      <c r="N2633" s="2" t="s">
        <v>523</v>
      </c>
      <c r="O2633" s="2" t="s">
        <v>101</v>
      </c>
      <c r="P2633" s="2" t="str">
        <f>"2170608370                    "</f>
        <v xml:space="preserve">2170608370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6.43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1.1000000000000001</v>
      </c>
      <c r="BJ2633" s="2">
        <v>1.4</v>
      </c>
      <c r="BK2633" s="2">
        <v>1.5</v>
      </c>
      <c r="BL2633" s="2">
        <v>45.93</v>
      </c>
      <c r="BM2633" s="2">
        <v>6.43</v>
      </c>
      <c r="BN2633" s="2">
        <v>52.36</v>
      </c>
      <c r="BO2633" s="2">
        <v>52.36</v>
      </c>
      <c r="BQ2633" s="2" t="s">
        <v>102</v>
      </c>
      <c r="BR2633" s="2" t="s">
        <v>103</v>
      </c>
      <c r="BS2633" s="3">
        <v>43088</v>
      </c>
      <c r="BT2633" s="4">
        <v>0.35069444444444442</v>
      </c>
      <c r="BU2633" s="2" t="s">
        <v>524</v>
      </c>
      <c r="BV2633" s="2" t="s">
        <v>85</v>
      </c>
      <c r="BY2633" s="2">
        <v>6903.86</v>
      </c>
      <c r="CA2633" s="2" t="s">
        <v>525</v>
      </c>
      <c r="CC2633" s="2" t="s">
        <v>522</v>
      </c>
      <c r="CD2633" s="2">
        <v>6536</v>
      </c>
      <c r="CE2633" s="2" t="s">
        <v>95</v>
      </c>
      <c r="CF2633" s="3">
        <v>43090</v>
      </c>
      <c r="CI2633" s="2">
        <v>1</v>
      </c>
      <c r="CJ2633" s="2">
        <v>1</v>
      </c>
      <c r="CK2633" s="2">
        <v>21</v>
      </c>
      <c r="CL2633" s="2" t="s">
        <v>89</v>
      </c>
    </row>
    <row r="2634" spans="1:90">
      <c r="A2634" s="2" t="s">
        <v>71</v>
      </c>
      <c r="B2634" s="2" t="s">
        <v>72</v>
      </c>
      <c r="C2634" s="2" t="s">
        <v>73</v>
      </c>
      <c r="E2634" s="2" t="str">
        <f>"FES1162596427"</f>
        <v>FES1162596427</v>
      </c>
      <c r="F2634" s="3">
        <v>43087</v>
      </c>
      <c r="G2634" s="2">
        <v>201806</v>
      </c>
      <c r="H2634" s="2" t="s">
        <v>74</v>
      </c>
      <c r="I2634" s="2" t="s">
        <v>75</v>
      </c>
      <c r="J2634" s="2" t="s">
        <v>97</v>
      </c>
      <c r="K2634" s="2" t="s">
        <v>77</v>
      </c>
      <c r="L2634" s="2" t="s">
        <v>651</v>
      </c>
      <c r="M2634" s="2" t="s">
        <v>652</v>
      </c>
      <c r="N2634" s="2" t="s">
        <v>953</v>
      </c>
      <c r="O2634" s="2" t="s">
        <v>101</v>
      </c>
      <c r="P2634" s="2" t="str">
        <f>"2170608001                    "</f>
        <v xml:space="preserve">2170608001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9.0500000000000007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64.599999999999994</v>
      </c>
      <c r="BM2634" s="2">
        <v>9.0399999999999991</v>
      </c>
      <c r="BN2634" s="2">
        <v>73.64</v>
      </c>
      <c r="BO2634" s="2">
        <v>73.64</v>
      </c>
      <c r="BQ2634" s="2" t="s">
        <v>82</v>
      </c>
      <c r="BR2634" s="2" t="s">
        <v>103</v>
      </c>
      <c r="BS2634" s="2" t="s">
        <v>185</v>
      </c>
      <c r="BY2634" s="2">
        <v>1200</v>
      </c>
      <c r="CC2634" s="2" t="s">
        <v>652</v>
      </c>
      <c r="CD2634" s="2">
        <v>250</v>
      </c>
      <c r="CE2634" s="2" t="s">
        <v>120</v>
      </c>
      <c r="CI2634" s="2">
        <v>1</v>
      </c>
      <c r="CJ2634" s="2" t="s">
        <v>185</v>
      </c>
      <c r="CK2634" s="2">
        <v>24</v>
      </c>
      <c r="CL2634" s="2" t="s">
        <v>89</v>
      </c>
    </row>
    <row r="2635" spans="1:90">
      <c r="A2635" s="2" t="s">
        <v>71</v>
      </c>
      <c r="B2635" s="2" t="s">
        <v>72</v>
      </c>
      <c r="C2635" s="2" t="s">
        <v>73</v>
      </c>
      <c r="E2635" s="2" t="str">
        <f>"FES1162596671"</f>
        <v>FES1162596671</v>
      </c>
      <c r="F2635" s="3">
        <v>43087</v>
      </c>
      <c r="G2635" s="2">
        <v>201806</v>
      </c>
      <c r="H2635" s="2" t="s">
        <v>74</v>
      </c>
      <c r="I2635" s="2" t="s">
        <v>75</v>
      </c>
      <c r="J2635" s="2" t="s">
        <v>97</v>
      </c>
      <c r="K2635" s="2" t="s">
        <v>77</v>
      </c>
      <c r="L2635" s="2" t="s">
        <v>136</v>
      </c>
      <c r="M2635" s="2" t="s">
        <v>137</v>
      </c>
      <c r="N2635" s="2" t="s">
        <v>138</v>
      </c>
      <c r="O2635" s="2" t="s">
        <v>101</v>
      </c>
      <c r="P2635" s="2" t="str">
        <f>"2170608344                    "</f>
        <v xml:space="preserve">2170608344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6.43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1</v>
      </c>
      <c r="BJ2635" s="2">
        <v>0.2</v>
      </c>
      <c r="BK2635" s="2">
        <v>1</v>
      </c>
      <c r="BL2635" s="2">
        <v>45.93</v>
      </c>
      <c r="BM2635" s="2">
        <v>6.43</v>
      </c>
      <c r="BN2635" s="2">
        <v>52.36</v>
      </c>
      <c r="BO2635" s="2">
        <v>52.36</v>
      </c>
      <c r="BQ2635" s="2" t="s">
        <v>82</v>
      </c>
      <c r="BR2635" s="2" t="s">
        <v>103</v>
      </c>
      <c r="BS2635" s="3">
        <v>43088</v>
      </c>
      <c r="BT2635" s="4">
        <v>0.35416666666666669</v>
      </c>
      <c r="BU2635" s="2" t="s">
        <v>139</v>
      </c>
      <c r="BV2635" s="2" t="s">
        <v>85</v>
      </c>
      <c r="BY2635" s="2">
        <v>1200</v>
      </c>
      <c r="CA2635" s="2" t="s">
        <v>140</v>
      </c>
      <c r="CC2635" s="2" t="s">
        <v>137</v>
      </c>
      <c r="CD2635" s="2">
        <v>6001</v>
      </c>
      <c r="CE2635" s="2" t="s">
        <v>120</v>
      </c>
      <c r="CF2635" s="3">
        <v>43090</v>
      </c>
      <c r="CI2635" s="2">
        <v>1</v>
      </c>
      <c r="CJ2635" s="2">
        <v>1</v>
      </c>
      <c r="CK2635" s="2">
        <v>21</v>
      </c>
      <c r="CL2635" s="2" t="s">
        <v>89</v>
      </c>
    </row>
    <row r="2636" spans="1:90">
      <c r="A2636" s="2" t="s">
        <v>71</v>
      </c>
      <c r="B2636" s="2" t="s">
        <v>72</v>
      </c>
      <c r="C2636" s="2" t="s">
        <v>73</v>
      </c>
      <c r="E2636" s="2" t="str">
        <f>"FES1162596674"</f>
        <v>FES1162596674</v>
      </c>
      <c r="F2636" s="3">
        <v>43087</v>
      </c>
      <c r="G2636" s="2">
        <v>201806</v>
      </c>
      <c r="H2636" s="2" t="s">
        <v>74</v>
      </c>
      <c r="I2636" s="2" t="s">
        <v>75</v>
      </c>
      <c r="J2636" s="2" t="s">
        <v>97</v>
      </c>
      <c r="K2636" s="2" t="s">
        <v>77</v>
      </c>
      <c r="L2636" s="2" t="s">
        <v>74</v>
      </c>
      <c r="M2636" s="2" t="s">
        <v>75</v>
      </c>
      <c r="N2636" s="2" t="s">
        <v>2730</v>
      </c>
      <c r="O2636" s="2" t="s">
        <v>101</v>
      </c>
      <c r="P2636" s="2" t="str">
        <f>"2170608347                    "</f>
        <v xml:space="preserve">2170608347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5.03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35.89</v>
      </c>
      <c r="BM2636" s="2">
        <v>5.0199999999999996</v>
      </c>
      <c r="BN2636" s="2">
        <v>40.909999999999997</v>
      </c>
      <c r="BO2636" s="2">
        <v>40.909999999999997</v>
      </c>
      <c r="BQ2636" s="2" t="s">
        <v>102</v>
      </c>
      <c r="BR2636" s="2" t="s">
        <v>103</v>
      </c>
      <c r="BS2636" s="3">
        <v>43088</v>
      </c>
      <c r="BT2636" s="4">
        <v>0.31111111111111112</v>
      </c>
      <c r="BU2636" s="2" t="s">
        <v>287</v>
      </c>
      <c r="BV2636" s="2" t="s">
        <v>85</v>
      </c>
      <c r="BY2636" s="2">
        <v>1200</v>
      </c>
      <c r="CA2636" s="2" t="s">
        <v>355</v>
      </c>
      <c r="CC2636" s="2" t="s">
        <v>75</v>
      </c>
      <c r="CD2636" s="2">
        <v>1600</v>
      </c>
      <c r="CE2636" s="2" t="s">
        <v>120</v>
      </c>
      <c r="CF2636" s="3">
        <v>43089</v>
      </c>
      <c r="CI2636" s="2">
        <v>1</v>
      </c>
      <c r="CJ2636" s="2">
        <v>1</v>
      </c>
      <c r="CK2636" s="2">
        <v>22</v>
      </c>
      <c r="CL2636" s="2" t="s">
        <v>89</v>
      </c>
    </row>
    <row r="2637" spans="1:90">
      <c r="A2637" s="2" t="s">
        <v>71</v>
      </c>
      <c r="B2637" s="2" t="s">
        <v>72</v>
      </c>
      <c r="C2637" s="2" t="s">
        <v>73</v>
      </c>
      <c r="E2637" s="2" t="str">
        <f>"FES1162596672"</f>
        <v>FES1162596672</v>
      </c>
      <c r="F2637" s="3">
        <v>43087</v>
      </c>
      <c r="G2637" s="2">
        <v>201806</v>
      </c>
      <c r="H2637" s="2" t="s">
        <v>74</v>
      </c>
      <c r="I2637" s="2" t="s">
        <v>75</v>
      </c>
      <c r="J2637" s="2" t="s">
        <v>97</v>
      </c>
      <c r="K2637" s="2" t="s">
        <v>77</v>
      </c>
      <c r="L2637" s="2" t="s">
        <v>262</v>
      </c>
      <c r="M2637" s="2" t="s">
        <v>263</v>
      </c>
      <c r="N2637" s="2" t="s">
        <v>1879</v>
      </c>
      <c r="O2637" s="2" t="s">
        <v>101</v>
      </c>
      <c r="P2637" s="2" t="str">
        <f>"2170608346                    "</f>
        <v xml:space="preserve">2170608346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6.43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45.93</v>
      </c>
      <c r="BM2637" s="2">
        <v>6.43</v>
      </c>
      <c r="BN2637" s="2">
        <v>52.36</v>
      </c>
      <c r="BO2637" s="2">
        <v>52.36</v>
      </c>
      <c r="BQ2637" s="2" t="s">
        <v>2731</v>
      </c>
      <c r="BR2637" s="2" t="s">
        <v>103</v>
      </c>
      <c r="BS2637" s="3">
        <v>43089</v>
      </c>
      <c r="BT2637" s="4">
        <v>0.45833333333333331</v>
      </c>
      <c r="BU2637" s="2" t="s">
        <v>2732</v>
      </c>
      <c r="BV2637" s="2" t="s">
        <v>89</v>
      </c>
      <c r="BW2637" s="2" t="s">
        <v>313</v>
      </c>
      <c r="BX2637" s="2" t="s">
        <v>314</v>
      </c>
      <c r="BY2637" s="2">
        <v>1200</v>
      </c>
      <c r="CA2637" s="2" t="s">
        <v>1050</v>
      </c>
      <c r="CC2637" s="2" t="s">
        <v>263</v>
      </c>
      <c r="CD2637" s="2">
        <v>6229</v>
      </c>
      <c r="CE2637" s="2" t="s">
        <v>120</v>
      </c>
      <c r="CF2637" s="3">
        <v>43090</v>
      </c>
      <c r="CI2637" s="2">
        <v>1</v>
      </c>
      <c r="CJ2637" s="2">
        <v>2</v>
      </c>
      <c r="CK2637" s="2">
        <v>21</v>
      </c>
      <c r="CL2637" s="2" t="s">
        <v>89</v>
      </c>
    </row>
    <row r="2638" spans="1:90">
      <c r="A2638" s="2" t="s">
        <v>71</v>
      </c>
      <c r="B2638" s="2" t="s">
        <v>72</v>
      </c>
      <c r="C2638" s="2" t="s">
        <v>73</v>
      </c>
      <c r="E2638" s="2" t="str">
        <f>"FES1162596633"</f>
        <v>FES1162596633</v>
      </c>
      <c r="F2638" s="3">
        <v>43087</v>
      </c>
      <c r="G2638" s="2">
        <v>201806</v>
      </c>
      <c r="H2638" s="2" t="s">
        <v>74</v>
      </c>
      <c r="I2638" s="2" t="s">
        <v>75</v>
      </c>
      <c r="J2638" s="2" t="s">
        <v>97</v>
      </c>
      <c r="K2638" s="2" t="s">
        <v>77</v>
      </c>
      <c r="L2638" s="2" t="s">
        <v>168</v>
      </c>
      <c r="M2638" s="2" t="s">
        <v>169</v>
      </c>
      <c r="N2638" s="2" t="s">
        <v>1077</v>
      </c>
      <c r="O2638" s="2" t="s">
        <v>101</v>
      </c>
      <c r="P2638" s="2" t="str">
        <f>"2170608294                    "</f>
        <v xml:space="preserve">2170608294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6.43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</v>
      </c>
      <c r="BJ2638" s="2">
        <v>0.2</v>
      </c>
      <c r="BK2638" s="2">
        <v>1</v>
      </c>
      <c r="BL2638" s="2">
        <v>45.93</v>
      </c>
      <c r="BM2638" s="2">
        <v>6.43</v>
      </c>
      <c r="BN2638" s="2">
        <v>52.36</v>
      </c>
      <c r="BO2638" s="2">
        <v>52.36</v>
      </c>
      <c r="BQ2638" s="2" t="s">
        <v>82</v>
      </c>
      <c r="BR2638" s="2" t="s">
        <v>103</v>
      </c>
      <c r="BS2638" s="3">
        <v>43088</v>
      </c>
      <c r="BT2638" s="4">
        <v>0.42708333333333331</v>
      </c>
      <c r="BU2638" s="2" t="s">
        <v>2187</v>
      </c>
      <c r="BV2638" s="2" t="s">
        <v>85</v>
      </c>
      <c r="BY2638" s="2">
        <v>1200</v>
      </c>
      <c r="CA2638" s="2" t="s">
        <v>220</v>
      </c>
      <c r="CC2638" s="2" t="s">
        <v>169</v>
      </c>
      <c r="CD2638" s="2">
        <v>3610</v>
      </c>
      <c r="CE2638" s="2" t="s">
        <v>120</v>
      </c>
      <c r="CF2638" s="3">
        <v>43089</v>
      </c>
      <c r="CI2638" s="2">
        <v>1</v>
      </c>
      <c r="CJ2638" s="2">
        <v>1</v>
      </c>
      <c r="CK2638" s="2">
        <v>21</v>
      </c>
      <c r="CL2638" s="2" t="s">
        <v>89</v>
      </c>
    </row>
    <row r="2639" spans="1:90">
      <c r="A2639" s="2" t="s">
        <v>71</v>
      </c>
      <c r="B2639" s="2" t="s">
        <v>72</v>
      </c>
      <c r="C2639" s="2" t="s">
        <v>73</v>
      </c>
      <c r="E2639" s="2" t="str">
        <f>"FES1162596693"</f>
        <v>FES1162596693</v>
      </c>
      <c r="F2639" s="3">
        <v>43087</v>
      </c>
      <c r="G2639" s="2">
        <v>201806</v>
      </c>
      <c r="H2639" s="2" t="s">
        <v>74</v>
      </c>
      <c r="I2639" s="2" t="s">
        <v>75</v>
      </c>
      <c r="J2639" s="2" t="s">
        <v>97</v>
      </c>
      <c r="K2639" s="2" t="s">
        <v>77</v>
      </c>
      <c r="L2639" s="2" t="s">
        <v>145</v>
      </c>
      <c r="M2639" s="2" t="s">
        <v>146</v>
      </c>
      <c r="N2639" s="2" t="s">
        <v>1974</v>
      </c>
      <c r="O2639" s="2" t="s">
        <v>101</v>
      </c>
      <c r="P2639" s="2" t="str">
        <f>"2170608372                    "</f>
        <v xml:space="preserve">2170608372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6.43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45.93</v>
      </c>
      <c r="BM2639" s="2">
        <v>6.43</v>
      </c>
      <c r="BN2639" s="2">
        <v>52.36</v>
      </c>
      <c r="BO2639" s="2">
        <v>52.36</v>
      </c>
      <c r="BQ2639" s="2" t="s">
        <v>82</v>
      </c>
      <c r="BR2639" s="2" t="s">
        <v>103</v>
      </c>
      <c r="BS2639" s="2" t="s">
        <v>185</v>
      </c>
      <c r="BY2639" s="2">
        <v>1200</v>
      </c>
      <c r="CC2639" s="2" t="s">
        <v>146</v>
      </c>
      <c r="CD2639" s="2">
        <v>5201</v>
      </c>
      <c r="CE2639" s="2" t="s">
        <v>120</v>
      </c>
      <c r="CI2639" s="2">
        <v>1</v>
      </c>
      <c r="CJ2639" s="2" t="s">
        <v>185</v>
      </c>
      <c r="CK2639" s="2">
        <v>21</v>
      </c>
      <c r="CL2639" s="2" t="s">
        <v>89</v>
      </c>
    </row>
    <row r="2640" spans="1:90">
      <c r="A2640" s="2" t="s">
        <v>71</v>
      </c>
      <c r="B2640" s="2" t="s">
        <v>72</v>
      </c>
      <c r="C2640" s="2" t="s">
        <v>73</v>
      </c>
      <c r="E2640" s="2" t="str">
        <f>"FES1162596647"</f>
        <v>FES1162596647</v>
      </c>
      <c r="F2640" s="3">
        <v>43087</v>
      </c>
      <c r="G2640" s="2">
        <v>201806</v>
      </c>
      <c r="H2640" s="2" t="s">
        <v>74</v>
      </c>
      <c r="I2640" s="2" t="s">
        <v>75</v>
      </c>
      <c r="J2640" s="2" t="s">
        <v>97</v>
      </c>
      <c r="K2640" s="2" t="s">
        <v>77</v>
      </c>
      <c r="L2640" s="2" t="s">
        <v>168</v>
      </c>
      <c r="M2640" s="2" t="s">
        <v>169</v>
      </c>
      <c r="N2640" s="2" t="s">
        <v>170</v>
      </c>
      <c r="O2640" s="2" t="s">
        <v>101</v>
      </c>
      <c r="P2640" s="2" t="str">
        <f>"2170608309                    "</f>
        <v xml:space="preserve">2170608309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6.43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45.93</v>
      </c>
      <c r="BM2640" s="2">
        <v>6.43</v>
      </c>
      <c r="BN2640" s="2">
        <v>52.36</v>
      </c>
      <c r="BO2640" s="2">
        <v>52.36</v>
      </c>
      <c r="BQ2640" s="2" t="s">
        <v>128</v>
      </c>
      <c r="BR2640" s="2" t="s">
        <v>103</v>
      </c>
      <c r="BS2640" s="3">
        <v>43088</v>
      </c>
      <c r="BT2640" s="4">
        <v>0.36805555555555558</v>
      </c>
      <c r="BU2640" s="2" t="s">
        <v>711</v>
      </c>
      <c r="BV2640" s="2" t="s">
        <v>85</v>
      </c>
      <c r="BY2640" s="2">
        <v>1200</v>
      </c>
      <c r="CA2640" s="2" t="s">
        <v>712</v>
      </c>
      <c r="CC2640" s="2" t="s">
        <v>169</v>
      </c>
      <c r="CD2640" s="2">
        <v>3610</v>
      </c>
      <c r="CE2640" s="2" t="s">
        <v>120</v>
      </c>
      <c r="CF2640" s="3">
        <v>43089</v>
      </c>
      <c r="CI2640" s="2">
        <v>1</v>
      </c>
      <c r="CJ2640" s="2">
        <v>1</v>
      </c>
      <c r="CK2640" s="2">
        <v>21</v>
      </c>
      <c r="CL2640" s="2" t="s">
        <v>89</v>
      </c>
    </row>
    <row r="2641" spans="1:90">
      <c r="A2641" s="2" t="s">
        <v>71</v>
      </c>
      <c r="B2641" s="2" t="s">
        <v>72</v>
      </c>
      <c r="C2641" s="2" t="s">
        <v>73</v>
      </c>
      <c r="E2641" s="2" t="str">
        <f>"FES1162596670"</f>
        <v>FES1162596670</v>
      </c>
      <c r="F2641" s="3">
        <v>43087</v>
      </c>
      <c r="G2641" s="2">
        <v>201806</v>
      </c>
      <c r="H2641" s="2" t="s">
        <v>74</v>
      </c>
      <c r="I2641" s="2" t="s">
        <v>75</v>
      </c>
      <c r="J2641" s="2" t="s">
        <v>97</v>
      </c>
      <c r="K2641" s="2" t="s">
        <v>77</v>
      </c>
      <c r="L2641" s="2" t="s">
        <v>136</v>
      </c>
      <c r="M2641" s="2" t="s">
        <v>137</v>
      </c>
      <c r="N2641" s="2" t="s">
        <v>1861</v>
      </c>
      <c r="O2641" s="2" t="s">
        <v>101</v>
      </c>
      <c r="P2641" s="2" t="str">
        <f>"2170608339                    "</f>
        <v xml:space="preserve">2170608339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6.43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45.93</v>
      </c>
      <c r="BM2641" s="2">
        <v>6.43</v>
      </c>
      <c r="BN2641" s="2">
        <v>52.36</v>
      </c>
      <c r="BO2641" s="2">
        <v>52.36</v>
      </c>
      <c r="BQ2641" s="2" t="s">
        <v>1862</v>
      </c>
      <c r="BR2641" s="2" t="s">
        <v>103</v>
      </c>
      <c r="BS2641" s="3">
        <v>43088</v>
      </c>
      <c r="BT2641" s="4">
        <v>0.33680555555555558</v>
      </c>
      <c r="BU2641" s="2" t="s">
        <v>2733</v>
      </c>
      <c r="BV2641" s="2" t="s">
        <v>85</v>
      </c>
      <c r="BY2641" s="2">
        <v>1200</v>
      </c>
      <c r="CA2641" s="2" t="s">
        <v>180</v>
      </c>
      <c r="CC2641" s="2" t="s">
        <v>137</v>
      </c>
      <c r="CD2641" s="2">
        <v>6001</v>
      </c>
      <c r="CE2641" s="2" t="s">
        <v>120</v>
      </c>
      <c r="CF2641" s="3">
        <v>43090</v>
      </c>
      <c r="CI2641" s="2">
        <v>1</v>
      </c>
      <c r="CJ2641" s="2">
        <v>1</v>
      </c>
      <c r="CK2641" s="2">
        <v>21</v>
      </c>
      <c r="CL2641" s="2" t="s">
        <v>89</v>
      </c>
    </row>
    <row r="2642" spans="1:90">
      <c r="A2642" s="2" t="s">
        <v>71</v>
      </c>
      <c r="B2642" s="2" t="s">
        <v>72</v>
      </c>
      <c r="C2642" s="2" t="s">
        <v>73</v>
      </c>
      <c r="E2642" s="2" t="str">
        <f>"FES1162596629"</f>
        <v>FES1162596629</v>
      </c>
      <c r="F2642" s="3">
        <v>43087</v>
      </c>
      <c r="G2642" s="2">
        <v>201806</v>
      </c>
      <c r="H2642" s="2" t="s">
        <v>74</v>
      </c>
      <c r="I2642" s="2" t="s">
        <v>75</v>
      </c>
      <c r="J2642" s="2" t="s">
        <v>97</v>
      </c>
      <c r="K2642" s="2" t="s">
        <v>77</v>
      </c>
      <c r="L2642" s="2" t="s">
        <v>158</v>
      </c>
      <c r="M2642" s="2" t="s">
        <v>159</v>
      </c>
      <c r="N2642" s="2" t="s">
        <v>2734</v>
      </c>
      <c r="O2642" s="2" t="s">
        <v>101</v>
      </c>
      <c r="P2642" s="2" t="str">
        <f>"2170607081                    "</f>
        <v xml:space="preserve">2170607081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6.43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1</v>
      </c>
      <c r="BJ2642" s="2">
        <v>0.2</v>
      </c>
      <c r="BK2642" s="2">
        <v>1</v>
      </c>
      <c r="BL2642" s="2">
        <v>45.93</v>
      </c>
      <c r="BM2642" s="2">
        <v>6.43</v>
      </c>
      <c r="BN2642" s="2">
        <v>52.36</v>
      </c>
      <c r="BO2642" s="2">
        <v>52.36</v>
      </c>
      <c r="BR2642" s="2" t="s">
        <v>103</v>
      </c>
      <c r="BS2642" s="3">
        <v>43090</v>
      </c>
      <c r="BT2642" s="4">
        <v>0.52083333333333337</v>
      </c>
      <c r="BU2642" s="2" t="s">
        <v>2144</v>
      </c>
      <c r="BV2642" s="2" t="s">
        <v>89</v>
      </c>
      <c r="BW2642" s="2" t="s">
        <v>156</v>
      </c>
      <c r="BX2642" s="2" t="s">
        <v>668</v>
      </c>
      <c r="BY2642" s="2">
        <v>1200</v>
      </c>
      <c r="CC2642" s="2" t="s">
        <v>159</v>
      </c>
      <c r="CD2642" s="2">
        <v>30</v>
      </c>
      <c r="CE2642" s="2" t="s">
        <v>120</v>
      </c>
      <c r="CF2642" s="3">
        <v>43091</v>
      </c>
      <c r="CI2642" s="2">
        <v>1</v>
      </c>
      <c r="CJ2642" s="2">
        <v>3</v>
      </c>
      <c r="CK2642" s="2">
        <v>21</v>
      </c>
      <c r="CL2642" s="2" t="s">
        <v>89</v>
      </c>
    </row>
    <row r="2643" spans="1:90">
      <c r="A2643" s="2" t="s">
        <v>71</v>
      </c>
      <c r="B2643" s="2" t="s">
        <v>72</v>
      </c>
      <c r="C2643" s="2" t="s">
        <v>73</v>
      </c>
      <c r="E2643" s="2" t="str">
        <f>"FES1162596684"</f>
        <v>FES1162596684</v>
      </c>
      <c r="F2643" s="3">
        <v>43087</v>
      </c>
      <c r="G2643" s="2">
        <v>201806</v>
      </c>
      <c r="H2643" s="2" t="s">
        <v>74</v>
      </c>
      <c r="I2643" s="2" t="s">
        <v>75</v>
      </c>
      <c r="J2643" s="2" t="s">
        <v>97</v>
      </c>
      <c r="K2643" s="2" t="s">
        <v>77</v>
      </c>
      <c r="L2643" s="2" t="s">
        <v>136</v>
      </c>
      <c r="M2643" s="2" t="s">
        <v>137</v>
      </c>
      <c r="N2643" s="2" t="s">
        <v>580</v>
      </c>
      <c r="O2643" s="2" t="s">
        <v>101</v>
      </c>
      <c r="P2643" s="2" t="str">
        <f>"217060860                     "</f>
        <v xml:space="preserve">217060860 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6.43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45.93</v>
      </c>
      <c r="BM2643" s="2">
        <v>6.43</v>
      </c>
      <c r="BN2643" s="2">
        <v>52.36</v>
      </c>
      <c r="BO2643" s="2">
        <v>52.36</v>
      </c>
      <c r="BQ2643" s="2" t="s">
        <v>102</v>
      </c>
      <c r="BR2643" s="2" t="s">
        <v>103</v>
      </c>
      <c r="BS2643" s="3">
        <v>43088</v>
      </c>
      <c r="BT2643" s="4">
        <v>0.31944444444444448</v>
      </c>
      <c r="BU2643" s="2" t="s">
        <v>2735</v>
      </c>
      <c r="BV2643" s="2" t="s">
        <v>85</v>
      </c>
      <c r="BY2643" s="2">
        <v>1200</v>
      </c>
      <c r="CA2643" s="2" t="s">
        <v>180</v>
      </c>
      <c r="CC2643" s="2" t="s">
        <v>137</v>
      </c>
      <c r="CD2643" s="2">
        <v>6001</v>
      </c>
      <c r="CE2643" s="2" t="s">
        <v>120</v>
      </c>
      <c r="CF2643" s="3">
        <v>43090</v>
      </c>
      <c r="CI2643" s="2">
        <v>1</v>
      </c>
      <c r="CJ2643" s="2">
        <v>1</v>
      </c>
      <c r="CK2643" s="2">
        <v>21</v>
      </c>
      <c r="CL2643" s="2" t="s">
        <v>89</v>
      </c>
    </row>
    <row r="2644" spans="1:90">
      <c r="A2644" s="2" t="s">
        <v>71</v>
      </c>
      <c r="B2644" s="2" t="s">
        <v>72</v>
      </c>
      <c r="C2644" s="2" t="s">
        <v>73</v>
      </c>
      <c r="E2644" s="2" t="str">
        <f>"FES1162596636"</f>
        <v>FES1162596636</v>
      </c>
      <c r="F2644" s="3">
        <v>43087</v>
      </c>
      <c r="G2644" s="2">
        <v>201806</v>
      </c>
      <c r="H2644" s="2" t="s">
        <v>74</v>
      </c>
      <c r="I2644" s="2" t="s">
        <v>75</v>
      </c>
      <c r="J2644" s="2" t="s">
        <v>97</v>
      </c>
      <c r="K2644" s="2" t="s">
        <v>77</v>
      </c>
      <c r="L2644" s="2" t="s">
        <v>490</v>
      </c>
      <c r="M2644" s="2" t="s">
        <v>491</v>
      </c>
      <c r="N2644" s="2" t="s">
        <v>2201</v>
      </c>
      <c r="O2644" s="2" t="s">
        <v>101</v>
      </c>
      <c r="P2644" s="2" t="str">
        <f>"21706070008                   "</f>
        <v xml:space="preserve">21706070008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6.43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45.93</v>
      </c>
      <c r="BM2644" s="2">
        <v>6.43</v>
      </c>
      <c r="BN2644" s="2">
        <v>52.36</v>
      </c>
      <c r="BO2644" s="2">
        <v>52.36</v>
      </c>
      <c r="BR2644" s="2" t="s">
        <v>103</v>
      </c>
      <c r="BS2644" s="3">
        <v>43088</v>
      </c>
      <c r="BT2644" s="4">
        <v>0.45833333333333331</v>
      </c>
      <c r="BU2644" s="2" t="s">
        <v>2700</v>
      </c>
      <c r="BV2644" s="2" t="s">
        <v>85</v>
      </c>
      <c r="BY2644" s="2">
        <v>1200</v>
      </c>
      <c r="CA2644" s="2" t="s">
        <v>2679</v>
      </c>
      <c r="CC2644" s="2" t="s">
        <v>491</v>
      </c>
      <c r="CD2644" s="2">
        <v>3699</v>
      </c>
      <c r="CE2644" s="2" t="s">
        <v>120</v>
      </c>
      <c r="CF2644" s="3">
        <v>43089</v>
      </c>
      <c r="CI2644" s="2">
        <v>1</v>
      </c>
      <c r="CJ2644" s="2">
        <v>1</v>
      </c>
      <c r="CK2644" s="2">
        <v>21</v>
      </c>
      <c r="CL2644" s="2" t="s">
        <v>89</v>
      </c>
    </row>
    <row r="2645" spans="1:90">
      <c r="A2645" s="2" t="s">
        <v>71</v>
      </c>
      <c r="B2645" s="2" t="s">
        <v>72</v>
      </c>
      <c r="C2645" s="2" t="s">
        <v>73</v>
      </c>
      <c r="E2645" s="2" t="str">
        <f>"FES1162596659"</f>
        <v>FES1162596659</v>
      </c>
      <c r="F2645" s="3">
        <v>43087</v>
      </c>
      <c r="G2645" s="2">
        <v>201806</v>
      </c>
      <c r="H2645" s="2" t="s">
        <v>74</v>
      </c>
      <c r="I2645" s="2" t="s">
        <v>75</v>
      </c>
      <c r="J2645" s="2" t="s">
        <v>97</v>
      </c>
      <c r="K2645" s="2" t="s">
        <v>77</v>
      </c>
      <c r="L2645" s="2" t="s">
        <v>98</v>
      </c>
      <c r="M2645" s="2" t="s">
        <v>99</v>
      </c>
      <c r="N2645" s="2" t="s">
        <v>2095</v>
      </c>
      <c r="O2645" s="2" t="s">
        <v>101</v>
      </c>
      <c r="P2645" s="2" t="str">
        <f>"2170608328                    "</f>
        <v xml:space="preserve">2170608328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6.43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1</v>
      </c>
      <c r="BJ2645" s="2">
        <v>0.2</v>
      </c>
      <c r="BK2645" s="2">
        <v>1</v>
      </c>
      <c r="BL2645" s="2">
        <v>45.93</v>
      </c>
      <c r="BM2645" s="2">
        <v>6.43</v>
      </c>
      <c r="BN2645" s="2">
        <v>52.36</v>
      </c>
      <c r="BO2645" s="2">
        <v>52.36</v>
      </c>
      <c r="BQ2645" s="2" t="s">
        <v>128</v>
      </c>
      <c r="BR2645" s="2" t="s">
        <v>103</v>
      </c>
      <c r="BS2645" s="3">
        <v>43088</v>
      </c>
      <c r="BT2645" s="4">
        <v>0.3923611111111111</v>
      </c>
      <c r="BU2645" s="2" t="s">
        <v>2736</v>
      </c>
      <c r="BV2645" s="2" t="s">
        <v>85</v>
      </c>
      <c r="BY2645" s="2">
        <v>1200</v>
      </c>
      <c r="CA2645" s="2" t="s">
        <v>497</v>
      </c>
      <c r="CC2645" s="2" t="s">
        <v>99</v>
      </c>
      <c r="CD2645" s="2">
        <v>3201</v>
      </c>
      <c r="CE2645" s="2" t="s">
        <v>120</v>
      </c>
      <c r="CF2645" s="3">
        <v>43089</v>
      </c>
      <c r="CI2645" s="2">
        <v>1</v>
      </c>
      <c r="CJ2645" s="2">
        <v>1</v>
      </c>
      <c r="CK2645" s="2">
        <v>21</v>
      </c>
      <c r="CL2645" s="2" t="s">
        <v>89</v>
      </c>
    </row>
    <row r="2646" spans="1:90">
      <c r="A2646" s="2" t="s">
        <v>71</v>
      </c>
      <c r="B2646" s="2" t="s">
        <v>72</v>
      </c>
      <c r="C2646" s="2" t="s">
        <v>73</v>
      </c>
      <c r="E2646" s="2" t="str">
        <f>"FES1162596665"</f>
        <v>FES1162596665</v>
      </c>
      <c r="F2646" s="3">
        <v>43087</v>
      </c>
      <c r="G2646" s="2">
        <v>201806</v>
      </c>
      <c r="H2646" s="2" t="s">
        <v>74</v>
      </c>
      <c r="I2646" s="2" t="s">
        <v>75</v>
      </c>
      <c r="J2646" s="2" t="s">
        <v>97</v>
      </c>
      <c r="K2646" s="2" t="s">
        <v>77</v>
      </c>
      <c r="L2646" s="2" t="s">
        <v>106</v>
      </c>
      <c r="M2646" s="2" t="s">
        <v>107</v>
      </c>
      <c r="N2646" s="2" t="s">
        <v>108</v>
      </c>
      <c r="O2646" s="2" t="s">
        <v>101</v>
      </c>
      <c r="P2646" s="2" t="str">
        <f>"2170608336                    "</f>
        <v xml:space="preserve">2170608336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5.03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35.89</v>
      </c>
      <c r="BM2646" s="2">
        <v>5.0199999999999996</v>
      </c>
      <c r="BN2646" s="2">
        <v>40.909999999999997</v>
      </c>
      <c r="BO2646" s="2">
        <v>40.909999999999997</v>
      </c>
      <c r="BQ2646" s="2" t="s">
        <v>82</v>
      </c>
      <c r="BR2646" s="2" t="s">
        <v>103</v>
      </c>
      <c r="BS2646" s="3">
        <v>43088</v>
      </c>
      <c r="BT2646" s="4">
        <v>0.36388888888888887</v>
      </c>
      <c r="BU2646" s="2" t="s">
        <v>563</v>
      </c>
      <c r="BV2646" s="2" t="s">
        <v>85</v>
      </c>
      <c r="BY2646" s="2">
        <v>1200</v>
      </c>
      <c r="CA2646" s="2" t="s">
        <v>110</v>
      </c>
      <c r="CC2646" s="2" t="s">
        <v>107</v>
      </c>
      <c r="CD2646" s="2">
        <v>2094</v>
      </c>
      <c r="CE2646" s="2" t="s">
        <v>120</v>
      </c>
      <c r="CF2646" s="3">
        <v>43089</v>
      </c>
      <c r="CI2646" s="2">
        <v>1</v>
      </c>
      <c r="CJ2646" s="2">
        <v>1</v>
      </c>
      <c r="CK2646" s="2">
        <v>22</v>
      </c>
      <c r="CL2646" s="2" t="s">
        <v>89</v>
      </c>
    </row>
    <row r="2647" spans="1:90">
      <c r="A2647" s="2" t="s">
        <v>71</v>
      </c>
      <c r="B2647" s="2" t="s">
        <v>72</v>
      </c>
      <c r="C2647" s="2" t="s">
        <v>73</v>
      </c>
      <c r="E2647" s="2" t="str">
        <f>"FES1162596544"</f>
        <v>FES1162596544</v>
      </c>
      <c r="F2647" s="3">
        <v>43087</v>
      </c>
      <c r="G2647" s="2">
        <v>201806</v>
      </c>
      <c r="H2647" s="2" t="s">
        <v>74</v>
      </c>
      <c r="I2647" s="2" t="s">
        <v>75</v>
      </c>
      <c r="J2647" s="2" t="s">
        <v>97</v>
      </c>
      <c r="K2647" s="2" t="s">
        <v>77</v>
      </c>
      <c r="L2647" s="2" t="s">
        <v>125</v>
      </c>
      <c r="M2647" s="2" t="s">
        <v>126</v>
      </c>
      <c r="N2647" s="2" t="s">
        <v>1360</v>
      </c>
      <c r="O2647" s="2" t="s">
        <v>81</v>
      </c>
      <c r="P2647" s="2" t="str">
        <f>"2170605526                    "</f>
        <v xml:space="preserve">2170605526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11.34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20</v>
      </c>
      <c r="BJ2647" s="2">
        <v>20.2</v>
      </c>
      <c r="BK2647" s="2">
        <v>21</v>
      </c>
      <c r="BL2647" s="2">
        <v>85.93</v>
      </c>
      <c r="BM2647" s="2">
        <v>12.03</v>
      </c>
      <c r="BN2647" s="2">
        <v>97.96</v>
      </c>
      <c r="BO2647" s="2">
        <v>97.96</v>
      </c>
      <c r="BQ2647" s="2" t="s">
        <v>187</v>
      </c>
      <c r="BR2647" s="2" t="s">
        <v>103</v>
      </c>
      <c r="BS2647" s="3">
        <v>43089</v>
      </c>
      <c r="BT2647" s="4">
        <v>0.74861111111111101</v>
      </c>
      <c r="BU2647" s="2" t="s">
        <v>2737</v>
      </c>
      <c r="BV2647" s="2" t="s">
        <v>89</v>
      </c>
      <c r="BY2647" s="2">
        <v>100800</v>
      </c>
      <c r="CA2647" s="2" t="s">
        <v>2738</v>
      </c>
      <c r="CC2647" s="2" t="s">
        <v>126</v>
      </c>
      <c r="CD2647" s="2">
        <v>4022</v>
      </c>
      <c r="CE2647" s="2" t="s">
        <v>1004</v>
      </c>
      <c r="CF2647" s="3">
        <v>43090</v>
      </c>
      <c r="CI2647" s="2">
        <v>1</v>
      </c>
      <c r="CJ2647" s="2">
        <v>2</v>
      </c>
      <c r="CK2647" s="2" t="s">
        <v>352</v>
      </c>
      <c r="CL2647" s="2" t="s">
        <v>89</v>
      </c>
    </row>
    <row r="2648" spans="1:90">
      <c r="A2648" s="2" t="s">
        <v>71</v>
      </c>
      <c r="B2648" s="2" t="s">
        <v>72</v>
      </c>
      <c r="C2648" s="2" t="s">
        <v>73</v>
      </c>
      <c r="E2648" s="2" t="str">
        <f>"009929615882"</f>
        <v>009929615882</v>
      </c>
      <c r="F2648" s="3">
        <v>43087</v>
      </c>
      <c r="G2648" s="2">
        <v>201806</v>
      </c>
      <c r="H2648" s="2" t="s">
        <v>74</v>
      </c>
      <c r="I2648" s="2" t="s">
        <v>75</v>
      </c>
      <c r="J2648" s="2" t="s">
        <v>2739</v>
      </c>
      <c r="K2648" s="2" t="s">
        <v>77</v>
      </c>
      <c r="L2648" s="2" t="s">
        <v>1085</v>
      </c>
      <c r="M2648" s="2" t="s">
        <v>174</v>
      </c>
      <c r="N2648" s="2" t="s">
        <v>2740</v>
      </c>
      <c r="O2648" s="2" t="s">
        <v>81</v>
      </c>
      <c r="P2648" s="2" t="str">
        <f>"                              "</f>
        <v xml:space="preserve">          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30.08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2</v>
      </c>
      <c r="BI2648" s="2">
        <v>32.9</v>
      </c>
      <c r="BJ2648" s="2">
        <v>44.3</v>
      </c>
      <c r="BK2648" s="2">
        <v>45</v>
      </c>
      <c r="BL2648" s="2">
        <v>219.74</v>
      </c>
      <c r="BM2648" s="2">
        <v>30.76</v>
      </c>
      <c r="BN2648" s="2">
        <v>250.5</v>
      </c>
      <c r="BO2648" s="2">
        <v>250.5</v>
      </c>
      <c r="BQ2648" s="2" t="s">
        <v>2741</v>
      </c>
      <c r="BR2648" s="2" t="s">
        <v>2742</v>
      </c>
      <c r="BS2648" s="2" t="s">
        <v>185</v>
      </c>
      <c r="BY2648" s="2">
        <v>221267.16</v>
      </c>
      <c r="CC2648" s="2" t="s">
        <v>174</v>
      </c>
      <c r="CD2648" s="2">
        <v>7435</v>
      </c>
      <c r="CE2648" s="2" t="s">
        <v>95</v>
      </c>
      <c r="CI2648" s="2">
        <v>2</v>
      </c>
      <c r="CJ2648" s="2" t="s">
        <v>185</v>
      </c>
      <c r="CK2648" s="2" t="s">
        <v>271</v>
      </c>
      <c r="CL2648" s="2" t="s">
        <v>89</v>
      </c>
    </row>
    <row r="2649" spans="1:90">
      <c r="A2649" s="2" t="s">
        <v>71</v>
      </c>
      <c r="B2649" s="2" t="s">
        <v>72</v>
      </c>
      <c r="C2649" s="2" t="s">
        <v>73</v>
      </c>
      <c r="E2649" s="2" t="str">
        <f>"FES1162595561"</f>
        <v>FES1162595561</v>
      </c>
      <c r="F2649" s="3">
        <v>43082</v>
      </c>
      <c r="G2649" s="2">
        <v>201806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253</v>
      </c>
      <c r="M2649" s="2" t="s">
        <v>254</v>
      </c>
      <c r="N2649" s="2" t="s">
        <v>255</v>
      </c>
      <c r="O2649" s="2" t="s">
        <v>81</v>
      </c>
      <c r="P2649" s="2" t="str">
        <f>"2170607324                    "</f>
        <v xml:space="preserve">2170607324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11.06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4</v>
      </c>
      <c r="BJ2649" s="2">
        <v>0.2</v>
      </c>
      <c r="BK2649" s="2">
        <v>4</v>
      </c>
      <c r="BL2649" s="2">
        <v>83.95</v>
      </c>
      <c r="BM2649" s="2">
        <v>11.75</v>
      </c>
      <c r="BN2649" s="2">
        <v>95.7</v>
      </c>
      <c r="BO2649" s="2">
        <v>95.7</v>
      </c>
      <c r="BQ2649" s="2" t="s">
        <v>82</v>
      </c>
      <c r="BR2649" s="2" t="s">
        <v>83</v>
      </c>
      <c r="BS2649" s="3">
        <v>43083</v>
      </c>
      <c r="BT2649" s="4">
        <v>0.59027777777777779</v>
      </c>
      <c r="BU2649" s="2" t="s">
        <v>2743</v>
      </c>
      <c r="BV2649" s="2" t="s">
        <v>85</v>
      </c>
      <c r="BY2649" s="2">
        <v>1200</v>
      </c>
      <c r="CA2649" s="2" t="s">
        <v>293</v>
      </c>
      <c r="CC2649" s="2" t="s">
        <v>254</v>
      </c>
      <c r="CD2649" s="2">
        <v>1900</v>
      </c>
      <c r="CE2649" s="2" t="s">
        <v>120</v>
      </c>
      <c r="CF2649" s="3">
        <v>43088</v>
      </c>
      <c r="CI2649" s="2">
        <v>1</v>
      </c>
      <c r="CJ2649" s="2">
        <v>1</v>
      </c>
      <c r="CK2649" s="2" t="s">
        <v>289</v>
      </c>
      <c r="CL2649" s="2" t="s">
        <v>89</v>
      </c>
    </row>
    <row r="2650" spans="1:90">
      <c r="A2650" s="2" t="s">
        <v>71</v>
      </c>
      <c r="B2650" s="2" t="s">
        <v>72</v>
      </c>
      <c r="C2650" s="2" t="s">
        <v>73</v>
      </c>
      <c r="E2650" s="2" t="str">
        <f>"FES1162595721"</f>
        <v>FES1162595721</v>
      </c>
      <c r="F2650" s="3">
        <v>43082</v>
      </c>
      <c r="G2650" s="2">
        <v>201806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78</v>
      </c>
      <c r="M2650" s="2" t="s">
        <v>79</v>
      </c>
      <c r="N2650" s="2" t="s">
        <v>2392</v>
      </c>
      <c r="O2650" s="2" t="s">
        <v>81</v>
      </c>
      <c r="P2650" s="2" t="str">
        <f>"2170603874                    "</f>
        <v xml:space="preserve">2170603874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14.27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2</v>
      </c>
      <c r="BI2650" s="2">
        <v>12</v>
      </c>
      <c r="BJ2650" s="2">
        <v>19.8</v>
      </c>
      <c r="BK2650" s="2">
        <v>20</v>
      </c>
      <c r="BL2650" s="2">
        <v>106.88</v>
      </c>
      <c r="BM2650" s="2">
        <v>14.96</v>
      </c>
      <c r="BN2650" s="2">
        <v>121.84</v>
      </c>
      <c r="BO2650" s="2">
        <v>121.84</v>
      </c>
      <c r="BQ2650" s="2" t="s">
        <v>82</v>
      </c>
      <c r="BR2650" s="2" t="s">
        <v>83</v>
      </c>
      <c r="BS2650" s="3">
        <v>43083</v>
      </c>
      <c r="BT2650" s="4">
        <v>0.40277777777777773</v>
      </c>
      <c r="BU2650" s="2" t="s">
        <v>1193</v>
      </c>
      <c r="BV2650" s="2" t="s">
        <v>85</v>
      </c>
      <c r="BY2650" s="2">
        <v>49419</v>
      </c>
      <c r="CA2650" s="2" t="s">
        <v>86</v>
      </c>
      <c r="CC2650" s="2" t="s">
        <v>79</v>
      </c>
      <c r="CD2650" s="2">
        <v>1947</v>
      </c>
      <c r="CE2650" s="2" t="s">
        <v>95</v>
      </c>
      <c r="CF2650" s="3">
        <v>43088</v>
      </c>
      <c r="CI2650" s="2">
        <v>1</v>
      </c>
      <c r="CJ2650" s="2">
        <v>1</v>
      </c>
      <c r="CK2650" s="2" t="s">
        <v>88</v>
      </c>
      <c r="CL2650" s="2" t="s">
        <v>89</v>
      </c>
    </row>
    <row r="2651" spans="1:90">
      <c r="A2651" s="2" t="s">
        <v>71</v>
      </c>
      <c r="B2651" s="2" t="s">
        <v>72</v>
      </c>
      <c r="C2651" s="2" t="s">
        <v>73</v>
      </c>
      <c r="E2651" s="2" t="str">
        <f>"FES1162596101"</f>
        <v>FES1162596101</v>
      </c>
      <c r="F2651" s="3">
        <v>43083</v>
      </c>
      <c r="G2651" s="2">
        <v>201806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566</v>
      </c>
      <c r="M2651" s="2" t="s">
        <v>567</v>
      </c>
      <c r="N2651" s="2" t="s">
        <v>2708</v>
      </c>
      <c r="O2651" s="2" t="s">
        <v>81</v>
      </c>
      <c r="P2651" s="2" t="str">
        <f>"2170604715                    "</f>
        <v xml:space="preserve">2170604715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9.0500000000000007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8.3000000000000007</v>
      </c>
      <c r="BJ2651" s="2">
        <v>9.1</v>
      </c>
      <c r="BK2651" s="2">
        <v>10</v>
      </c>
      <c r="BL2651" s="2">
        <v>69.599999999999994</v>
      </c>
      <c r="BM2651" s="2">
        <v>9.74</v>
      </c>
      <c r="BN2651" s="2">
        <v>79.34</v>
      </c>
      <c r="BO2651" s="2">
        <v>79.34</v>
      </c>
      <c r="BQ2651" s="2" t="s">
        <v>2709</v>
      </c>
      <c r="BR2651" s="2" t="s">
        <v>83</v>
      </c>
      <c r="BS2651" s="3">
        <v>43084</v>
      </c>
      <c r="BT2651" s="4">
        <v>0.41666666666666669</v>
      </c>
      <c r="BU2651" s="2" t="s">
        <v>205</v>
      </c>
      <c r="BV2651" s="2" t="s">
        <v>85</v>
      </c>
      <c r="BY2651" s="2">
        <v>45739.96</v>
      </c>
      <c r="CA2651" s="2" t="s">
        <v>2169</v>
      </c>
      <c r="CC2651" s="2" t="s">
        <v>567</v>
      </c>
      <c r="CD2651" s="2">
        <v>1754</v>
      </c>
      <c r="CE2651" s="2" t="s">
        <v>87</v>
      </c>
      <c r="CF2651" s="3">
        <v>43088</v>
      </c>
      <c r="CI2651" s="2">
        <v>1</v>
      </c>
      <c r="CJ2651" s="2">
        <v>1</v>
      </c>
      <c r="CK2651" s="2" t="s">
        <v>96</v>
      </c>
      <c r="CL2651" s="2" t="s">
        <v>89</v>
      </c>
    </row>
    <row r="2652" spans="1:90">
      <c r="A2652" s="2" t="s">
        <v>71</v>
      </c>
      <c r="B2652" s="2" t="s">
        <v>72</v>
      </c>
      <c r="C2652" s="2" t="s">
        <v>73</v>
      </c>
      <c r="E2652" s="2" t="str">
        <f>"FES1162595803"</f>
        <v>FES1162595803</v>
      </c>
      <c r="F2652" s="3">
        <v>43082</v>
      </c>
      <c r="G2652" s="2">
        <v>201806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285</v>
      </c>
      <c r="M2652" s="2" t="s">
        <v>159</v>
      </c>
      <c r="N2652" s="2" t="s">
        <v>2744</v>
      </c>
      <c r="O2652" s="2" t="s">
        <v>81</v>
      </c>
      <c r="P2652" s="2" t="str">
        <f>"2170607127                    "</f>
        <v xml:space="preserve">2170607127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11.06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3</v>
      </c>
      <c r="BJ2652" s="2">
        <v>3.6</v>
      </c>
      <c r="BK2652" s="2">
        <v>4</v>
      </c>
      <c r="BL2652" s="2">
        <v>83.95</v>
      </c>
      <c r="BM2652" s="2">
        <v>11.75</v>
      </c>
      <c r="BN2652" s="2">
        <v>95.7</v>
      </c>
      <c r="BO2652" s="2">
        <v>95.7</v>
      </c>
      <c r="BQ2652" s="2" t="s">
        <v>82</v>
      </c>
      <c r="BR2652" s="2" t="s">
        <v>83</v>
      </c>
      <c r="BS2652" s="3">
        <v>43083</v>
      </c>
      <c r="BT2652" s="4">
        <v>0.42777777777777781</v>
      </c>
      <c r="BU2652" s="2" t="s">
        <v>2745</v>
      </c>
      <c r="BY2652" s="2">
        <v>18000</v>
      </c>
      <c r="CA2652" s="2" t="s">
        <v>2746</v>
      </c>
      <c r="CC2652" s="2" t="s">
        <v>159</v>
      </c>
      <c r="CD2652" s="2">
        <v>1</v>
      </c>
      <c r="CE2652" s="2" t="s">
        <v>95</v>
      </c>
      <c r="CF2652" s="3">
        <v>43088</v>
      </c>
      <c r="CI2652" s="2">
        <v>0</v>
      </c>
      <c r="CJ2652" s="2">
        <v>0</v>
      </c>
      <c r="CK2652" s="2" t="s">
        <v>289</v>
      </c>
      <c r="CL2652" s="2" t="s">
        <v>89</v>
      </c>
    </row>
    <row r="2653" spans="1:90">
      <c r="A2653" s="2" t="s">
        <v>71</v>
      </c>
      <c r="B2653" s="2" t="s">
        <v>72</v>
      </c>
      <c r="C2653" s="2" t="s">
        <v>73</v>
      </c>
      <c r="E2653" s="2" t="str">
        <f>"FES1162595711"</f>
        <v>FES1162595711</v>
      </c>
      <c r="F2653" s="3">
        <v>43082</v>
      </c>
      <c r="G2653" s="2">
        <v>201806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253</v>
      </c>
      <c r="M2653" s="2" t="s">
        <v>254</v>
      </c>
      <c r="N2653" s="2" t="s">
        <v>773</v>
      </c>
      <c r="O2653" s="2" t="s">
        <v>81</v>
      </c>
      <c r="P2653" s="2" t="str">
        <f>"2170601263                    "</f>
        <v xml:space="preserve">2170601263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11.06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5</v>
      </c>
      <c r="BJ2653" s="2">
        <v>9.1999999999999993</v>
      </c>
      <c r="BK2653" s="2">
        <v>10</v>
      </c>
      <c r="BL2653" s="2">
        <v>83.95</v>
      </c>
      <c r="BM2653" s="2">
        <v>11.75</v>
      </c>
      <c r="BN2653" s="2">
        <v>95.7</v>
      </c>
      <c r="BO2653" s="2">
        <v>95.7</v>
      </c>
      <c r="BQ2653" s="2" t="s">
        <v>82</v>
      </c>
      <c r="BR2653" s="2" t="s">
        <v>83</v>
      </c>
      <c r="BS2653" s="3">
        <v>43083</v>
      </c>
      <c r="BT2653" s="4">
        <v>0.45347222222222222</v>
      </c>
      <c r="BU2653" s="2" t="s">
        <v>2747</v>
      </c>
      <c r="BV2653" s="2" t="s">
        <v>85</v>
      </c>
      <c r="BY2653" s="2">
        <v>46200</v>
      </c>
      <c r="CA2653" s="2" t="s">
        <v>257</v>
      </c>
      <c r="CC2653" s="2" t="s">
        <v>254</v>
      </c>
      <c r="CD2653" s="2">
        <v>1911</v>
      </c>
      <c r="CE2653" s="2" t="s">
        <v>87</v>
      </c>
      <c r="CF2653" s="3">
        <v>43088</v>
      </c>
      <c r="CI2653" s="2">
        <v>1</v>
      </c>
      <c r="CJ2653" s="2">
        <v>1</v>
      </c>
      <c r="CK2653" s="2" t="s">
        <v>289</v>
      </c>
      <c r="CL2653" s="2" t="s">
        <v>89</v>
      </c>
    </row>
    <row r="2654" spans="1:90">
      <c r="A2654" s="2" t="s">
        <v>71</v>
      </c>
      <c r="B2654" s="2" t="s">
        <v>72</v>
      </c>
      <c r="C2654" s="2" t="s">
        <v>73</v>
      </c>
      <c r="E2654" s="2" t="str">
        <f>"RFES1162584567"</f>
        <v>RFES1162584567</v>
      </c>
      <c r="F2654" s="3">
        <v>43088</v>
      </c>
      <c r="G2654" s="2">
        <v>201806</v>
      </c>
      <c r="H2654" s="2" t="s">
        <v>158</v>
      </c>
      <c r="I2654" s="2" t="s">
        <v>159</v>
      </c>
      <c r="J2654" s="2" t="s">
        <v>1645</v>
      </c>
      <c r="K2654" s="2" t="s">
        <v>77</v>
      </c>
      <c r="L2654" s="2" t="s">
        <v>74</v>
      </c>
      <c r="M2654" s="2" t="s">
        <v>75</v>
      </c>
      <c r="N2654" s="2" t="s">
        <v>97</v>
      </c>
      <c r="O2654" s="2" t="s">
        <v>101</v>
      </c>
      <c r="P2654" s="2" t="str">
        <f>"2170595338                    "</f>
        <v xml:space="preserve">2170595338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6.43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45.93</v>
      </c>
      <c r="BM2654" s="2">
        <v>6.43</v>
      </c>
      <c r="BN2654" s="2">
        <v>52.36</v>
      </c>
      <c r="BO2654" s="2">
        <v>52.36</v>
      </c>
      <c r="BQ2654" s="2" t="s">
        <v>103</v>
      </c>
      <c r="BR2654" s="2" t="s">
        <v>102</v>
      </c>
      <c r="BS2654" s="3">
        <v>43089</v>
      </c>
      <c r="BT2654" s="4">
        <v>0.34027777777777773</v>
      </c>
      <c r="BU2654" s="2" t="s">
        <v>1076</v>
      </c>
      <c r="BV2654" s="2" t="s">
        <v>85</v>
      </c>
      <c r="BY2654" s="2">
        <v>0</v>
      </c>
      <c r="CA2654" s="2" t="s">
        <v>366</v>
      </c>
      <c r="CC2654" s="2" t="s">
        <v>75</v>
      </c>
      <c r="CD2654" s="2">
        <v>1600</v>
      </c>
      <c r="CF2654" s="3">
        <v>43091</v>
      </c>
      <c r="CI2654" s="2">
        <v>1</v>
      </c>
      <c r="CJ2654" s="2">
        <v>1</v>
      </c>
      <c r="CK2654" s="2">
        <v>21</v>
      </c>
      <c r="CL2654" s="2" t="s">
        <v>89</v>
      </c>
    </row>
    <row r="2655" spans="1:90">
      <c r="A2655" s="2" t="s">
        <v>71</v>
      </c>
      <c r="B2655" s="2" t="s">
        <v>72</v>
      </c>
      <c r="C2655" s="2" t="s">
        <v>73</v>
      </c>
      <c r="E2655" s="2" t="str">
        <f>"R009935791593"</f>
        <v>R009935791593</v>
      </c>
      <c r="F2655" s="3">
        <v>43088</v>
      </c>
      <c r="G2655" s="2">
        <v>201806</v>
      </c>
      <c r="H2655" s="2" t="s">
        <v>158</v>
      </c>
      <c r="I2655" s="2" t="s">
        <v>159</v>
      </c>
      <c r="J2655" s="2" t="s">
        <v>2748</v>
      </c>
      <c r="K2655" s="2" t="s">
        <v>77</v>
      </c>
      <c r="L2655" s="2" t="s">
        <v>74</v>
      </c>
      <c r="M2655" s="2" t="s">
        <v>75</v>
      </c>
      <c r="N2655" s="2" t="s">
        <v>97</v>
      </c>
      <c r="O2655" s="2" t="s">
        <v>101</v>
      </c>
      <c r="P2655" s="2" t="str">
        <f>"1162585019                    "</f>
        <v xml:space="preserve">1162585019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6.43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45.93</v>
      </c>
      <c r="BM2655" s="2">
        <v>6.43</v>
      </c>
      <c r="BN2655" s="2">
        <v>52.36</v>
      </c>
      <c r="BO2655" s="2">
        <v>52.36</v>
      </c>
      <c r="BQ2655" s="2" t="s">
        <v>103</v>
      </c>
      <c r="BR2655" s="2" t="s">
        <v>102</v>
      </c>
      <c r="BS2655" s="3">
        <v>43089</v>
      </c>
      <c r="BT2655" s="4">
        <v>0.34027777777777773</v>
      </c>
      <c r="BU2655" s="2" t="s">
        <v>1076</v>
      </c>
      <c r="BV2655" s="2" t="s">
        <v>85</v>
      </c>
      <c r="BY2655" s="2">
        <v>1200</v>
      </c>
      <c r="CA2655" s="2" t="s">
        <v>366</v>
      </c>
      <c r="CC2655" s="2" t="s">
        <v>75</v>
      </c>
      <c r="CD2655" s="2">
        <v>1600</v>
      </c>
      <c r="CE2655" s="2" t="s">
        <v>2749</v>
      </c>
      <c r="CF2655" s="3">
        <v>43091</v>
      </c>
      <c r="CI2655" s="2">
        <v>1</v>
      </c>
      <c r="CJ2655" s="2">
        <v>1</v>
      </c>
      <c r="CK2655" s="2">
        <v>21</v>
      </c>
      <c r="CL2655" s="2" t="s">
        <v>89</v>
      </c>
    </row>
    <row r="2656" spans="1:90">
      <c r="A2656" s="2" t="s">
        <v>71</v>
      </c>
      <c r="B2656" s="2" t="s">
        <v>72</v>
      </c>
      <c r="C2656" s="2" t="s">
        <v>73</v>
      </c>
      <c r="E2656" s="2" t="str">
        <f>"RFES1162588426"</f>
        <v>RFES1162588426</v>
      </c>
      <c r="F2656" s="3">
        <v>43088</v>
      </c>
      <c r="G2656" s="2">
        <v>201806</v>
      </c>
      <c r="H2656" s="2" t="s">
        <v>158</v>
      </c>
      <c r="I2656" s="2" t="s">
        <v>159</v>
      </c>
      <c r="J2656" s="2" t="s">
        <v>2490</v>
      </c>
      <c r="K2656" s="2" t="s">
        <v>77</v>
      </c>
      <c r="L2656" s="2" t="s">
        <v>74</v>
      </c>
      <c r="M2656" s="2" t="s">
        <v>75</v>
      </c>
      <c r="N2656" s="2" t="s">
        <v>97</v>
      </c>
      <c r="O2656" s="2" t="s">
        <v>101</v>
      </c>
      <c r="P2656" s="2" t="str">
        <f>"2170598839                    "</f>
        <v xml:space="preserve">2170598839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6.43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45.93</v>
      </c>
      <c r="BM2656" s="2">
        <v>6.43</v>
      </c>
      <c r="BN2656" s="2">
        <v>52.36</v>
      </c>
      <c r="BO2656" s="2">
        <v>52.36</v>
      </c>
      <c r="BQ2656" s="2" t="s">
        <v>103</v>
      </c>
      <c r="BR2656" s="2" t="s">
        <v>102</v>
      </c>
      <c r="BS2656" s="3">
        <v>43089</v>
      </c>
      <c r="BT2656" s="4">
        <v>0.34027777777777773</v>
      </c>
      <c r="BU2656" s="2" t="s">
        <v>1076</v>
      </c>
      <c r="BV2656" s="2" t="s">
        <v>85</v>
      </c>
      <c r="BY2656" s="2">
        <v>1200</v>
      </c>
      <c r="CA2656" s="2" t="s">
        <v>366</v>
      </c>
      <c r="CC2656" s="2" t="s">
        <v>75</v>
      </c>
      <c r="CD2656" s="2">
        <v>1600</v>
      </c>
      <c r="CE2656" s="2" t="s">
        <v>2749</v>
      </c>
      <c r="CF2656" s="3">
        <v>43091</v>
      </c>
      <c r="CI2656" s="2">
        <v>1</v>
      </c>
      <c r="CJ2656" s="2">
        <v>1</v>
      </c>
      <c r="CK2656" s="2">
        <v>21</v>
      </c>
      <c r="CL2656" s="2" t="s">
        <v>89</v>
      </c>
    </row>
    <row r="2657" spans="1:90">
      <c r="A2657" s="2" t="s">
        <v>71</v>
      </c>
      <c r="B2657" s="2" t="s">
        <v>72</v>
      </c>
      <c r="C2657" s="2" t="s">
        <v>73</v>
      </c>
      <c r="E2657" s="2" t="str">
        <f>"FES1162596726"</f>
        <v>FES1162596726</v>
      </c>
      <c r="F2657" s="3">
        <v>43088</v>
      </c>
      <c r="G2657" s="2">
        <v>201806</v>
      </c>
      <c r="H2657" s="2" t="s">
        <v>74</v>
      </c>
      <c r="I2657" s="2" t="s">
        <v>75</v>
      </c>
      <c r="J2657" s="2" t="s">
        <v>97</v>
      </c>
      <c r="K2657" s="2" t="s">
        <v>77</v>
      </c>
      <c r="L2657" s="2" t="s">
        <v>158</v>
      </c>
      <c r="M2657" s="2" t="s">
        <v>159</v>
      </c>
      <c r="N2657" s="2" t="s">
        <v>2350</v>
      </c>
      <c r="O2657" s="2" t="s">
        <v>101</v>
      </c>
      <c r="P2657" s="2" t="str">
        <f>"217060781                     "</f>
        <v xml:space="preserve">217060781 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6.43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45.93</v>
      </c>
      <c r="BM2657" s="2">
        <v>6.43</v>
      </c>
      <c r="BN2657" s="2">
        <v>52.36</v>
      </c>
      <c r="BO2657" s="2">
        <v>52.36</v>
      </c>
      <c r="BR2657" s="2" t="s">
        <v>103</v>
      </c>
      <c r="BS2657" s="2" t="s">
        <v>185</v>
      </c>
      <c r="BY2657" s="2">
        <v>1200</v>
      </c>
      <c r="CC2657" s="2" t="s">
        <v>159</v>
      </c>
      <c r="CD2657" s="2">
        <v>1</v>
      </c>
      <c r="CE2657" s="2" t="s">
        <v>120</v>
      </c>
      <c r="CI2657" s="2">
        <v>1</v>
      </c>
      <c r="CJ2657" s="2" t="s">
        <v>185</v>
      </c>
      <c r="CK2657" s="2">
        <v>21</v>
      </c>
      <c r="CL2657" s="2" t="s">
        <v>89</v>
      </c>
    </row>
    <row r="2658" spans="1:90">
      <c r="A2658" s="2" t="s">
        <v>71</v>
      </c>
      <c r="B2658" s="2" t="s">
        <v>72</v>
      </c>
      <c r="C2658" s="2" t="s">
        <v>73</v>
      </c>
      <c r="E2658" s="2" t="str">
        <f>"FES1162596876"</f>
        <v>FES1162596876</v>
      </c>
      <c r="F2658" s="3">
        <v>43088</v>
      </c>
      <c r="G2658" s="2">
        <v>201806</v>
      </c>
      <c r="H2658" s="2" t="s">
        <v>74</v>
      </c>
      <c r="I2658" s="2" t="s">
        <v>75</v>
      </c>
      <c r="J2658" s="2" t="s">
        <v>97</v>
      </c>
      <c r="K2658" s="2" t="s">
        <v>77</v>
      </c>
      <c r="L2658" s="2" t="s">
        <v>158</v>
      </c>
      <c r="M2658" s="2" t="s">
        <v>159</v>
      </c>
      <c r="N2658" s="2" t="s">
        <v>1191</v>
      </c>
      <c r="O2658" s="2" t="s">
        <v>101</v>
      </c>
      <c r="P2658" s="2" t="str">
        <f>"2170605820                    "</f>
        <v xml:space="preserve">2170605820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6.43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45.93</v>
      </c>
      <c r="BM2658" s="2">
        <v>6.43</v>
      </c>
      <c r="BN2658" s="2">
        <v>52.36</v>
      </c>
      <c r="BO2658" s="2">
        <v>52.36</v>
      </c>
      <c r="BQ2658" s="2" t="s">
        <v>1192</v>
      </c>
      <c r="BR2658" s="2" t="s">
        <v>103</v>
      </c>
      <c r="BS2658" s="3">
        <v>43089</v>
      </c>
      <c r="BT2658" s="4">
        <v>0.68055555555555547</v>
      </c>
      <c r="BU2658" s="2" t="s">
        <v>1467</v>
      </c>
      <c r="BV2658" s="2" t="s">
        <v>89</v>
      </c>
      <c r="BW2658" s="2" t="s">
        <v>156</v>
      </c>
      <c r="BX2658" s="2" t="s">
        <v>668</v>
      </c>
      <c r="BY2658" s="2">
        <v>1200</v>
      </c>
      <c r="CC2658" s="2" t="s">
        <v>159</v>
      </c>
      <c r="CD2658" s="2">
        <v>200</v>
      </c>
      <c r="CE2658" s="2" t="s">
        <v>120</v>
      </c>
      <c r="CF2658" s="3">
        <v>43090</v>
      </c>
      <c r="CI2658" s="2">
        <v>1</v>
      </c>
      <c r="CJ2658" s="2">
        <v>1</v>
      </c>
      <c r="CK2658" s="2">
        <v>21</v>
      </c>
      <c r="CL2658" s="2" t="s">
        <v>89</v>
      </c>
    </row>
    <row r="2659" spans="1:90">
      <c r="A2659" s="2" t="s">
        <v>71</v>
      </c>
      <c r="B2659" s="2" t="s">
        <v>72</v>
      </c>
      <c r="C2659" s="2" t="s">
        <v>73</v>
      </c>
      <c r="E2659" s="2" t="str">
        <f>"FES1162596756"</f>
        <v>FES1162596756</v>
      </c>
      <c r="F2659" s="3">
        <v>43088</v>
      </c>
      <c r="G2659" s="2">
        <v>201806</v>
      </c>
      <c r="H2659" s="2" t="s">
        <v>74</v>
      </c>
      <c r="I2659" s="2" t="s">
        <v>75</v>
      </c>
      <c r="J2659" s="2" t="s">
        <v>97</v>
      </c>
      <c r="K2659" s="2" t="s">
        <v>77</v>
      </c>
      <c r="L2659" s="2" t="s">
        <v>125</v>
      </c>
      <c r="M2659" s="2" t="s">
        <v>126</v>
      </c>
      <c r="N2659" s="2" t="s">
        <v>2750</v>
      </c>
      <c r="O2659" s="2" t="s">
        <v>101</v>
      </c>
      <c r="P2659" s="2" t="str">
        <f>"2170608272                    "</f>
        <v xml:space="preserve">2170608272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6.43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45.93</v>
      </c>
      <c r="BM2659" s="2">
        <v>6.43</v>
      </c>
      <c r="BN2659" s="2">
        <v>52.36</v>
      </c>
      <c r="BO2659" s="2">
        <v>52.36</v>
      </c>
      <c r="BQ2659" s="2" t="s">
        <v>102</v>
      </c>
      <c r="BR2659" s="2" t="s">
        <v>103</v>
      </c>
      <c r="BS2659" s="3">
        <v>43089</v>
      </c>
      <c r="BT2659" s="4">
        <v>0.30902777777777779</v>
      </c>
      <c r="BU2659" s="2" t="s">
        <v>2237</v>
      </c>
      <c r="BV2659" s="2" t="s">
        <v>85</v>
      </c>
      <c r="BY2659" s="2">
        <v>1200</v>
      </c>
      <c r="CA2659" s="2" t="s">
        <v>1313</v>
      </c>
      <c r="CC2659" s="2" t="s">
        <v>126</v>
      </c>
      <c r="CD2659" s="2">
        <v>4093</v>
      </c>
      <c r="CE2659" s="2" t="s">
        <v>120</v>
      </c>
      <c r="CF2659" s="3">
        <v>43090</v>
      </c>
      <c r="CI2659" s="2">
        <v>1</v>
      </c>
      <c r="CJ2659" s="2">
        <v>1</v>
      </c>
      <c r="CK2659" s="2">
        <v>21</v>
      </c>
      <c r="CL2659" s="2" t="s">
        <v>89</v>
      </c>
    </row>
    <row r="2660" spans="1:90">
      <c r="A2660" s="2" t="s">
        <v>71</v>
      </c>
      <c r="B2660" s="2" t="s">
        <v>72</v>
      </c>
      <c r="C2660" s="2" t="s">
        <v>73</v>
      </c>
      <c r="E2660" s="2" t="str">
        <f>"FES1162596739"</f>
        <v>FES1162596739</v>
      </c>
      <c r="F2660" s="3">
        <v>43088</v>
      </c>
      <c r="G2660" s="2">
        <v>201806</v>
      </c>
      <c r="H2660" s="2" t="s">
        <v>74</v>
      </c>
      <c r="I2660" s="2" t="s">
        <v>75</v>
      </c>
      <c r="J2660" s="2" t="s">
        <v>97</v>
      </c>
      <c r="K2660" s="2" t="s">
        <v>77</v>
      </c>
      <c r="L2660" s="2" t="s">
        <v>98</v>
      </c>
      <c r="M2660" s="2" t="s">
        <v>99</v>
      </c>
      <c r="N2660" s="2" t="s">
        <v>100</v>
      </c>
      <c r="O2660" s="2" t="s">
        <v>101</v>
      </c>
      <c r="P2660" s="2" t="str">
        <f>"2170607474                    "</f>
        <v xml:space="preserve">2170607474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6.43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45.93</v>
      </c>
      <c r="BM2660" s="2">
        <v>6.43</v>
      </c>
      <c r="BN2660" s="2">
        <v>52.36</v>
      </c>
      <c r="BO2660" s="2">
        <v>52.36</v>
      </c>
      <c r="BQ2660" s="2" t="s">
        <v>102</v>
      </c>
      <c r="BR2660" s="2" t="s">
        <v>103</v>
      </c>
      <c r="BS2660" s="2" t="s">
        <v>185</v>
      </c>
      <c r="BY2660" s="2">
        <v>1200</v>
      </c>
      <c r="CC2660" s="2" t="s">
        <v>99</v>
      </c>
      <c r="CD2660" s="2">
        <v>3201</v>
      </c>
      <c r="CE2660" s="2" t="s">
        <v>120</v>
      </c>
      <c r="CI2660" s="2">
        <v>1</v>
      </c>
      <c r="CJ2660" s="2" t="s">
        <v>185</v>
      </c>
      <c r="CK2660" s="2">
        <v>21</v>
      </c>
      <c r="CL2660" s="2" t="s">
        <v>89</v>
      </c>
    </row>
    <row r="2661" spans="1:90">
      <c r="A2661" s="2" t="s">
        <v>71</v>
      </c>
      <c r="B2661" s="2" t="s">
        <v>72</v>
      </c>
      <c r="C2661" s="2" t="s">
        <v>73</v>
      </c>
      <c r="E2661" s="2" t="str">
        <f>"FES1162596737"</f>
        <v>FES1162596737</v>
      </c>
      <c r="F2661" s="3">
        <v>43088</v>
      </c>
      <c r="G2661" s="2">
        <v>201806</v>
      </c>
      <c r="H2661" s="2" t="s">
        <v>74</v>
      </c>
      <c r="I2661" s="2" t="s">
        <v>75</v>
      </c>
      <c r="J2661" s="2" t="s">
        <v>97</v>
      </c>
      <c r="K2661" s="2" t="s">
        <v>77</v>
      </c>
      <c r="L2661" s="2" t="s">
        <v>152</v>
      </c>
      <c r="M2661" s="2" t="s">
        <v>153</v>
      </c>
      <c r="N2661" s="2" t="s">
        <v>718</v>
      </c>
      <c r="O2661" s="2" t="s">
        <v>101</v>
      </c>
      <c r="P2661" s="2" t="str">
        <f>"2170607422                    "</f>
        <v xml:space="preserve">2170607422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5.03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</v>
      </c>
      <c r="BJ2661" s="2">
        <v>0.2</v>
      </c>
      <c r="BK2661" s="2">
        <v>1</v>
      </c>
      <c r="BL2661" s="2">
        <v>35.89</v>
      </c>
      <c r="BM2661" s="2">
        <v>5.0199999999999996</v>
      </c>
      <c r="BN2661" s="2">
        <v>40.909999999999997</v>
      </c>
      <c r="BO2661" s="2">
        <v>40.909999999999997</v>
      </c>
      <c r="BQ2661" s="2" t="s">
        <v>142</v>
      </c>
      <c r="BR2661" s="2" t="s">
        <v>103</v>
      </c>
      <c r="BS2661" s="2" t="s">
        <v>185</v>
      </c>
      <c r="BY2661" s="2">
        <v>1200</v>
      </c>
      <c r="CC2661" s="2" t="s">
        <v>153</v>
      </c>
      <c r="CD2661" s="2">
        <v>1406</v>
      </c>
      <c r="CE2661" s="2" t="s">
        <v>120</v>
      </c>
      <c r="CI2661" s="2">
        <v>1</v>
      </c>
      <c r="CJ2661" s="2" t="s">
        <v>185</v>
      </c>
      <c r="CK2661" s="2">
        <v>22</v>
      </c>
      <c r="CL2661" s="2" t="s">
        <v>89</v>
      </c>
    </row>
    <row r="2662" spans="1:90">
      <c r="A2662" s="2" t="s">
        <v>71</v>
      </c>
      <c r="B2662" s="2" t="s">
        <v>72</v>
      </c>
      <c r="C2662" s="2" t="s">
        <v>73</v>
      </c>
      <c r="E2662" s="2" t="str">
        <f>"FES1162596715"</f>
        <v>FES1162596715</v>
      </c>
      <c r="F2662" s="3">
        <v>43088</v>
      </c>
      <c r="G2662" s="2">
        <v>201806</v>
      </c>
      <c r="H2662" s="2" t="s">
        <v>74</v>
      </c>
      <c r="I2662" s="2" t="s">
        <v>75</v>
      </c>
      <c r="J2662" s="2" t="s">
        <v>97</v>
      </c>
      <c r="K2662" s="2" t="s">
        <v>77</v>
      </c>
      <c r="L2662" s="2" t="s">
        <v>168</v>
      </c>
      <c r="M2662" s="2" t="s">
        <v>169</v>
      </c>
      <c r="N2662" s="2" t="s">
        <v>1188</v>
      </c>
      <c r="O2662" s="2" t="s">
        <v>101</v>
      </c>
      <c r="P2662" s="2" t="str">
        <f>"2170605671                    "</f>
        <v xml:space="preserve">2170605671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6.43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1</v>
      </c>
      <c r="BJ2662" s="2">
        <v>0.2</v>
      </c>
      <c r="BK2662" s="2">
        <v>1</v>
      </c>
      <c r="BL2662" s="2">
        <v>45.93</v>
      </c>
      <c r="BM2662" s="2">
        <v>6.43</v>
      </c>
      <c r="BN2662" s="2">
        <v>52.36</v>
      </c>
      <c r="BO2662" s="2">
        <v>52.36</v>
      </c>
      <c r="BQ2662" s="2" t="s">
        <v>1189</v>
      </c>
      <c r="BR2662" s="2" t="s">
        <v>103</v>
      </c>
      <c r="BS2662" s="3">
        <v>43089</v>
      </c>
      <c r="BT2662" s="4">
        <v>0.40416666666666662</v>
      </c>
      <c r="BU2662" s="2" t="s">
        <v>2572</v>
      </c>
      <c r="BV2662" s="2" t="s">
        <v>85</v>
      </c>
      <c r="BY2662" s="2">
        <v>1200</v>
      </c>
      <c r="CA2662" s="2" t="s">
        <v>220</v>
      </c>
      <c r="CC2662" s="2" t="s">
        <v>169</v>
      </c>
      <c r="CD2662" s="2">
        <v>3610</v>
      </c>
      <c r="CE2662" s="2" t="s">
        <v>120</v>
      </c>
      <c r="CF2662" s="3">
        <v>43090</v>
      </c>
      <c r="CI2662" s="2">
        <v>1</v>
      </c>
      <c r="CJ2662" s="2">
        <v>1</v>
      </c>
      <c r="CK2662" s="2">
        <v>21</v>
      </c>
      <c r="CL2662" s="2" t="s">
        <v>89</v>
      </c>
    </row>
    <row r="2663" spans="1:90">
      <c r="A2663" s="2" t="s">
        <v>71</v>
      </c>
      <c r="B2663" s="2" t="s">
        <v>72</v>
      </c>
      <c r="C2663" s="2" t="s">
        <v>73</v>
      </c>
      <c r="E2663" s="2" t="str">
        <f>"FES1162596716"</f>
        <v>FES1162596716</v>
      </c>
      <c r="F2663" s="3">
        <v>43088</v>
      </c>
      <c r="G2663" s="2">
        <v>201806</v>
      </c>
      <c r="H2663" s="2" t="s">
        <v>74</v>
      </c>
      <c r="I2663" s="2" t="s">
        <v>75</v>
      </c>
      <c r="J2663" s="2" t="s">
        <v>97</v>
      </c>
      <c r="K2663" s="2" t="s">
        <v>77</v>
      </c>
      <c r="L2663" s="2" t="s">
        <v>598</v>
      </c>
      <c r="M2663" s="2" t="s">
        <v>599</v>
      </c>
      <c r="N2663" s="2" t="s">
        <v>600</v>
      </c>
      <c r="O2663" s="2" t="s">
        <v>101</v>
      </c>
      <c r="P2663" s="2" t="str">
        <f>"2170606448                    "</f>
        <v xml:space="preserve">2170606448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12.47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89</v>
      </c>
      <c r="BM2663" s="2">
        <v>12.46</v>
      </c>
      <c r="BN2663" s="2">
        <v>101.46</v>
      </c>
      <c r="BO2663" s="2">
        <v>101.46</v>
      </c>
      <c r="BQ2663" s="2" t="s">
        <v>102</v>
      </c>
      <c r="BR2663" s="2" t="s">
        <v>103</v>
      </c>
      <c r="BS2663" s="3">
        <v>43089</v>
      </c>
      <c r="BT2663" s="4">
        <v>0.39583333333333331</v>
      </c>
      <c r="BU2663" s="2" t="s">
        <v>2751</v>
      </c>
      <c r="BV2663" s="2" t="s">
        <v>85</v>
      </c>
      <c r="BY2663" s="2">
        <v>1200</v>
      </c>
      <c r="CA2663" s="2" t="s">
        <v>602</v>
      </c>
      <c r="CC2663" s="2" t="s">
        <v>599</v>
      </c>
      <c r="CD2663" s="2">
        <v>9700</v>
      </c>
      <c r="CE2663" s="2" t="s">
        <v>120</v>
      </c>
      <c r="CF2663" s="3">
        <v>43096</v>
      </c>
      <c r="CI2663" s="2">
        <v>1</v>
      </c>
      <c r="CJ2663" s="2">
        <v>1</v>
      </c>
      <c r="CK2663" s="2">
        <v>23</v>
      </c>
      <c r="CL2663" s="2" t="s">
        <v>89</v>
      </c>
    </row>
    <row r="2664" spans="1:90">
      <c r="A2664" s="2" t="s">
        <v>71</v>
      </c>
      <c r="B2664" s="2" t="s">
        <v>72</v>
      </c>
      <c r="C2664" s="2" t="s">
        <v>73</v>
      </c>
      <c r="E2664" s="2" t="str">
        <f>"FES1162596953"</f>
        <v>FES1162596953</v>
      </c>
      <c r="F2664" s="3">
        <v>43088</v>
      </c>
      <c r="G2664" s="2">
        <v>201806</v>
      </c>
      <c r="H2664" s="2" t="s">
        <v>74</v>
      </c>
      <c r="I2664" s="2" t="s">
        <v>75</v>
      </c>
      <c r="J2664" s="2" t="s">
        <v>97</v>
      </c>
      <c r="K2664" s="2" t="s">
        <v>77</v>
      </c>
      <c r="L2664" s="2" t="s">
        <v>136</v>
      </c>
      <c r="M2664" s="2" t="s">
        <v>137</v>
      </c>
      <c r="N2664" s="2" t="s">
        <v>580</v>
      </c>
      <c r="O2664" s="2" t="s">
        <v>101</v>
      </c>
      <c r="P2664" s="2" t="str">
        <f>"2170608495                    "</f>
        <v xml:space="preserve">2170608495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6.43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45.93</v>
      </c>
      <c r="BM2664" s="2">
        <v>6.43</v>
      </c>
      <c r="BN2664" s="2">
        <v>52.36</v>
      </c>
      <c r="BO2664" s="2">
        <v>52.36</v>
      </c>
      <c r="BQ2664" s="2" t="s">
        <v>102</v>
      </c>
      <c r="BR2664" s="2" t="s">
        <v>103</v>
      </c>
      <c r="BS2664" s="3">
        <v>43089</v>
      </c>
      <c r="BT2664" s="4">
        <v>0.31597222222222221</v>
      </c>
      <c r="BU2664" s="2" t="s">
        <v>581</v>
      </c>
      <c r="BV2664" s="2" t="s">
        <v>85</v>
      </c>
      <c r="BY2664" s="2">
        <v>1200</v>
      </c>
      <c r="CA2664" s="2" t="s">
        <v>180</v>
      </c>
      <c r="CC2664" s="2" t="s">
        <v>137</v>
      </c>
      <c r="CD2664" s="2">
        <v>6001</v>
      </c>
      <c r="CE2664" s="2" t="s">
        <v>120</v>
      </c>
      <c r="CF2664" s="3">
        <v>43090</v>
      </c>
      <c r="CI2664" s="2">
        <v>1</v>
      </c>
      <c r="CJ2664" s="2">
        <v>1</v>
      </c>
      <c r="CK2664" s="2">
        <v>21</v>
      </c>
      <c r="CL2664" s="2" t="s">
        <v>89</v>
      </c>
    </row>
    <row r="2665" spans="1:90">
      <c r="A2665" s="2" t="s">
        <v>71</v>
      </c>
      <c r="B2665" s="2" t="s">
        <v>72</v>
      </c>
      <c r="C2665" s="2" t="s">
        <v>73</v>
      </c>
      <c r="E2665" s="2" t="str">
        <f>"FES1162596947"</f>
        <v>FES1162596947</v>
      </c>
      <c r="F2665" s="3">
        <v>43088</v>
      </c>
      <c r="G2665" s="2">
        <v>201806</v>
      </c>
      <c r="H2665" s="2" t="s">
        <v>74</v>
      </c>
      <c r="I2665" s="2" t="s">
        <v>75</v>
      </c>
      <c r="J2665" s="2" t="s">
        <v>97</v>
      </c>
      <c r="K2665" s="2" t="s">
        <v>77</v>
      </c>
      <c r="L2665" s="2" t="s">
        <v>136</v>
      </c>
      <c r="M2665" s="2" t="s">
        <v>137</v>
      </c>
      <c r="N2665" s="2" t="s">
        <v>580</v>
      </c>
      <c r="O2665" s="2" t="s">
        <v>101</v>
      </c>
      <c r="P2665" s="2" t="str">
        <f>"2170608495                    "</f>
        <v xml:space="preserve">2170608495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6.43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1</v>
      </c>
      <c r="BJ2665" s="2">
        <v>0.2</v>
      </c>
      <c r="BK2665" s="2">
        <v>1</v>
      </c>
      <c r="BL2665" s="2">
        <v>45.93</v>
      </c>
      <c r="BM2665" s="2">
        <v>6.43</v>
      </c>
      <c r="BN2665" s="2">
        <v>52.36</v>
      </c>
      <c r="BO2665" s="2">
        <v>52.36</v>
      </c>
      <c r="BQ2665" s="2" t="s">
        <v>102</v>
      </c>
      <c r="BR2665" s="2" t="s">
        <v>103</v>
      </c>
      <c r="BS2665" s="3">
        <v>43089</v>
      </c>
      <c r="BT2665" s="4">
        <v>0.31597222222222221</v>
      </c>
      <c r="BU2665" s="2" t="s">
        <v>581</v>
      </c>
      <c r="BV2665" s="2" t="s">
        <v>85</v>
      </c>
      <c r="BY2665" s="2">
        <v>1200</v>
      </c>
      <c r="CA2665" s="2" t="s">
        <v>180</v>
      </c>
      <c r="CC2665" s="2" t="s">
        <v>137</v>
      </c>
      <c r="CD2665" s="2">
        <v>6001</v>
      </c>
      <c r="CE2665" s="2" t="s">
        <v>120</v>
      </c>
      <c r="CF2665" s="3">
        <v>43090</v>
      </c>
      <c r="CI2665" s="2">
        <v>1</v>
      </c>
      <c r="CJ2665" s="2">
        <v>1</v>
      </c>
      <c r="CK2665" s="2">
        <v>21</v>
      </c>
      <c r="CL2665" s="2" t="s">
        <v>89</v>
      </c>
    </row>
    <row r="2666" spans="1:90">
      <c r="A2666" s="2" t="s">
        <v>71</v>
      </c>
      <c r="B2666" s="2" t="s">
        <v>72</v>
      </c>
      <c r="C2666" s="2" t="s">
        <v>73</v>
      </c>
      <c r="E2666" s="2" t="str">
        <f>"FES1162596714"</f>
        <v>FES1162596714</v>
      </c>
      <c r="F2666" s="3">
        <v>43088</v>
      </c>
      <c r="G2666" s="2">
        <v>201806</v>
      </c>
      <c r="H2666" s="2" t="s">
        <v>74</v>
      </c>
      <c r="I2666" s="2" t="s">
        <v>75</v>
      </c>
      <c r="J2666" s="2" t="s">
        <v>97</v>
      </c>
      <c r="K2666" s="2" t="s">
        <v>77</v>
      </c>
      <c r="L2666" s="2" t="s">
        <v>490</v>
      </c>
      <c r="M2666" s="2" t="s">
        <v>491</v>
      </c>
      <c r="N2666" s="2" t="s">
        <v>2201</v>
      </c>
      <c r="O2666" s="2" t="s">
        <v>101</v>
      </c>
      <c r="P2666" s="2" t="str">
        <f>"2170605509                    "</f>
        <v xml:space="preserve">2170605509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6.43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45.93</v>
      </c>
      <c r="BM2666" s="2">
        <v>6.43</v>
      </c>
      <c r="BN2666" s="2">
        <v>52.36</v>
      </c>
      <c r="BO2666" s="2">
        <v>52.36</v>
      </c>
      <c r="BR2666" s="2" t="s">
        <v>103</v>
      </c>
      <c r="BS2666" s="3">
        <v>43090</v>
      </c>
      <c r="BT2666" s="4">
        <v>0.41666666666666669</v>
      </c>
      <c r="BU2666" s="2" t="s">
        <v>2752</v>
      </c>
      <c r="BV2666" s="2" t="s">
        <v>89</v>
      </c>
      <c r="BW2666" s="2" t="s">
        <v>471</v>
      </c>
      <c r="BX2666" s="2" t="s">
        <v>1390</v>
      </c>
      <c r="BY2666" s="2">
        <v>1200</v>
      </c>
      <c r="CA2666" s="2" t="s">
        <v>494</v>
      </c>
      <c r="CC2666" s="2" t="s">
        <v>491</v>
      </c>
      <c r="CD2666" s="2">
        <v>3699</v>
      </c>
      <c r="CE2666" s="2" t="s">
        <v>120</v>
      </c>
      <c r="CF2666" s="3">
        <v>43091</v>
      </c>
      <c r="CI2666" s="2">
        <v>1</v>
      </c>
      <c r="CJ2666" s="2">
        <v>2</v>
      </c>
      <c r="CK2666" s="2">
        <v>21</v>
      </c>
      <c r="CL2666" s="2" t="s">
        <v>89</v>
      </c>
    </row>
    <row r="2667" spans="1:90">
      <c r="A2667" s="2" t="s">
        <v>71</v>
      </c>
      <c r="B2667" s="2" t="s">
        <v>72</v>
      </c>
      <c r="C2667" s="2" t="s">
        <v>73</v>
      </c>
      <c r="E2667" s="2" t="str">
        <f>"FES1162596809"</f>
        <v>FES1162596809</v>
      </c>
      <c r="F2667" s="3">
        <v>43088</v>
      </c>
      <c r="G2667" s="2">
        <v>201806</v>
      </c>
      <c r="H2667" s="2" t="s">
        <v>74</v>
      </c>
      <c r="I2667" s="2" t="s">
        <v>75</v>
      </c>
      <c r="J2667" s="2" t="s">
        <v>97</v>
      </c>
      <c r="K2667" s="2" t="s">
        <v>77</v>
      </c>
      <c r="L2667" s="2" t="s">
        <v>136</v>
      </c>
      <c r="M2667" s="2" t="s">
        <v>137</v>
      </c>
      <c r="N2667" s="2" t="s">
        <v>1042</v>
      </c>
      <c r="O2667" s="2" t="s">
        <v>101</v>
      </c>
      <c r="P2667" s="2" t="str">
        <f>"2170608434                    "</f>
        <v xml:space="preserve">2170608434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6.43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45.93</v>
      </c>
      <c r="BM2667" s="2">
        <v>6.43</v>
      </c>
      <c r="BN2667" s="2">
        <v>52.36</v>
      </c>
      <c r="BO2667" s="2">
        <v>52.36</v>
      </c>
      <c r="BQ2667" s="2" t="s">
        <v>1043</v>
      </c>
      <c r="BR2667" s="2" t="s">
        <v>103</v>
      </c>
      <c r="BS2667" s="3">
        <v>43089</v>
      </c>
      <c r="BT2667" s="4">
        <v>0.29583333333333334</v>
      </c>
      <c r="BU2667" s="2" t="s">
        <v>2753</v>
      </c>
      <c r="BV2667" s="2" t="s">
        <v>85</v>
      </c>
      <c r="BY2667" s="2">
        <v>1200</v>
      </c>
      <c r="CA2667" s="2" t="s">
        <v>140</v>
      </c>
      <c r="CC2667" s="2" t="s">
        <v>137</v>
      </c>
      <c r="CD2667" s="2">
        <v>6012</v>
      </c>
      <c r="CE2667" s="2" t="s">
        <v>120</v>
      </c>
      <c r="CF2667" s="3">
        <v>43090</v>
      </c>
      <c r="CI2667" s="2">
        <v>1</v>
      </c>
      <c r="CJ2667" s="2">
        <v>1</v>
      </c>
      <c r="CK2667" s="2">
        <v>21</v>
      </c>
      <c r="CL2667" s="2" t="s">
        <v>89</v>
      </c>
    </row>
    <row r="2668" spans="1:90">
      <c r="A2668" s="2" t="s">
        <v>71</v>
      </c>
      <c r="B2668" s="2" t="s">
        <v>72</v>
      </c>
      <c r="C2668" s="2" t="s">
        <v>73</v>
      </c>
      <c r="E2668" s="2" t="str">
        <f>"FES1162596802"</f>
        <v>FES1162596802</v>
      </c>
      <c r="F2668" s="3">
        <v>43088</v>
      </c>
      <c r="G2668" s="2">
        <v>201806</v>
      </c>
      <c r="H2668" s="2" t="s">
        <v>74</v>
      </c>
      <c r="I2668" s="2" t="s">
        <v>75</v>
      </c>
      <c r="J2668" s="2" t="s">
        <v>97</v>
      </c>
      <c r="K2668" s="2" t="s">
        <v>77</v>
      </c>
      <c r="L2668" s="2" t="s">
        <v>74</v>
      </c>
      <c r="M2668" s="2" t="s">
        <v>75</v>
      </c>
      <c r="N2668" s="2" t="s">
        <v>925</v>
      </c>
      <c r="O2668" s="2" t="s">
        <v>101</v>
      </c>
      <c r="P2668" s="2" t="str">
        <f>"2170606092 F                  "</f>
        <v xml:space="preserve">2170606092 F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5.03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</v>
      </c>
      <c r="BJ2668" s="2">
        <v>0.2</v>
      </c>
      <c r="BK2668" s="2">
        <v>1</v>
      </c>
      <c r="BL2668" s="2">
        <v>35.89</v>
      </c>
      <c r="BM2668" s="2">
        <v>5.0199999999999996</v>
      </c>
      <c r="BN2668" s="2">
        <v>40.909999999999997</v>
      </c>
      <c r="BO2668" s="2">
        <v>40.909999999999997</v>
      </c>
      <c r="BQ2668" s="2" t="s">
        <v>926</v>
      </c>
      <c r="BR2668" s="2" t="s">
        <v>103</v>
      </c>
      <c r="BS2668" s="3">
        <v>43089</v>
      </c>
      <c r="BT2668" s="4">
        <v>0.38125000000000003</v>
      </c>
      <c r="BU2668" s="2" t="s">
        <v>2754</v>
      </c>
      <c r="BV2668" s="2" t="s">
        <v>85</v>
      </c>
      <c r="BY2668" s="2">
        <v>1200</v>
      </c>
      <c r="CA2668" s="2" t="s">
        <v>355</v>
      </c>
      <c r="CC2668" s="2" t="s">
        <v>75</v>
      </c>
      <c r="CD2668" s="2">
        <v>1600</v>
      </c>
      <c r="CE2668" s="2" t="s">
        <v>120</v>
      </c>
      <c r="CF2668" s="3">
        <v>43091</v>
      </c>
      <c r="CI2668" s="2">
        <v>1</v>
      </c>
      <c r="CJ2668" s="2">
        <v>1</v>
      </c>
      <c r="CK2668" s="2">
        <v>22</v>
      </c>
      <c r="CL2668" s="2" t="s">
        <v>89</v>
      </c>
    </row>
    <row r="2669" spans="1:90">
      <c r="A2669" s="2" t="s">
        <v>71</v>
      </c>
      <c r="B2669" s="2" t="s">
        <v>72</v>
      </c>
      <c r="C2669" s="2" t="s">
        <v>73</v>
      </c>
      <c r="E2669" s="2" t="str">
        <f>"FES1162596766"</f>
        <v>FES1162596766</v>
      </c>
      <c r="F2669" s="3">
        <v>43088</v>
      </c>
      <c r="G2669" s="2">
        <v>201806</v>
      </c>
      <c r="H2669" s="2" t="s">
        <v>74</v>
      </c>
      <c r="I2669" s="2" t="s">
        <v>75</v>
      </c>
      <c r="J2669" s="2" t="s">
        <v>97</v>
      </c>
      <c r="K2669" s="2" t="s">
        <v>77</v>
      </c>
      <c r="L2669" s="2" t="s">
        <v>325</v>
      </c>
      <c r="M2669" s="2" t="s">
        <v>326</v>
      </c>
      <c r="N2669" s="2" t="s">
        <v>309</v>
      </c>
      <c r="O2669" s="2" t="s">
        <v>101</v>
      </c>
      <c r="P2669" s="2" t="str">
        <f>"2170608404                    "</f>
        <v xml:space="preserve">2170608404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6.43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1.3</v>
      </c>
      <c r="BJ2669" s="2">
        <v>0.8</v>
      </c>
      <c r="BK2669" s="2">
        <v>1.5</v>
      </c>
      <c r="BL2669" s="2">
        <v>45.93</v>
      </c>
      <c r="BM2669" s="2">
        <v>6.43</v>
      </c>
      <c r="BN2669" s="2">
        <v>52.36</v>
      </c>
      <c r="BO2669" s="2">
        <v>52.36</v>
      </c>
      <c r="BQ2669" s="2" t="s">
        <v>128</v>
      </c>
      <c r="BR2669" s="2" t="s">
        <v>103</v>
      </c>
      <c r="BS2669" s="3">
        <v>43089</v>
      </c>
      <c r="BT2669" s="4">
        <v>0.67986111111111114</v>
      </c>
      <c r="BU2669" s="2" t="s">
        <v>2755</v>
      </c>
      <c r="BV2669" s="2" t="s">
        <v>89</v>
      </c>
      <c r="BY2669" s="2">
        <v>3791.58</v>
      </c>
      <c r="CA2669" s="2" t="s">
        <v>1326</v>
      </c>
      <c r="CC2669" s="2" t="s">
        <v>326</v>
      </c>
      <c r="CD2669" s="2">
        <v>1930</v>
      </c>
      <c r="CE2669" s="2" t="s">
        <v>87</v>
      </c>
      <c r="CF2669" s="3">
        <v>43090</v>
      </c>
      <c r="CI2669" s="2">
        <v>1</v>
      </c>
      <c r="CJ2669" s="2">
        <v>1</v>
      </c>
      <c r="CK2669" s="2">
        <v>21</v>
      </c>
      <c r="CL2669" s="2" t="s">
        <v>89</v>
      </c>
    </row>
    <row r="2670" spans="1:90">
      <c r="A2670" s="2" t="s">
        <v>71</v>
      </c>
      <c r="B2670" s="2" t="s">
        <v>72</v>
      </c>
      <c r="C2670" s="2" t="s">
        <v>73</v>
      </c>
      <c r="E2670" s="2" t="str">
        <f>"FES1162596760"</f>
        <v>FES1162596760</v>
      </c>
      <c r="F2670" s="3">
        <v>43088</v>
      </c>
      <c r="G2670" s="2">
        <v>201806</v>
      </c>
      <c r="H2670" s="2" t="s">
        <v>74</v>
      </c>
      <c r="I2670" s="2" t="s">
        <v>75</v>
      </c>
      <c r="J2670" s="2" t="s">
        <v>97</v>
      </c>
      <c r="K2670" s="2" t="s">
        <v>77</v>
      </c>
      <c r="L2670" s="2" t="s">
        <v>78</v>
      </c>
      <c r="M2670" s="2" t="s">
        <v>79</v>
      </c>
      <c r="N2670" s="2" t="s">
        <v>80</v>
      </c>
      <c r="O2670" s="2" t="s">
        <v>101</v>
      </c>
      <c r="P2670" s="2" t="str">
        <f>"2170608390                    "</f>
        <v xml:space="preserve">2170608390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6.43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</v>
      </c>
      <c r="BJ2670" s="2">
        <v>1.1000000000000001</v>
      </c>
      <c r="BK2670" s="2">
        <v>1.5</v>
      </c>
      <c r="BL2670" s="2">
        <v>45.93</v>
      </c>
      <c r="BM2670" s="2">
        <v>6.43</v>
      </c>
      <c r="BN2670" s="2">
        <v>52.36</v>
      </c>
      <c r="BO2670" s="2">
        <v>52.36</v>
      </c>
      <c r="BQ2670" s="2" t="s">
        <v>102</v>
      </c>
      <c r="BR2670" s="2" t="s">
        <v>103</v>
      </c>
      <c r="BS2670" s="3">
        <v>43089</v>
      </c>
      <c r="BT2670" s="4">
        <v>0.64236111111111105</v>
      </c>
      <c r="BU2670" s="2" t="s">
        <v>2404</v>
      </c>
      <c r="BV2670" s="2" t="s">
        <v>89</v>
      </c>
      <c r="BY2670" s="2">
        <v>5400</v>
      </c>
      <c r="CA2670" s="2" t="s">
        <v>86</v>
      </c>
      <c r="CC2670" s="2" t="s">
        <v>79</v>
      </c>
      <c r="CD2670" s="2">
        <v>1947</v>
      </c>
      <c r="CE2670" s="2" t="s">
        <v>87</v>
      </c>
      <c r="CF2670" s="3">
        <v>43090</v>
      </c>
      <c r="CI2670" s="2">
        <v>1</v>
      </c>
      <c r="CJ2670" s="2">
        <v>1</v>
      </c>
      <c r="CK2670" s="2">
        <v>21</v>
      </c>
      <c r="CL2670" s="2" t="s">
        <v>89</v>
      </c>
    </row>
    <row r="2671" spans="1:90">
      <c r="A2671" s="2" t="s">
        <v>71</v>
      </c>
      <c r="B2671" s="2" t="s">
        <v>72</v>
      </c>
      <c r="C2671" s="2" t="s">
        <v>73</v>
      </c>
      <c r="E2671" s="2" t="str">
        <f>"FES1162596845"</f>
        <v>FES1162596845</v>
      </c>
      <c r="F2671" s="3">
        <v>43088</v>
      </c>
      <c r="G2671" s="2">
        <v>201806</v>
      </c>
      <c r="H2671" s="2" t="s">
        <v>74</v>
      </c>
      <c r="I2671" s="2" t="s">
        <v>75</v>
      </c>
      <c r="J2671" s="2" t="s">
        <v>97</v>
      </c>
      <c r="K2671" s="2" t="s">
        <v>77</v>
      </c>
      <c r="L2671" s="2" t="s">
        <v>131</v>
      </c>
      <c r="M2671" s="2" t="s">
        <v>132</v>
      </c>
      <c r="N2671" s="2" t="s">
        <v>228</v>
      </c>
      <c r="O2671" s="2" t="s">
        <v>101</v>
      </c>
      <c r="P2671" s="2" t="str">
        <f>"2170605549                    "</f>
        <v xml:space="preserve">2170605549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6.43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1.9</v>
      </c>
      <c r="BJ2671" s="2">
        <v>0.8</v>
      </c>
      <c r="BK2671" s="2">
        <v>2</v>
      </c>
      <c r="BL2671" s="2">
        <v>45.93</v>
      </c>
      <c r="BM2671" s="2">
        <v>6.43</v>
      </c>
      <c r="BN2671" s="2">
        <v>52.36</v>
      </c>
      <c r="BO2671" s="2">
        <v>52.36</v>
      </c>
      <c r="BQ2671" s="2" t="s">
        <v>229</v>
      </c>
      <c r="BR2671" s="2" t="s">
        <v>103</v>
      </c>
      <c r="BS2671" s="3">
        <v>43089</v>
      </c>
      <c r="BT2671" s="4">
        <v>0.39930555555555558</v>
      </c>
      <c r="BU2671" s="2" t="s">
        <v>230</v>
      </c>
      <c r="BV2671" s="2" t="s">
        <v>85</v>
      </c>
      <c r="BY2671" s="2">
        <v>3986.35</v>
      </c>
      <c r="CA2671" s="2" t="s">
        <v>231</v>
      </c>
      <c r="CC2671" s="2" t="s">
        <v>132</v>
      </c>
      <c r="CD2671" s="2">
        <v>4300</v>
      </c>
      <c r="CE2671" s="2" t="s">
        <v>95</v>
      </c>
      <c r="CF2671" s="3">
        <v>43090</v>
      </c>
      <c r="CI2671" s="2">
        <v>1</v>
      </c>
      <c r="CJ2671" s="2">
        <v>1</v>
      </c>
      <c r="CK2671" s="2">
        <v>21</v>
      </c>
      <c r="CL2671" s="2" t="s">
        <v>89</v>
      </c>
    </row>
    <row r="2672" spans="1:90">
      <c r="A2672" s="2" t="s">
        <v>71</v>
      </c>
      <c r="B2672" s="2" t="s">
        <v>72</v>
      </c>
      <c r="C2672" s="2" t="s">
        <v>73</v>
      </c>
      <c r="E2672" s="2" t="str">
        <f>"FES1162596852"</f>
        <v>FES1162596852</v>
      </c>
      <c r="F2672" s="3">
        <v>43088</v>
      </c>
      <c r="G2672" s="2">
        <v>201806</v>
      </c>
      <c r="H2672" s="2" t="s">
        <v>74</v>
      </c>
      <c r="I2672" s="2" t="s">
        <v>75</v>
      </c>
      <c r="J2672" s="2" t="s">
        <v>97</v>
      </c>
      <c r="K2672" s="2" t="s">
        <v>77</v>
      </c>
      <c r="L2672" s="2" t="s">
        <v>173</v>
      </c>
      <c r="M2672" s="2" t="s">
        <v>174</v>
      </c>
      <c r="N2672" s="2" t="s">
        <v>419</v>
      </c>
      <c r="O2672" s="2" t="s">
        <v>101</v>
      </c>
      <c r="P2672" s="2" t="str">
        <f>"2170605418                    "</f>
        <v xml:space="preserve">2170605418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6.43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1</v>
      </c>
      <c r="BJ2672" s="2">
        <v>1.7</v>
      </c>
      <c r="BK2672" s="2">
        <v>2</v>
      </c>
      <c r="BL2672" s="2">
        <v>45.93</v>
      </c>
      <c r="BM2672" s="2">
        <v>6.43</v>
      </c>
      <c r="BN2672" s="2">
        <v>52.36</v>
      </c>
      <c r="BO2672" s="2">
        <v>52.36</v>
      </c>
      <c r="BQ2672" s="2" t="s">
        <v>102</v>
      </c>
      <c r="BR2672" s="2" t="s">
        <v>103</v>
      </c>
      <c r="BS2672" s="2" t="s">
        <v>185</v>
      </c>
      <c r="BY2672" s="2">
        <v>8252.82</v>
      </c>
      <c r="CC2672" s="2" t="s">
        <v>174</v>
      </c>
      <c r="CD2672" s="2">
        <v>7945</v>
      </c>
      <c r="CE2672" s="2" t="s">
        <v>95</v>
      </c>
      <c r="CI2672" s="2">
        <v>1</v>
      </c>
      <c r="CJ2672" s="2" t="s">
        <v>185</v>
      </c>
      <c r="CK2672" s="2">
        <v>21</v>
      </c>
      <c r="CL2672" s="2" t="s">
        <v>89</v>
      </c>
    </row>
    <row r="2673" spans="1:90">
      <c r="A2673" s="2" t="s">
        <v>71</v>
      </c>
      <c r="B2673" s="2" t="s">
        <v>72</v>
      </c>
      <c r="C2673" s="2" t="s">
        <v>73</v>
      </c>
      <c r="E2673" s="2" t="str">
        <f>"FES1162596797"</f>
        <v>FES1162596797</v>
      </c>
      <c r="F2673" s="3">
        <v>43088</v>
      </c>
      <c r="G2673" s="2">
        <v>201806</v>
      </c>
      <c r="H2673" s="2" t="s">
        <v>74</v>
      </c>
      <c r="I2673" s="2" t="s">
        <v>75</v>
      </c>
      <c r="J2673" s="2" t="s">
        <v>97</v>
      </c>
      <c r="K2673" s="2" t="s">
        <v>77</v>
      </c>
      <c r="L2673" s="2" t="s">
        <v>173</v>
      </c>
      <c r="M2673" s="2" t="s">
        <v>174</v>
      </c>
      <c r="N2673" s="2" t="s">
        <v>349</v>
      </c>
      <c r="O2673" s="2" t="s">
        <v>101</v>
      </c>
      <c r="P2673" s="2" t="str">
        <f>"2170605876                    "</f>
        <v xml:space="preserve">2170605876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6.43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0.5</v>
      </c>
      <c r="BJ2673" s="2">
        <v>1.6</v>
      </c>
      <c r="BK2673" s="2">
        <v>2</v>
      </c>
      <c r="BL2673" s="2">
        <v>45.93</v>
      </c>
      <c r="BM2673" s="2">
        <v>6.43</v>
      </c>
      <c r="BN2673" s="2">
        <v>52.36</v>
      </c>
      <c r="BO2673" s="2">
        <v>52.36</v>
      </c>
      <c r="BQ2673" s="2" t="s">
        <v>879</v>
      </c>
      <c r="BR2673" s="2" t="s">
        <v>103</v>
      </c>
      <c r="BS2673" s="3">
        <v>43089</v>
      </c>
      <c r="BT2673" s="4">
        <v>0.41666666666666669</v>
      </c>
      <c r="BU2673" s="2" t="s">
        <v>1036</v>
      </c>
      <c r="BV2673" s="2" t="s">
        <v>85</v>
      </c>
      <c r="BY2673" s="2">
        <v>8026.82</v>
      </c>
      <c r="CA2673" s="2" t="s">
        <v>1713</v>
      </c>
      <c r="CC2673" s="2" t="s">
        <v>174</v>
      </c>
      <c r="CD2673" s="2">
        <v>7800</v>
      </c>
      <c r="CE2673" s="2" t="s">
        <v>95</v>
      </c>
      <c r="CF2673" s="3">
        <v>43090</v>
      </c>
      <c r="CI2673" s="2">
        <v>1</v>
      </c>
      <c r="CJ2673" s="2">
        <v>1</v>
      </c>
      <c r="CK2673" s="2">
        <v>21</v>
      </c>
      <c r="CL2673" s="2" t="s">
        <v>89</v>
      </c>
    </row>
    <row r="2674" spans="1:90">
      <c r="A2674" s="2" t="s">
        <v>71</v>
      </c>
      <c r="B2674" s="2" t="s">
        <v>72</v>
      </c>
      <c r="C2674" s="2" t="s">
        <v>73</v>
      </c>
      <c r="E2674" s="2" t="str">
        <f>"FES1162596727"</f>
        <v>FES1162596727</v>
      </c>
      <c r="F2674" s="3">
        <v>43088</v>
      </c>
      <c r="G2674" s="2">
        <v>201806</v>
      </c>
      <c r="H2674" s="2" t="s">
        <v>74</v>
      </c>
      <c r="I2674" s="2" t="s">
        <v>75</v>
      </c>
      <c r="J2674" s="2" t="s">
        <v>97</v>
      </c>
      <c r="K2674" s="2" t="s">
        <v>77</v>
      </c>
      <c r="L2674" s="2" t="s">
        <v>158</v>
      </c>
      <c r="M2674" s="2" t="s">
        <v>159</v>
      </c>
      <c r="N2674" s="2" t="s">
        <v>164</v>
      </c>
      <c r="O2674" s="2" t="s">
        <v>101</v>
      </c>
      <c r="P2674" s="2" t="str">
        <f>"217060840                     "</f>
        <v xml:space="preserve">217060840 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6.43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45.93</v>
      </c>
      <c r="BM2674" s="2">
        <v>6.43</v>
      </c>
      <c r="BN2674" s="2">
        <v>52.36</v>
      </c>
      <c r="BO2674" s="2">
        <v>52.36</v>
      </c>
      <c r="BQ2674" s="2" t="s">
        <v>102</v>
      </c>
      <c r="BR2674" s="2" t="s">
        <v>103</v>
      </c>
      <c r="BS2674" s="3">
        <v>43089</v>
      </c>
      <c r="BT2674" s="4">
        <v>0.62916666666666665</v>
      </c>
      <c r="BU2674" s="2" t="s">
        <v>2756</v>
      </c>
      <c r="BV2674" s="2" t="s">
        <v>89</v>
      </c>
      <c r="BW2674" s="2" t="s">
        <v>149</v>
      </c>
      <c r="BX2674" s="2" t="s">
        <v>668</v>
      </c>
      <c r="BY2674" s="2">
        <v>1200</v>
      </c>
      <c r="CC2674" s="2" t="s">
        <v>159</v>
      </c>
      <c r="CD2674" s="2">
        <v>200</v>
      </c>
      <c r="CE2674" s="2" t="s">
        <v>120</v>
      </c>
      <c r="CF2674" s="3">
        <v>43090</v>
      </c>
      <c r="CI2674" s="2">
        <v>1</v>
      </c>
      <c r="CJ2674" s="2">
        <v>1</v>
      </c>
      <c r="CK2674" s="2">
        <v>21</v>
      </c>
      <c r="CL2674" s="2" t="s">
        <v>89</v>
      </c>
    </row>
    <row r="2675" spans="1:90">
      <c r="A2675" s="2" t="s">
        <v>71</v>
      </c>
      <c r="B2675" s="2" t="s">
        <v>72</v>
      </c>
      <c r="C2675" s="2" t="s">
        <v>73</v>
      </c>
      <c r="E2675" s="2" t="str">
        <f>"FES1162596798"</f>
        <v>FES1162596798</v>
      </c>
      <c r="F2675" s="3">
        <v>43088</v>
      </c>
      <c r="G2675" s="2">
        <v>201806</v>
      </c>
      <c r="H2675" s="2" t="s">
        <v>74</v>
      </c>
      <c r="I2675" s="2" t="s">
        <v>75</v>
      </c>
      <c r="J2675" s="2" t="s">
        <v>97</v>
      </c>
      <c r="K2675" s="2" t="s">
        <v>77</v>
      </c>
      <c r="L2675" s="2" t="s">
        <v>212</v>
      </c>
      <c r="M2675" s="2" t="s">
        <v>212</v>
      </c>
      <c r="N2675" s="2" t="s">
        <v>213</v>
      </c>
      <c r="O2675" s="2" t="s">
        <v>101</v>
      </c>
      <c r="P2675" s="2" t="str">
        <f>"2170605936                    "</f>
        <v xml:space="preserve">2170605936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6.43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45.93</v>
      </c>
      <c r="BM2675" s="2">
        <v>6.43</v>
      </c>
      <c r="BN2675" s="2">
        <v>52.36</v>
      </c>
      <c r="BO2675" s="2">
        <v>52.36</v>
      </c>
      <c r="BQ2675" s="2" t="s">
        <v>102</v>
      </c>
      <c r="BR2675" s="2" t="s">
        <v>103</v>
      </c>
      <c r="BS2675" s="3">
        <v>43089</v>
      </c>
      <c r="BT2675" s="4">
        <v>0.52777777777777779</v>
      </c>
      <c r="BU2675" s="2" t="s">
        <v>2757</v>
      </c>
      <c r="BV2675" s="2" t="s">
        <v>85</v>
      </c>
      <c r="BY2675" s="2">
        <v>1200</v>
      </c>
      <c r="CC2675" s="2" t="s">
        <v>212</v>
      </c>
      <c r="CD2675" s="2">
        <v>7646</v>
      </c>
      <c r="CE2675" s="2" t="s">
        <v>120</v>
      </c>
      <c r="CF2675" s="3">
        <v>43090</v>
      </c>
      <c r="CI2675" s="2">
        <v>1</v>
      </c>
      <c r="CJ2675" s="2">
        <v>1</v>
      </c>
      <c r="CK2675" s="2">
        <v>21</v>
      </c>
      <c r="CL2675" s="2" t="s">
        <v>89</v>
      </c>
    </row>
    <row r="2676" spans="1:90">
      <c r="A2676" s="2" t="s">
        <v>71</v>
      </c>
      <c r="B2676" s="2" t="s">
        <v>72</v>
      </c>
      <c r="C2676" s="2" t="s">
        <v>73</v>
      </c>
      <c r="E2676" s="2" t="str">
        <f>"FES1162596763"</f>
        <v>FES1162596763</v>
      </c>
      <c r="F2676" s="3">
        <v>43088</v>
      </c>
      <c r="G2676" s="2">
        <v>201806</v>
      </c>
      <c r="H2676" s="2" t="s">
        <v>74</v>
      </c>
      <c r="I2676" s="2" t="s">
        <v>75</v>
      </c>
      <c r="J2676" s="2" t="s">
        <v>97</v>
      </c>
      <c r="K2676" s="2" t="s">
        <v>77</v>
      </c>
      <c r="L2676" s="2" t="s">
        <v>173</v>
      </c>
      <c r="M2676" s="2" t="s">
        <v>174</v>
      </c>
      <c r="N2676" s="2" t="s">
        <v>1745</v>
      </c>
      <c r="O2676" s="2" t="s">
        <v>101</v>
      </c>
      <c r="P2676" s="2" t="str">
        <f>"2170608400                    "</f>
        <v xml:space="preserve">2170608400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6.43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</v>
      </c>
      <c r="BJ2676" s="2">
        <v>0.2</v>
      </c>
      <c r="BK2676" s="2">
        <v>1</v>
      </c>
      <c r="BL2676" s="2">
        <v>45.93</v>
      </c>
      <c r="BM2676" s="2">
        <v>6.43</v>
      </c>
      <c r="BN2676" s="2">
        <v>52.36</v>
      </c>
      <c r="BO2676" s="2">
        <v>52.36</v>
      </c>
      <c r="BQ2676" s="2" t="s">
        <v>82</v>
      </c>
      <c r="BR2676" s="2" t="s">
        <v>103</v>
      </c>
      <c r="BS2676" s="3">
        <v>43089</v>
      </c>
      <c r="BT2676" s="4">
        <v>0.46180555555555558</v>
      </c>
      <c r="BU2676" s="2" t="s">
        <v>1746</v>
      </c>
      <c r="BV2676" s="2" t="s">
        <v>89</v>
      </c>
      <c r="BW2676" s="2" t="s">
        <v>313</v>
      </c>
      <c r="BX2676" s="2" t="s">
        <v>368</v>
      </c>
      <c r="BY2676" s="2">
        <v>1200</v>
      </c>
      <c r="CA2676" s="2" t="s">
        <v>537</v>
      </c>
      <c r="CC2676" s="2" t="s">
        <v>174</v>
      </c>
      <c r="CD2676" s="2">
        <v>7500</v>
      </c>
      <c r="CE2676" s="2" t="s">
        <v>120</v>
      </c>
      <c r="CF2676" s="3">
        <v>43090</v>
      </c>
      <c r="CI2676" s="2">
        <v>1</v>
      </c>
      <c r="CJ2676" s="2">
        <v>1</v>
      </c>
      <c r="CK2676" s="2">
        <v>21</v>
      </c>
      <c r="CL2676" s="2" t="s">
        <v>89</v>
      </c>
    </row>
    <row r="2677" spans="1:90">
      <c r="A2677" s="2" t="s">
        <v>71</v>
      </c>
      <c r="B2677" s="2" t="s">
        <v>72</v>
      </c>
      <c r="C2677" s="2" t="s">
        <v>73</v>
      </c>
      <c r="E2677" s="2" t="str">
        <f>"FES1162596732"</f>
        <v>FES1162596732</v>
      </c>
      <c r="F2677" s="3">
        <v>43088</v>
      </c>
      <c r="G2677" s="2">
        <v>201806</v>
      </c>
      <c r="H2677" s="2" t="s">
        <v>74</v>
      </c>
      <c r="I2677" s="2" t="s">
        <v>75</v>
      </c>
      <c r="J2677" s="2" t="s">
        <v>97</v>
      </c>
      <c r="K2677" s="2" t="s">
        <v>77</v>
      </c>
      <c r="L2677" s="2" t="s">
        <v>173</v>
      </c>
      <c r="M2677" s="2" t="s">
        <v>174</v>
      </c>
      <c r="N2677" s="2" t="s">
        <v>1229</v>
      </c>
      <c r="O2677" s="2" t="s">
        <v>101</v>
      </c>
      <c r="P2677" s="2" t="str">
        <f>"2170607269                    "</f>
        <v xml:space="preserve">2170607269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6.43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45.93</v>
      </c>
      <c r="BM2677" s="2">
        <v>6.43</v>
      </c>
      <c r="BN2677" s="2">
        <v>52.36</v>
      </c>
      <c r="BO2677" s="2">
        <v>52.36</v>
      </c>
      <c r="BQ2677" s="2" t="s">
        <v>229</v>
      </c>
      <c r="BR2677" s="2" t="s">
        <v>103</v>
      </c>
      <c r="BS2677" s="3">
        <v>43089</v>
      </c>
      <c r="BT2677" s="4">
        <v>0.3743055555555555</v>
      </c>
      <c r="BU2677" s="2" t="s">
        <v>2681</v>
      </c>
      <c r="BV2677" s="2" t="s">
        <v>85</v>
      </c>
      <c r="BY2677" s="2">
        <v>1200</v>
      </c>
      <c r="CA2677" s="2" t="s">
        <v>1389</v>
      </c>
      <c r="CC2677" s="2" t="s">
        <v>174</v>
      </c>
      <c r="CD2677" s="2">
        <v>7460</v>
      </c>
      <c r="CE2677" s="2" t="s">
        <v>120</v>
      </c>
      <c r="CF2677" s="3">
        <v>43090</v>
      </c>
      <c r="CI2677" s="2">
        <v>1</v>
      </c>
      <c r="CJ2677" s="2">
        <v>1</v>
      </c>
      <c r="CK2677" s="2">
        <v>21</v>
      </c>
      <c r="CL2677" s="2" t="s">
        <v>89</v>
      </c>
    </row>
    <row r="2678" spans="1:90">
      <c r="A2678" s="2" t="s">
        <v>71</v>
      </c>
      <c r="B2678" s="2" t="s">
        <v>72</v>
      </c>
      <c r="C2678" s="2" t="s">
        <v>73</v>
      </c>
      <c r="E2678" s="2" t="str">
        <f>"FES1162596719"</f>
        <v>FES1162596719</v>
      </c>
      <c r="F2678" s="3">
        <v>43088</v>
      </c>
      <c r="G2678" s="2">
        <v>201806</v>
      </c>
      <c r="H2678" s="2" t="s">
        <v>74</v>
      </c>
      <c r="I2678" s="2" t="s">
        <v>75</v>
      </c>
      <c r="J2678" s="2" t="s">
        <v>97</v>
      </c>
      <c r="K2678" s="2" t="s">
        <v>77</v>
      </c>
      <c r="L2678" s="2" t="s">
        <v>106</v>
      </c>
      <c r="M2678" s="2" t="s">
        <v>107</v>
      </c>
      <c r="N2678" s="2" t="s">
        <v>108</v>
      </c>
      <c r="O2678" s="2" t="s">
        <v>101</v>
      </c>
      <c r="P2678" s="2" t="str">
        <f>"2170606722                    "</f>
        <v xml:space="preserve">2170606722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5.03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35.89</v>
      </c>
      <c r="BM2678" s="2">
        <v>5.0199999999999996</v>
      </c>
      <c r="BN2678" s="2">
        <v>40.909999999999997</v>
      </c>
      <c r="BO2678" s="2">
        <v>40.909999999999997</v>
      </c>
      <c r="BQ2678" s="2" t="s">
        <v>82</v>
      </c>
      <c r="BR2678" s="2" t="s">
        <v>103</v>
      </c>
      <c r="BS2678" s="3">
        <v>43089</v>
      </c>
      <c r="BT2678" s="4">
        <v>0.40277777777777773</v>
      </c>
      <c r="BU2678" s="2" t="s">
        <v>1227</v>
      </c>
      <c r="BV2678" s="2" t="s">
        <v>85</v>
      </c>
      <c r="BY2678" s="2">
        <v>1200</v>
      </c>
      <c r="CA2678" s="2" t="s">
        <v>110</v>
      </c>
      <c r="CC2678" s="2" t="s">
        <v>107</v>
      </c>
      <c r="CD2678" s="2">
        <v>2094</v>
      </c>
      <c r="CE2678" s="2" t="s">
        <v>120</v>
      </c>
      <c r="CF2678" s="3">
        <v>43090</v>
      </c>
      <c r="CI2678" s="2">
        <v>1</v>
      </c>
      <c r="CJ2678" s="2">
        <v>1</v>
      </c>
      <c r="CK2678" s="2">
        <v>22</v>
      </c>
      <c r="CL2678" s="2" t="s">
        <v>89</v>
      </c>
    </row>
    <row r="2679" spans="1:90">
      <c r="A2679" s="2" t="s">
        <v>71</v>
      </c>
      <c r="B2679" s="2" t="s">
        <v>72</v>
      </c>
      <c r="C2679" s="2" t="s">
        <v>73</v>
      </c>
      <c r="E2679" s="2" t="str">
        <f>"FES1162596741"</f>
        <v>FES1162596741</v>
      </c>
      <c r="F2679" s="3">
        <v>43088</v>
      </c>
      <c r="G2679" s="2">
        <v>201806</v>
      </c>
      <c r="H2679" s="2" t="s">
        <v>74</v>
      </c>
      <c r="I2679" s="2" t="s">
        <v>75</v>
      </c>
      <c r="J2679" s="2" t="s">
        <v>97</v>
      </c>
      <c r="K2679" s="2" t="s">
        <v>77</v>
      </c>
      <c r="L2679" s="2" t="s">
        <v>125</v>
      </c>
      <c r="M2679" s="2" t="s">
        <v>126</v>
      </c>
      <c r="N2679" s="2" t="s">
        <v>2272</v>
      </c>
      <c r="O2679" s="2" t="s">
        <v>101</v>
      </c>
      <c r="P2679" s="2" t="str">
        <f>"2170607546                    "</f>
        <v xml:space="preserve">2170607546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6.43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</v>
      </c>
      <c r="BJ2679" s="2">
        <v>0.2</v>
      </c>
      <c r="BK2679" s="2">
        <v>1</v>
      </c>
      <c r="BL2679" s="2">
        <v>45.93</v>
      </c>
      <c r="BM2679" s="2">
        <v>6.43</v>
      </c>
      <c r="BN2679" s="2">
        <v>52.36</v>
      </c>
      <c r="BO2679" s="2">
        <v>52.36</v>
      </c>
      <c r="BQ2679" s="2" t="s">
        <v>2758</v>
      </c>
      <c r="BR2679" s="2" t="s">
        <v>103</v>
      </c>
      <c r="BS2679" s="2" t="s">
        <v>185</v>
      </c>
      <c r="BY2679" s="2">
        <v>1200</v>
      </c>
      <c r="CC2679" s="2" t="s">
        <v>126</v>
      </c>
      <c r="CD2679" s="2">
        <v>4051</v>
      </c>
      <c r="CE2679" s="2" t="s">
        <v>120</v>
      </c>
      <c r="CI2679" s="2">
        <v>1</v>
      </c>
      <c r="CJ2679" s="2" t="s">
        <v>185</v>
      </c>
      <c r="CK2679" s="2">
        <v>21</v>
      </c>
      <c r="CL2679" s="2" t="s">
        <v>89</v>
      </c>
    </row>
    <row r="2680" spans="1:90">
      <c r="A2680" s="2" t="s">
        <v>71</v>
      </c>
      <c r="B2680" s="2" t="s">
        <v>72</v>
      </c>
      <c r="C2680" s="2" t="s">
        <v>73</v>
      </c>
      <c r="E2680" s="2" t="str">
        <f>"FES1162596880"</f>
        <v>FES1162596880</v>
      </c>
      <c r="F2680" s="3">
        <v>43088</v>
      </c>
      <c r="G2680" s="2">
        <v>201806</v>
      </c>
      <c r="H2680" s="2" t="s">
        <v>74</v>
      </c>
      <c r="I2680" s="2" t="s">
        <v>75</v>
      </c>
      <c r="J2680" s="2" t="s">
        <v>97</v>
      </c>
      <c r="K2680" s="2" t="s">
        <v>77</v>
      </c>
      <c r="L2680" s="2" t="s">
        <v>173</v>
      </c>
      <c r="M2680" s="2" t="s">
        <v>174</v>
      </c>
      <c r="N2680" s="2" t="s">
        <v>349</v>
      </c>
      <c r="O2680" s="2" t="s">
        <v>101</v>
      </c>
      <c r="P2680" s="2" t="str">
        <f>"2170605845                    "</f>
        <v xml:space="preserve">2170605845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6.43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45.93</v>
      </c>
      <c r="BM2680" s="2">
        <v>6.43</v>
      </c>
      <c r="BN2680" s="2">
        <v>52.36</v>
      </c>
      <c r="BO2680" s="2">
        <v>52.36</v>
      </c>
      <c r="BQ2680" s="2" t="s">
        <v>879</v>
      </c>
      <c r="BR2680" s="2" t="s">
        <v>103</v>
      </c>
      <c r="BS2680" s="3">
        <v>43089</v>
      </c>
      <c r="BT2680" s="4">
        <v>0.41666666666666669</v>
      </c>
      <c r="BU2680" s="2" t="s">
        <v>1036</v>
      </c>
      <c r="BV2680" s="2" t="s">
        <v>85</v>
      </c>
      <c r="BY2680" s="2">
        <v>1200</v>
      </c>
      <c r="CA2680" s="2" t="s">
        <v>1713</v>
      </c>
      <c r="CC2680" s="2" t="s">
        <v>174</v>
      </c>
      <c r="CD2680" s="2">
        <v>7800</v>
      </c>
      <c r="CE2680" s="2" t="s">
        <v>120</v>
      </c>
      <c r="CF2680" s="3">
        <v>43090</v>
      </c>
      <c r="CI2680" s="2">
        <v>1</v>
      </c>
      <c r="CJ2680" s="2">
        <v>1</v>
      </c>
      <c r="CK2680" s="2">
        <v>21</v>
      </c>
      <c r="CL2680" s="2" t="s">
        <v>89</v>
      </c>
    </row>
    <row r="2681" spans="1:90">
      <c r="A2681" s="2" t="s">
        <v>71</v>
      </c>
      <c r="B2681" s="2" t="s">
        <v>72</v>
      </c>
      <c r="C2681" s="2" t="s">
        <v>73</v>
      </c>
      <c r="E2681" s="2" t="str">
        <f>"FES1162596767"</f>
        <v>FES1162596767</v>
      </c>
      <c r="F2681" s="3">
        <v>43088</v>
      </c>
      <c r="G2681" s="2">
        <v>201806</v>
      </c>
      <c r="H2681" s="2" t="s">
        <v>74</v>
      </c>
      <c r="I2681" s="2" t="s">
        <v>75</v>
      </c>
      <c r="J2681" s="2" t="s">
        <v>97</v>
      </c>
      <c r="K2681" s="2" t="s">
        <v>77</v>
      </c>
      <c r="L2681" s="2" t="s">
        <v>173</v>
      </c>
      <c r="M2681" s="2" t="s">
        <v>174</v>
      </c>
      <c r="N2681" s="2" t="s">
        <v>381</v>
      </c>
      <c r="O2681" s="2" t="s">
        <v>101</v>
      </c>
      <c r="P2681" s="2" t="str">
        <f>"2170608405                    "</f>
        <v xml:space="preserve">2170608405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6.43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45.93</v>
      </c>
      <c r="BM2681" s="2">
        <v>6.43</v>
      </c>
      <c r="BN2681" s="2">
        <v>52.36</v>
      </c>
      <c r="BO2681" s="2">
        <v>52.36</v>
      </c>
      <c r="BQ2681" s="2" t="s">
        <v>382</v>
      </c>
      <c r="BR2681" s="2" t="s">
        <v>103</v>
      </c>
      <c r="BS2681" s="3">
        <v>43089</v>
      </c>
      <c r="BT2681" s="4">
        <v>0.39305555555555555</v>
      </c>
      <c r="BU2681" s="2" t="s">
        <v>2759</v>
      </c>
      <c r="BV2681" s="2" t="s">
        <v>85</v>
      </c>
      <c r="BY2681" s="2">
        <v>1200</v>
      </c>
      <c r="CA2681" s="2" t="s">
        <v>177</v>
      </c>
      <c r="CC2681" s="2" t="s">
        <v>174</v>
      </c>
      <c r="CD2681" s="2">
        <v>7405</v>
      </c>
      <c r="CE2681" s="2" t="s">
        <v>120</v>
      </c>
      <c r="CF2681" s="3">
        <v>43090</v>
      </c>
      <c r="CI2681" s="2">
        <v>1</v>
      </c>
      <c r="CJ2681" s="2">
        <v>1</v>
      </c>
      <c r="CK2681" s="2">
        <v>21</v>
      </c>
      <c r="CL2681" s="2" t="s">
        <v>89</v>
      </c>
    </row>
    <row r="2682" spans="1:90">
      <c r="A2682" s="2" t="s">
        <v>71</v>
      </c>
      <c r="B2682" s="2" t="s">
        <v>72</v>
      </c>
      <c r="C2682" s="2" t="s">
        <v>73</v>
      </c>
      <c r="E2682" s="2" t="str">
        <f>"FES1162596851"</f>
        <v>FES1162596851</v>
      </c>
      <c r="F2682" s="3">
        <v>43088</v>
      </c>
      <c r="G2682" s="2">
        <v>201806</v>
      </c>
      <c r="H2682" s="2" t="s">
        <v>74</v>
      </c>
      <c r="I2682" s="2" t="s">
        <v>75</v>
      </c>
      <c r="J2682" s="2" t="s">
        <v>97</v>
      </c>
      <c r="K2682" s="2" t="s">
        <v>77</v>
      </c>
      <c r="L2682" s="2" t="s">
        <v>173</v>
      </c>
      <c r="M2682" s="2" t="s">
        <v>174</v>
      </c>
      <c r="N2682" s="2" t="s">
        <v>175</v>
      </c>
      <c r="O2682" s="2" t="s">
        <v>101</v>
      </c>
      <c r="P2682" s="2" t="str">
        <f>"2170605608                    "</f>
        <v xml:space="preserve">2170605608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6.43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</v>
      </c>
      <c r="BJ2682" s="2">
        <v>0.2</v>
      </c>
      <c r="BK2682" s="2">
        <v>1</v>
      </c>
      <c r="BL2682" s="2">
        <v>45.93</v>
      </c>
      <c r="BM2682" s="2">
        <v>6.43</v>
      </c>
      <c r="BN2682" s="2">
        <v>52.36</v>
      </c>
      <c r="BO2682" s="2">
        <v>52.36</v>
      </c>
      <c r="BQ2682" s="2" t="s">
        <v>102</v>
      </c>
      <c r="BR2682" s="2" t="s">
        <v>103</v>
      </c>
      <c r="BS2682" s="3">
        <v>43089</v>
      </c>
      <c r="BT2682" s="4">
        <v>0.39513888888888887</v>
      </c>
      <c r="BU2682" s="2" t="s">
        <v>176</v>
      </c>
      <c r="BV2682" s="2" t="s">
        <v>85</v>
      </c>
      <c r="BY2682" s="2">
        <v>1200</v>
      </c>
      <c r="CA2682" s="2" t="s">
        <v>177</v>
      </c>
      <c r="CC2682" s="2" t="s">
        <v>174</v>
      </c>
      <c r="CD2682" s="2">
        <v>7405</v>
      </c>
      <c r="CE2682" s="2" t="s">
        <v>120</v>
      </c>
      <c r="CF2682" s="3">
        <v>43090</v>
      </c>
      <c r="CI2682" s="2">
        <v>1</v>
      </c>
      <c r="CJ2682" s="2">
        <v>1</v>
      </c>
      <c r="CK2682" s="2">
        <v>21</v>
      </c>
      <c r="CL2682" s="2" t="s">
        <v>89</v>
      </c>
    </row>
    <row r="2683" spans="1:90">
      <c r="A2683" s="2" t="s">
        <v>71</v>
      </c>
      <c r="B2683" s="2" t="s">
        <v>72</v>
      </c>
      <c r="C2683" s="2" t="s">
        <v>73</v>
      </c>
      <c r="E2683" s="2" t="str">
        <f>"FES1162596761"</f>
        <v>FES1162596761</v>
      </c>
      <c r="F2683" s="3">
        <v>43088</v>
      </c>
      <c r="G2683" s="2">
        <v>201806</v>
      </c>
      <c r="H2683" s="2" t="s">
        <v>74</v>
      </c>
      <c r="I2683" s="2" t="s">
        <v>75</v>
      </c>
      <c r="J2683" s="2" t="s">
        <v>97</v>
      </c>
      <c r="K2683" s="2" t="s">
        <v>77</v>
      </c>
      <c r="L2683" s="2" t="s">
        <v>125</v>
      </c>
      <c r="M2683" s="2" t="s">
        <v>126</v>
      </c>
      <c r="N2683" s="2" t="s">
        <v>2212</v>
      </c>
      <c r="O2683" s="2" t="s">
        <v>101</v>
      </c>
      <c r="P2683" s="2" t="str">
        <f>"2170608396                    "</f>
        <v xml:space="preserve">2170608396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6.43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1</v>
      </c>
      <c r="BJ2683" s="2">
        <v>0.2</v>
      </c>
      <c r="BK2683" s="2">
        <v>1</v>
      </c>
      <c r="BL2683" s="2">
        <v>45.93</v>
      </c>
      <c r="BM2683" s="2">
        <v>6.43</v>
      </c>
      <c r="BN2683" s="2">
        <v>52.36</v>
      </c>
      <c r="BO2683" s="2">
        <v>52.36</v>
      </c>
      <c r="BQ2683" s="2" t="s">
        <v>142</v>
      </c>
      <c r="BR2683" s="2" t="s">
        <v>103</v>
      </c>
      <c r="BS2683" s="3">
        <v>43089</v>
      </c>
      <c r="BT2683" s="4">
        <v>0.375</v>
      </c>
      <c r="BU2683" s="2" t="s">
        <v>2213</v>
      </c>
      <c r="BV2683" s="2" t="s">
        <v>85</v>
      </c>
      <c r="BY2683" s="2">
        <v>1200</v>
      </c>
      <c r="CA2683" s="2" t="s">
        <v>1313</v>
      </c>
      <c r="CC2683" s="2" t="s">
        <v>126</v>
      </c>
      <c r="CD2683" s="2">
        <v>4052</v>
      </c>
      <c r="CE2683" s="2" t="s">
        <v>120</v>
      </c>
      <c r="CF2683" s="3">
        <v>43090</v>
      </c>
      <c r="CI2683" s="2">
        <v>1</v>
      </c>
      <c r="CJ2683" s="2">
        <v>1</v>
      </c>
      <c r="CK2683" s="2">
        <v>21</v>
      </c>
      <c r="CL2683" s="2" t="s">
        <v>89</v>
      </c>
    </row>
    <row r="2684" spans="1:90">
      <c r="A2684" s="2" t="s">
        <v>71</v>
      </c>
      <c r="B2684" s="2" t="s">
        <v>72</v>
      </c>
      <c r="C2684" s="2" t="s">
        <v>73</v>
      </c>
      <c r="E2684" s="2" t="str">
        <f>"FES1162596787"</f>
        <v>FES1162596787</v>
      </c>
      <c r="F2684" s="3">
        <v>43088</v>
      </c>
      <c r="G2684" s="2">
        <v>201806</v>
      </c>
      <c r="H2684" s="2" t="s">
        <v>74</v>
      </c>
      <c r="I2684" s="2" t="s">
        <v>75</v>
      </c>
      <c r="J2684" s="2" t="s">
        <v>97</v>
      </c>
      <c r="K2684" s="2" t="s">
        <v>77</v>
      </c>
      <c r="L2684" s="2" t="s">
        <v>212</v>
      </c>
      <c r="M2684" s="2" t="s">
        <v>212</v>
      </c>
      <c r="N2684" s="2" t="s">
        <v>1677</v>
      </c>
      <c r="O2684" s="2" t="s">
        <v>101</v>
      </c>
      <c r="P2684" s="2" t="str">
        <f>"2170608306                    "</f>
        <v xml:space="preserve">2170608306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6.43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0.2</v>
      </c>
      <c r="BK2684" s="2">
        <v>1</v>
      </c>
      <c r="BL2684" s="2">
        <v>45.93</v>
      </c>
      <c r="BM2684" s="2">
        <v>6.43</v>
      </c>
      <c r="BN2684" s="2">
        <v>52.36</v>
      </c>
      <c r="BO2684" s="2">
        <v>52.36</v>
      </c>
      <c r="BQ2684" s="2" t="s">
        <v>1678</v>
      </c>
      <c r="BR2684" s="2" t="s">
        <v>103</v>
      </c>
      <c r="BS2684" s="3">
        <v>43089</v>
      </c>
      <c r="BT2684" s="4">
        <v>0.51944444444444449</v>
      </c>
      <c r="BU2684" s="2" t="s">
        <v>2760</v>
      </c>
      <c r="BV2684" s="2" t="s">
        <v>85</v>
      </c>
      <c r="BY2684" s="2">
        <v>1200</v>
      </c>
      <c r="CC2684" s="2" t="s">
        <v>212</v>
      </c>
      <c r="CD2684" s="2">
        <v>7646</v>
      </c>
      <c r="CE2684" s="2" t="s">
        <v>120</v>
      </c>
      <c r="CF2684" s="3">
        <v>43090</v>
      </c>
      <c r="CI2684" s="2">
        <v>1</v>
      </c>
      <c r="CJ2684" s="2">
        <v>1</v>
      </c>
      <c r="CK2684" s="2">
        <v>21</v>
      </c>
      <c r="CL2684" s="2" t="s">
        <v>89</v>
      </c>
    </row>
    <row r="2685" spans="1:90">
      <c r="A2685" s="2" t="s">
        <v>71</v>
      </c>
      <c r="B2685" s="2" t="s">
        <v>72</v>
      </c>
      <c r="C2685" s="2" t="s">
        <v>73</v>
      </c>
      <c r="E2685" s="2" t="str">
        <f>"FES1162595765"</f>
        <v>FES1162595765</v>
      </c>
      <c r="F2685" s="3">
        <v>43088</v>
      </c>
      <c r="G2685" s="2">
        <v>201806</v>
      </c>
      <c r="H2685" s="2" t="s">
        <v>74</v>
      </c>
      <c r="I2685" s="2" t="s">
        <v>75</v>
      </c>
      <c r="J2685" s="2" t="s">
        <v>97</v>
      </c>
      <c r="K2685" s="2" t="s">
        <v>77</v>
      </c>
      <c r="L2685" s="2" t="s">
        <v>173</v>
      </c>
      <c r="M2685" s="2" t="s">
        <v>174</v>
      </c>
      <c r="N2685" s="2" t="s">
        <v>1188</v>
      </c>
      <c r="O2685" s="2" t="s">
        <v>101</v>
      </c>
      <c r="P2685" s="2" t="str">
        <f>"2170607581                    "</f>
        <v xml:space="preserve">2170607581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6.43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</v>
      </c>
      <c r="BJ2685" s="2">
        <v>0.2</v>
      </c>
      <c r="BK2685" s="2">
        <v>1</v>
      </c>
      <c r="BL2685" s="2">
        <v>45.93</v>
      </c>
      <c r="BM2685" s="2">
        <v>6.43</v>
      </c>
      <c r="BN2685" s="2">
        <v>52.36</v>
      </c>
      <c r="BO2685" s="2">
        <v>52.36</v>
      </c>
      <c r="BQ2685" s="2" t="s">
        <v>128</v>
      </c>
      <c r="BR2685" s="2" t="s">
        <v>103</v>
      </c>
      <c r="BS2685" s="3">
        <v>43089</v>
      </c>
      <c r="BT2685" s="4">
        <v>0.55833333333333335</v>
      </c>
      <c r="BU2685" s="2" t="s">
        <v>2050</v>
      </c>
      <c r="BV2685" s="2" t="s">
        <v>89</v>
      </c>
      <c r="BW2685" s="2" t="s">
        <v>313</v>
      </c>
      <c r="BX2685" s="2" t="s">
        <v>368</v>
      </c>
      <c r="BY2685" s="2">
        <v>1200</v>
      </c>
      <c r="CA2685" s="2" t="s">
        <v>1713</v>
      </c>
      <c r="CC2685" s="2" t="s">
        <v>174</v>
      </c>
      <c r="CD2685" s="2">
        <v>7800</v>
      </c>
      <c r="CE2685" s="2" t="s">
        <v>120</v>
      </c>
      <c r="CF2685" s="3">
        <v>43090</v>
      </c>
      <c r="CI2685" s="2">
        <v>1</v>
      </c>
      <c r="CJ2685" s="2">
        <v>1</v>
      </c>
      <c r="CK2685" s="2">
        <v>21</v>
      </c>
      <c r="CL2685" s="2" t="s">
        <v>89</v>
      </c>
    </row>
    <row r="2686" spans="1:90">
      <c r="A2686" s="2" t="s">
        <v>71</v>
      </c>
      <c r="B2686" s="2" t="s">
        <v>72</v>
      </c>
      <c r="C2686" s="2" t="s">
        <v>73</v>
      </c>
      <c r="E2686" s="2" t="str">
        <f>"FES1162596912"</f>
        <v>FES1162596912</v>
      </c>
      <c r="F2686" s="3">
        <v>43088</v>
      </c>
      <c r="G2686" s="2">
        <v>201806</v>
      </c>
      <c r="H2686" s="2" t="s">
        <v>74</v>
      </c>
      <c r="I2686" s="2" t="s">
        <v>75</v>
      </c>
      <c r="J2686" s="2" t="s">
        <v>97</v>
      </c>
      <c r="K2686" s="2" t="s">
        <v>77</v>
      </c>
      <c r="L2686" s="2" t="s">
        <v>212</v>
      </c>
      <c r="M2686" s="2" t="s">
        <v>212</v>
      </c>
      <c r="N2686" s="2" t="s">
        <v>904</v>
      </c>
      <c r="O2686" s="2" t="s">
        <v>101</v>
      </c>
      <c r="P2686" s="2" t="str">
        <f>"2170607353                    "</f>
        <v xml:space="preserve">2170607353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6.43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</v>
      </c>
      <c r="BJ2686" s="2">
        <v>0.2</v>
      </c>
      <c r="BK2686" s="2">
        <v>1</v>
      </c>
      <c r="BL2686" s="2">
        <v>45.93</v>
      </c>
      <c r="BM2686" s="2">
        <v>6.43</v>
      </c>
      <c r="BN2686" s="2">
        <v>52.36</v>
      </c>
      <c r="BO2686" s="2">
        <v>52.36</v>
      </c>
      <c r="BQ2686" s="2" t="s">
        <v>187</v>
      </c>
      <c r="BR2686" s="2" t="s">
        <v>103</v>
      </c>
      <c r="BS2686" s="3">
        <v>43089</v>
      </c>
      <c r="BT2686" s="4">
        <v>0.53263888888888888</v>
      </c>
      <c r="BU2686" s="2" t="s">
        <v>2256</v>
      </c>
      <c r="BV2686" s="2" t="s">
        <v>85</v>
      </c>
      <c r="BY2686" s="2">
        <v>1200</v>
      </c>
      <c r="CC2686" s="2" t="s">
        <v>212</v>
      </c>
      <c r="CD2686" s="2">
        <v>7646</v>
      </c>
      <c r="CE2686" s="2" t="s">
        <v>120</v>
      </c>
      <c r="CF2686" s="3">
        <v>43090</v>
      </c>
      <c r="CI2686" s="2">
        <v>1</v>
      </c>
      <c r="CJ2686" s="2">
        <v>1</v>
      </c>
      <c r="CK2686" s="2">
        <v>21</v>
      </c>
      <c r="CL2686" s="2" t="s">
        <v>89</v>
      </c>
    </row>
    <row r="2687" spans="1:90">
      <c r="A2687" s="2" t="s">
        <v>71</v>
      </c>
      <c r="B2687" s="2" t="s">
        <v>72</v>
      </c>
      <c r="C2687" s="2" t="s">
        <v>73</v>
      </c>
      <c r="E2687" s="2" t="str">
        <f>"FES1162596898"</f>
        <v>FES1162596898</v>
      </c>
      <c r="F2687" s="3">
        <v>43088</v>
      </c>
      <c r="G2687" s="2">
        <v>201806</v>
      </c>
      <c r="H2687" s="2" t="s">
        <v>74</v>
      </c>
      <c r="I2687" s="2" t="s">
        <v>75</v>
      </c>
      <c r="J2687" s="2" t="s">
        <v>97</v>
      </c>
      <c r="K2687" s="2" t="s">
        <v>77</v>
      </c>
      <c r="L2687" s="2" t="s">
        <v>2761</v>
      </c>
      <c r="M2687" s="2" t="s">
        <v>2762</v>
      </c>
      <c r="N2687" s="2" t="s">
        <v>2763</v>
      </c>
      <c r="O2687" s="2" t="s">
        <v>101</v>
      </c>
      <c r="P2687" s="2" t="str">
        <f>"2170606934                    "</f>
        <v xml:space="preserve">2170606934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6.43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1</v>
      </c>
      <c r="BJ2687" s="2">
        <v>0.2</v>
      </c>
      <c r="BK2687" s="2">
        <v>1</v>
      </c>
      <c r="BL2687" s="2">
        <v>45.93</v>
      </c>
      <c r="BM2687" s="2">
        <v>6.43</v>
      </c>
      <c r="BN2687" s="2">
        <v>52.36</v>
      </c>
      <c r="BO2687" s="2">
        <v>52.36</v>
      </c>
      <c r="BQ2687" s="2" t="s">
        <v>82</v>
      </c>
      <c r="BR2687" s="2" t="s">
        <v>103</v>
      </c>
      <c r="BS2687" s="3">
        <v>43090</v>
      </c>
      <c r="BT2687" s="4">
        <v>0.41666666666666669</v>
      </c>
      <c r="BU2687" s="2" t="s">
        <v>2764</v>
      </c>
      <c r="BV2687" s="2" t="s">
        <v>85</v>
      </c>
      <c r="BY2687" s="2">
        <v>1200</v>
      </c>
      <c r="CC2687" s="2" t="s">
        <v>2762</v>
      </c>
      <c r="CD2687" s="2">
        <v>7160</v>
      </c>
      <c r="CE2687" s="2" t="s">
        <v>120</v>
      </c>
      <c r="CF2687" s="3">
        <v>43096</v>
      </c>
      <c r="CI2687" s="2">
        <v>3</v>
      </c>
      <c r="CJ2687" s="2">
        <v>2</v>
      </c>
      <c r="CK2687" s="2">
        <v>21</v>
      </c>
      <c r="CL2687" s="2" t="s">
        <v>89</v>
      </c>
    </row>
    <row r="2688" spans="1:90">
      <c r="A2688" s="2" t="s">
        <v>71</v>
      </c>
      <c r="B2688" s="2" t="s">
        <v>72</v>
      </c>
      <c r="C2688" s="2" t="s">
        <v>73</v>
      </c>
      <c r="E2688" s="2" t="str">
        <f>"FES1162596744"</f>
        <v>FES1162596744</v>
      </c>
      <c r="F2688" s="3">
        <v>43088</v>
      </c>
      <c r="G2688" s="2">
        <v>201806</v>
      </c>
      <c r="H2688" s="2" t="s">
        <v>74</v>
      </c>
      <c r="I2688" s="2" t="s">
        <v>75</v>
      </c>
      <c r="J2688" s="2" t="s">
        <v>97</v>
      </c>
      <c r="K2688" s="2" t="s">
        <v>77</v>
      </c>
      <c r="L2688" s="2" t="s">
        <v>173</v>
      </c>
      <c r="M2688" s="2" t="s">
        <v>174</v>
      </c>
      <c r="N2688" s="2" t="s">
        <v>876</v>
      </c>
      <c r="O2688" s="2" t="s">
        <v>101</v>
      </c>
      <c r="P2688" s="2" t="str">
        <f>"2170606722                    "</f>
        <v xml:space="preserve">2170606722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6.43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1</v>
      </c>
      <c r="BJ2688" s="2">
        <v>0.2</v>
      </c>
      <c r="BK2688" s="2">
        <v>1</v>
      </c>
      <c r="BL2688" s="2">
        <v>45.93</v>
      </c>
      <c r="BM2688" s="2">
        <v>6.43</v>
      </c>
      <c r="BN2688" s="2">
        <v>52.36</v>
      </c>
      <c r="BO2688" s="2">
        <v>52.36</v>
      </c>
      <c r="BQ2688" s="2" t="s">
        <v>128</v>
      </c>
      <c r="BR2688" s="2" t="s">
        <v>103</v>
      </c>
      <c r="BS2688" s="3">
        <v>43089</v>
      </c>
      <c r="BT2688" s="4">
        <v>0.4055555555555555</v>
      </c>
      <c r="BU2688" s="2" t="s">
        <v>877</v>
      </c>
      <c r="BV2688" s="2" t="s">
        <v>85</v>
      </c>
      <c r="BY2688" s="2">
        <v>1200</v>
      </c>
      <c r="CA2688" s="2" t="s">
        <v>1682</v>
      </c>
      <c r="CC2688" s="2" t="s">
        <v>174</v>
      </c>
      <c r="CD2688" s="2">
        <v>7441</v>
      </c>
      <c r="CE2688" s="2" t="s">
        <v>120</v>
      </c>
      <c r="CF2688" s="3">
        <v>43090</v>
      </c>
      <c r="CI2688" s="2">
        <v>1</v>
      </c>
      <c r="CJ2688" s="2">
        <v>1</v>
      </c>
      <c r="CK2688" s="2">
        <v>21</v>
      </c>
      <c r="CL2688" s="2" t="s">
        <v>89</v>
      </c>
    </row>
    <row r="2689" spans="1:90">
      <c r="A2689" s="2" t="s">
        <v>71</v>
      </c>
      <c r="B2689" s="2" t="s">
        <v>72</v>
      </c>
      <c r="C2689" s="2" t="s">
        <v>73</v>
      </c>
      <c r="E2689" s="2" t="str">
        <f>"FES1162596903"</f>
        <v>FES1162596903</v>
      </c>
      <c r="F2689" s="3">
        <v>43088</v>
      </c>
      <c r="G2689" s="2">
        <v>201806</v>
      </c>
      <c r="H2689" s="2" t="s">
        <v>74</v>
      </c>
      <c r="I2689" s="2" t="s">
        <v>75</v>
      </c>
      <c r="J2689" s="2" t="s">
        <v>97</v>
      </c>
      <c r="K2689" s="2" t="s">
        <v>77</v>
      </c>
      <c r="L2689" s="2" t="s">
        <v>173</v>
      </c>
      <c r="M2689" s="2" t="s">
        <v>174</v>
      </c>
      <c r="N2689" s="2" t="s">
        <v>876</v>
      </c>
      <c r="O2689" s="2" t="s">
        <v>101</v>
      </c>
      <c r="P2689" s="2" t="str">
        <f>"2170607034                    "</f>
        <v xml:space="preserve">2170607034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6.43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1</v>
      </c>
      <c r="BJ2689" s="2">
        <v>0.2</v>
      </c>
      <c r="BK2689" s="2">
        <v>1</v>
      </c>
      <c r="BL2689" s="2">
        <v>45.93</v>
      </c>
      <c r="BM2689" s="2">
        <v>6.43</v>
      </c>
      <c r="BN2689" s="2">
        <v>52.36</v>
      </c>
      <c r="BO2689" s="2">
        <v>52.36</v>
      </c>
      <c r="BQ2689" s="2" t="s">
        <v>128</v>
      </c>
      <c r="BR2689" s="2" t="s">
        <v>103</v>
      </c>
      <c r="BS2689" s="3">
        <v>43089</v>
      </c>
      <c r="BT2689" s="4">
        <v>0.4055555555555555</v>
      </c>
      <c r="BU2689" s="2" t="s">
        <v>877</v>
      </c>
      <c r="BV2689" s="2" t="s">
        <v>85</v>
      </c>
      <c r="BY2689" s="2">
        <v>1200</v>
      </c>
      <c r="CA2689" s="2" t="s">
        <v>1682</v>
      </c>
      <c r="CC2689" s="2" t="s">
        <v>174</v>
      </c>
      <c r="CD2689" s="2">
        <v>7441</v>
      </c>
      <c r="CE2689" s="2" t="s">
        <v>120</v>
      </c>
      <c r="CF2689" s="3">
        <v>43090</v>
      </c>
      <c r="CI2689" s="2">
        <v>1</v>
      </c>
      <c r="CJ2689" s="2">
        <v>1</v>
      </c>
      <c r="CK2689" s="2">
        <v>21</v>
      </c>
      <c r="CL2689" s="2" t="s">
        <v>89</v>
      </c>
    </row>
    <row r="2690" spans="1:90">
      <c r="A2690" s="2" t="s">
        <v>71</v>
      </c>
      <c r="B2690" s="2" t="s">
        <v>72</v>
      </c>
      <c r="C2690" s="2" t="s">
        <v>73</v>
      </c>
      <c r="E2690" s="2" t="str">
        <f>"FES1162596888"</f>
        <v>FES1162596888</v>
      </c>
      <c r="F2690" s="3">
        <v>43088</v>
      </c>
      <c r="G2690" s="2">
        <v>201806</v>
      </c>
      <c r="H2690" s="2" t="s">
        <v>74</v>
      </c>
      <c r="I2690" s="2" t="s">
        <v>75</v>
      </c>
      <c r="J2690" s="2" t="s">
        <v>97</v>
      </c>
      <c r="K2690" s="2" t="s">
        <v>77</v>
      </c>
      <c r="L2690" s="2" t="s">
        <v>521</v>
      </c>
      <c r="M2690" s="2" t="s">
        <v>522</v>
      </c>
      <c r="N2690" s="2" t="s">
        <v>523</v>
      </c>
      <c r="O2690" s="2" t="s">
        <v>101</v>
      </c>
      <c r="P2690" s="2" t="str">
        <f>"2170606623                    "</f>
        <v xml:space="preserve">2170606623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6.43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45.93</v>
      </c>
      <c r="BM2690" s="2">
        <v>6.43</v>
      </c>
      <c r="BN2690" s="2">
        <v>52.36</v>
      </c>
      <c r="BO2690" s="2">
        <v>52.36</v>
      </c>
      <c r="BQ2690" s="2" t="s">
        <v>102</v>
      </c>
      <c r="BR2690" s="2" t="s">
        <v>103</v>
      </c>
      <c r="BS2690" s="3">
        <v>43089</v>
      </c>
      <c r="BT2690" s="4">
        <v>0.43055555555555558</v>
      </c>
      <c r="BU2690" s="2" t="s">
        <v>524</v>
      </c>
      <c r="BV2690" s="2" t="s">
        <v>85</v>
      </c>
      <c r="BY2690" s="2">
        <v>1200</v>
      </c>
      <c r="CA2690" s="2" t="s">
        <v>525</v>
      </c>
      <c r="CC2690" s="2" t="s">
        <v>522</v>
      </c>
      <c r="CD2690" s="2">
        <v>6536</v>
      </c>
      <c r="CE2690" s="2" t="s">
        <v>120</v>
      </c>
      <c r="CF2690" s="3">
        <v>43091</v>
      </c>
      <c r="CI2690" s="2">
        <v>1</v>
      </c>
      <c r="CJ2690" s="2">
        <v>1</v>
      </c>
      <c r="CK2690" s="2">
        <v>21</v>
      </c>
      <c r="CL2690" s="2" t="s">
        <v>89</v>
      </c>
    </row>
    <row r="2691" spans="1:90">
      <c r="A2691" s="2" t="s">
        <v>71</v>
      </c>
      <c r="B2691" s="2" t="s">
        <v>72</v>
      </c>
      <c r="C2691" s="2" t="s">
        <v>73</v>
      </c>
      <c r="E2691" s="2" t="str">
        <f>"FES1162596790"</f>
        <v>FES1162596790</v>
      </c>
      <c r="F2691" s="3">
        <v>43088</v>
      </c>
      <c r="G2691" s="2">
        <v>201806</v>
      </c>
      <c r="H2691" s="2" t="s">
        <v>74</v>
      </c>
      <c r="I2691" s="2" t="s">
        <v>75</v>
      </c>
      <c r="J2691" s="2" t="s">
        <v>97</v>
      </c>
      <c r="K2691" s="2" t="s">
        <v>77</v>
      </c>
      <c r="L2691" s="2" t="s">
        <v>521</v>
      </c>
      <c r="M2691" s="2" t="s">
        <v>522</v>
      </c>
      <c r="N2691" s="2" t="s">
        <v>523</v>
      </c>
      <c r="O2691" s="2" t="s">
        <v>101</v>
      </c>
      <c r="P2691" s="2" t="str">
        <f>"2170608422                    "</f>
        <v xml:space="preserve">2170608422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6.43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</v>
      </c>
      <c r="BJ2691" s="2">
        <v>0.2</v>
      </c>
      <c r="BK2691" s="2">
        <v>1</v>
      </c>
      <c r="BL2691" s="2">
        <v>45.93</v>
      </c>
      <c r="BM2691" s="2">
        <v>6.43</v>
      </c>
      <c r="BN2691" s="2">
        <v>52.36</v>
      </c>
      <c r="BO2691" s="2">
        <v>52.36</v>
      </c>
      <c r="BQ2691" s="2" t="s">
        <v>102</v>
      </c>
      <c r="BR2691" s="2" t="s">
        <v>103</v>
      </c>
      <c r="BS2691" s="3">
        <v>43089</v>
      </c>
      <c r="BT2691" s="4">
        <v>0.43055555555555558</v>
      </c>
      <c r="BU2691" s="2" t="s">
        <v>524</v>
      </c>
      <c r="BV2691" s="2" t="s">
        <v>85</v>
      </c>
      <c r="BY2691" s="2">
        <v>1200</v>
      </c>
      <c r="CA2691" s="2" t="s">
        <v>525</v>
      </c>
      <c r="CC2691" s="2" t="s">
        <v>522</v>
      </c>
      <c r="CD2691" s="2">
        <v>6536</v>
      </c>
      <c r="CE2691" s="2" t="s">
        <v>120</v>
      </c>
      <c r="CF2691" s="3">
        <v>43091</v>
      </c>
      <c r="CI2691" s="2">
        <v>1</v>
      </c>
      <c r="CJ2691" s="2">
        <v>1</v>
      </c>
      <c r="CK2691" s="2">
        <v>21</v>
      </c>
      <c r="CL2691" s="2" t="s">
        <v>89</v>
      </c>
    </row>
    <row r="2692" spans="1:90">
      <c r="A2692" s="2" t="s">
        <v>71</v>
      </c>
      <c r="B2692" s="2" t="s">
        <v>72</v>
      </c>
      <c r="C2692" s="2" t="s">
        <v>73</v>
      </c>
      <c r="E2692" s="2" t="str">
        <f>"FES1162596901"</f>
        <v>FES1162596901</v>
      </c>
      <c r="F2692" s="3">
        <v>43088</v>
      </c>
      <c r="G2692" s="2">
        <v>201806</v>
      </c>
      <c r="H2692" s="2" t="s">
        <v>74</v>
      </c>
      <c r="I2692" s="2" t="s">
        <v>75</v>
      </c>
      <c r="J2692" s="2" t="s">
        <v>97</v>
      </c>
      <c r="K2692" s="2" t="s">
        <v>77</v>
      </c>
      <c r="L2692" s="2" t="s">
        <v>173</v>
      </c>
      <c r="M2692" s="2" t="s">
        <v>174</v>
      </c>
      <c r="N2692" s="2" t="s">
        <v>175</v>
      </c>
      <c r="O2692" s="2" t="s">
        <v>101</v>
      </c>
      <c r="P2692" s="2" t="str">
        <f>"21706066991                   "</f>
        <v xml:space="preserve">21706066991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6.43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1</v>
      </c>
      <c r="BJ2692" s="2">
        <v>0.2</v>
      </c>
      <c r="BK2692" s="2">
        <v>1</v>
      </c>
      <c r="BL2692" s="2">
        <v>45.93</v>
      </c>
      <c r="BM2692" s="2">
        <v>6.43</v>
      </c>
      <c r="BN2692" s="2">
        <v>52.36</v>
      </c>
      <c r="BO2692" s="2">
        <v>52.36</v>
      </c>
      <c r="BQ2692" s="2" t="s">
        <v>102</v>
      </c>
      <c r="BR2692" s="2" t="s">
        <v>103</v>
      </c>
      <c r="BS2692" s="3">
        <v>43089</v>
      </c>
      <c r="BT2692" s="4">
        <v>0.39513888888888887</v>
      </c>
      <c r="BU2692" s="2" t="s">
        <v>176</v>
      </c>
      <c r="BV2692" s="2" t="s">
        <v>85</v>
      </c>
      <c r="BY2692" s="2">
        <v>1200</v>
      </c>
      <c r="CA2692" s="2" t="s">
        <v>177</v>
      </c>
      <c r="CC2692" s="2" t="s">
        <v>174</v>
      </c>
      <c r="CD2692" s="2">
        <v>7405</v>
      </c>
      <c r="CE2692" s="2" t="s">
        <v>120</v>
      </c>
      <c r="CF2692" s="3">
        <v>43090</v>
      </c>
      <c r="CI2692" s="2">
        <v>1</v>
      </c>
      <c r="CJ2692" s="2">
        <v>1</v>
      </c>
      <c r="CK2692" s="2">
        <v>21</v>
      </c>
      <c r="CL2692" s="2" t="s">
        <v>89</v>
      </c>
    </row>
    <row r="2693" spans="1:90">
      <c r="A2693" s="2" t="s">
        <v>71</v>
      </c>
      <c r="B2693" s="2" t="s">
        <v>72</v>
      </c>
      <c r="C2693" s="2" t="s">
        <v>73</v>
      </c>
      <c r="E2693" s="2" t="str">
        <f>"FES1162596724"</f>
        <v>FES1162596724</v>
      </c>
      <c r="F2693" s="3">
        <v>43088</v>
      </c>
      <c r="G2693" s="2">
        <v>201806</v>
      </c>
      <c r="H2693" s="2" t="s">
        <v>74</v>
      </c>
      <c r="I2693" s="2" t="s">
        <v>75</v>
      </c>
      <c r="J2693" s="2" t="s">
        <v>97</v>
      </c>
      <c r="K2693" s="2" t="s">
        <v>77</v>
      </c>
      <c r="L2693" s="2" t="s">
        <v>121</v>
      </c>
      <c r="M2693" s="2" t="s">
        <v>122</v>
      </c>
      <c r="N2693" s="2" t="s">
        <v>123</v>
      </c>
      <c r="O2693" s="2" t="s">
        <v>101</v>
      </c>
      <c r="P2693" s="2" t="str">
        <f>"2170606750                    "</f>
        <v xml:space="preserve">2170606750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9.0500000000000007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</v>
      </c>
      <c r="BJ2693" s="2">
        <v>0.2</v>
      </c>
      <c r="BK2693" s="2">
        <v>1</v>
      </c>
      <c r="BL2693" s="2">
        <v>64.599999999999994</v>
      </c>
      <c r="BM2693" s="2">
        <v>9.0399999999999991</v>
      </c>
      <c r="BN2693" s="2">
        <v>73.64</v>
      </c>
      <c r="BO2693" s="2">
        <v>73.64</v>
      </c>
      <c r="BQ2693" s="2" t="s">
        <v>102</v>
      </c>
      <c r="BR2693" s="2" t="s">
        <v>103</v>
      </c>
      <c r="BS2693" s="3">
        <v>43089</v>
      </c>
      <c r="BT2693" s="4">
        <v>0.52430555555555558</v>
      </c>
      <c r="BU2693" s="2" t="s">
        <v>1093</v>
      </c>
      <c r="BV2693" s="2" t="s">
        <v>85</v>
      </c>
      <c r="BY2693" s="2">
        <v>1200</v>
      </c>
      <c r="CC2693" s="2" t="s">
        <v>122</v>
      </c>
      <c r="CD2693" s="2">
        <v>2210</v>
      </c>
      <c r="CE2693" s="2" t="s">
        <v>120</v>
      </c>
      <c r="CF2693" s="3">
        <v>43091</v>
      </c>
      <c r="CI2693" s="2">
        <v>1</v>
      </c>
      <c r="CJ2693" s="2">
        <v>1</v>
      </c>
      <c r="CK2693" s="2">
        <v>24</v>
      </c>
      <c r="CL2693" s="2" t="s">
        <v>89</v>
      </c>
    </row>
    <row r="2694" spans="1:90">
      <c r="A2694" s="2" t="s">
        <v>71</v>
      </c>
      <c r="B2694" s="2" t="s">
        <v>72</v>
      </c>
      <c r="C2694" s="2" t="s">
        <v>73</v>
      </c>
      <c r="E2694" s="2" t="str">
        <f>"FES1162596757"</f>
        <v>FES1162596757</v>
      </c>
      <c r="F2694" s="3">
        <v>43088</v>
      </c>
      <c r="G2694" s="2">
        <v>201806</v>
      </c>
      <c r="H2694" s="2" t="s">
        <v>74</v>
      </c>
      <c r="I2694" s="2" t="s">
        <v>75</v>
      </c>
      <c r="J2694" s="2" t="s">
        <v>97</v>
      </c>
      <c r="K2694" s="2" t="s">
        <v>77</v>
      </c>
      <c r="L2694" s="2" t="s">
        <v>158</v>
      </c>
      <c r="M2694" s="2" t="s">
        <v>159</v>
      </c>
      <c r="N2694" s="2" t="s">
        <v>700</v>
      </c>
      <c r="O2694" s="2" t="s">
        <v>101</v>
      </c>
      <c r="P2694" s="2" t="str">
        <f>"2170608274                    "</f>
        <v xml:space="preserve">2170608274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6.43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45.93</v>
      </c>
      <c r="BM2694" s="2">
        <v>6.43</v>
      </c>
      <c r="BN2694" s="2">
        <v>52.36</v>
      </c>
      <c r="BO2694" s="2">
        <v>52.36</v>
      </c>
      <c r="BQ2694" s="2" t="s">
        <v>102</v>
      </c>
      <c r="BR2694" s="2" t="s">
        <v>103</v>
      </c>
      <c r="BS2694" s="3">
        <v>43089</v>
      </c>
      <c r="BT2694" s="4">
        <v>0.54513888888888895</v>
      </c>
      <c r="BU2694" s="2" t="s">
        <v>2765</v>
      </c>
      <c r="BV2694" s="2" t="s">
        <v>89</v>
      </c>
      <c r="BY2694" s="2">
        <v>1200</v>
      </c>
      <c r="CA2694" s="2" t="s">
        <v>678</v>
      </c>
      <c r="CC2694" s="2" t="s">
        <v>159</v>
      </c>
      <c r="CD2694" s="2">
        <v>184</v>
      </c>
      <c r="CE2694" s="2" t="s">
        <v>120</v>
      </c>
      <c r="CF2694" s="3">
        <v>43089</v>
      </c>
      <c r="CI2694" s="2">
        <v>1</v>
      </c>
      <c r="CJ2694" s="2">
        <v>1</v>
      </c>
      <c r="CK2694" s="2">
        <v>21</v>
      </c>
      <c r="CL2694" s="2" t="s">
        <v>89</v>
      </c>
    </row>
    <row r="2695" spans="1:90">
      <c r="A2695" s="2" t="s">
        <v>71</v>
      </c>
      <c r="B2695" s="2" t="s">
        <v>72</v>
      </c>
      <c r="C2695" s="2" t="s">
        <v>73</v>
      </c>
      <c r="E2695" s="2" t="str">
        <f>"FES1162596738"</f>
        <v>FES1162596738</v>
      </c>
      <c r="F2695" s="3">
        <v>43088</v>
      </c>
      <c r="G2695" s="2">
        <v>201806</v>
      </c>
      <c r="H2695" s="2" t="s">
        <v>74</v>
      </c>
      <c r="I2695" s="2" t="s">
        <v>75</v>
      </c>
      <c r="J2695" s="2" t="s">
        <v>97</v>
      </c>
      <c r="K2695" s="2" t="s">
        <v>77</v>
      </c>
      <c r="L2695" s="2" t="s">
        <v>238</v>
      </c>
      <c r="M2695" s="2" t="s">
        <v>239</v>
      </c>
      <c r="N2695" s="2" t="s">
        <v>240</v>
      </c>
      <c r="O2695" s="2" t="s">
        <v>101</v>
      </c>
      <c r="P2695" s="2" t="str">
        <f>"2170607456                    "</f>
        <v xml:space="preserve">2170607456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9.0500000000000007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64.599999999999994</v>
      </c>
      <c r="BM2695" s="2">
        <v>9.0399999999999991</v>
      </c>
      <c r="BN2695" s="2">
        <v>73.64</v>
      </c>
      <c r="BO2695" s="2">
        <v>73.64</v>
      </c>
      <c r="BQ2695" s="2" t="s">
        <v>1337</v>
      </c>
      <c r="BR2695" s="2" t="s">
        <v>103</v>
      </c>
      <c r="BS2695" s="2" t="s">
        <v>185</v>
      </c>
      <c r="BY2695" s="2">
        <v>1200</v>
      </c>
      <c r="CC2695" s="2" t="s">
        <v>239</v>
      </c>
      <c r="CD2695" s="2">
        <v>299</v>
      </c>
      <c r="CE2695" s="2" t="s">
        <v>120</v>
      </c>
      <c r="CI2695" s="2">
        <v>1</v>
      </c>
      <c r="CJ2695" s="2" t="s">
        <v>185</v>
      </c>
      <c r="CK2695" s="2">
        <v>24</v>
      </c>
      <c r="CL2695" s="2" t="s">
        <v>89</v>
      </c>
    </row>
    <row r="2696" spans="1:90">
      <c r="A2696" s="2" t="s">
        <v>71</v>
      </c>
      <c r="B2696" s="2" t="s">
        <v>72</v>
      </c>
      <c r="C2696" s="2" t="s">
        <v>73</v>
      </c>
      <c r="E2696" s="2" t="str">
        <f>"FES1162596815"</f>
        <v>FES1162596815</v>
      </c>
      <c r="F2696" s="3">
        <v>43088</v>
      </c>
      <c r="G2696" s="2">
        <v>201806</v>
      </c>
      <c r="H2696" s="2" t="s">
        <v>74</v>
      </c>
      <c r="I2696" s="2" t="s">
        <v>75</v>
      </c>
      <c r="J2696" s="2" t="s">
        <v>97</v>
      </c>
      <c r="K2696" s="2" t="s">
        <v>77</v>
      </c>
      <c r="L2696" s="2" t="s">
        <v>173</v>
      </c>
      <c r="M2696" s="2" t="s">
        <v>174</v>
      </c>
      <c r="N2696" s="2" t="s">
        <v>248</v>
      </c>
      <c r="O2696" s="2" t="s">
        <v>101</v>
      </c>
      <c r="P2696" s="2" t="str">
        <f>"2170608442                    "</f>
        <v xml:space="preserve">2170608442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6.43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1</v>
      </c>
      <c r="BJ2696" s="2">
        <v>0.2</v>
      </c>
      <c r="BK2696" s="2">
        <v>1</v>
      </c>
      <c r="BL2696" s="2">
        <v>45.93</v>
      </c>
      <c r="BM2696" s="2">
        <v>6.43</v>
      </c>
      <c r="BN2696" s="2">
        <v>52.36</v>
      </c>
      <c r="BO2696" s="2">
        <v>52.36</v>
      </c>
      <c r="BQ2696" s="2" t="s">
        <v>249</v>
      </c>
      <c r="BR2696" s="2" t="s">
        <v>103</v>
      </c>
      <c r="BS2696" s="3">
        <v>43089</v>
      </c>
      <c r="BT2696" s="4">
        <v>0.39583333333333331</v>
      </c>
      <c r="BU2696" s="2" t="s">
        <v>250</v>
      </c>
      <c r="BV2696" s="2" t="s">
        <v>85</v>
      </c>
      <c r="BY2696" s="2">
        <v>1200</v>
      </c>
      <c r="CA2696" s="2" t="s">
        <v>234</v>
      </c>
      <c r="CC2696" s="2" t="s">
        <v>174</v>
      </c>
      <c r="CD2696" s="2">
        <v>7530</v>
      </c>
      <c r="CE2696" s="2" t="s">
        <v>120</v>
      </c>
      <c r="CF2696" s="3">
        <v>43090</v>
      </c>
      <c r="CI2696" s="2">
        <v>1</v>
      </c>
      <c r="CJ2696" s="2">
        <v>1</v>
      </c>
      <c r="CK2696" s="2">
        <v>21</v>
      </c>
      <c r="CL2696" s="2" t="s">
        <v>89</v>
      </c>
    </row>
    <row r="2697" spans="1:90">
      <c r="A2697" s="2" t="s">
        <v>71</v>
      </c>
      <c r="B2697" s="2" t="s">
        <v>72</v>
      </c>
      <c r="C2697" s="2" t="s">
        <v>73</v>
      </c>
      <c r="E2697" s="2" t="str">
        <f>"FES1162593649"</f>
        <v>FES1162593649</v>
      </c>
      <c r="F2697" s="3">
        <v>43088</v>
      </c>
      <c r="G2697" s="2">
        <v>201806</v>
      </c>
      <c r="H2697" s="2" t="s">
        <v>74</v>
      </c>
      <c r="I2697" s="2" t="s">
        <v>75</v>
      </c>
      <c r="J2697" s="2" t="s">
        <v>97</v>
      </c>
      <c r="K2697" s="2" t="s">
        <v>77</v>
      </c>
      <c r="L2697" s="2" t="s">
        <v>212</v>
      </c>
      <c r="M2697" s="2" t="s">
        <v>212</v>
      </c>
      <c r="N2697" s="2" t="s">
        <v>213</v>
      </c>
      <c r="O2697" s="2" t="s">
        <v>101</v>
      </c>
      <c r="P2697" s="2" t="str">
        <f>"2170603548                    "</f>
        <v xml:space="preserve">2170603548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6.43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</v>
      </c>
      <c r="BJ2697" s="2">
        <v>0.2</v>
      </c>
      <c r="BK2697" s="2">
        <v>1</v>
      </c>
      <c r="BL2697" s="2">
        <v>45.93</v>
      </c>
      <c r="BM2697" s="2">
        <v>6.43</v>
      </c>
      <c r="BN2697" s="2">
        <v>52.36</v>
      </c>
      <c r="BO2697" s="2">
        <v>52.36</v>
      </c>
      <c r="BQ2697" s="2" t="s">
        <v>102</v>
      </c>
      <c r="BR2697" s="2" t="s">
        <v>103</v>
      </c>
      <c r="BS2697" s="3">
        <v>43089</v>
      </c>
      <c r="BT2697" s="4">
        <v>0.52777777777777779</v>
      </c>
      <c r="BU2697" s="2" t="s">
        <v>2757</v>
      </c>
      <c r="BV2697" s="2" t="s">
        <v>85</v>
      </c>
      <c r="BY2697" s="2">
        <v>1200</v>
      </c>
      <c r="CC2697" s="2" t="s">
        <v>212</v>
      </c>
      <c r="CD2697" s="2">
        <v>7646</v>
      </c>
      <c r="CE2697" s="2" t="s">
        <v>120</v>
      </c>
      <c r="CF2697" s="3">
        <v>43090</v>
      </c>
      <c r="CI2697" s="2">
        <v>1</v>
      </c>
      <c r="CJ2697" s="2">
        <v>1</v>
      </c>
      <c r="CK2697" s="2">
        <v>21</v>
      </c>
      <c r="CL2697" s="2" t="s">
        <v>89</v>
      </c>
    </row>
    <row r="2698" spans="1:90">
      <c r="A2698" s="2" t="s">
        <v>71</v>
      </c>
      <c r="B2698" s="2" t="s">
        <v>72</v>
      </c>
      <c r="C2698" s="2" t="s">
        <v>73</v>
      </c>
      <c r="E2698" s="2" t="str">
        <f>"FES1162596707"</f>
        <v>FES1162596707</v>
      </c>
      <c r="F2698" s="3">
        <v>43088</v>
      </c>
      <c r="G2698" s="2">
        <v>201806</v>
      </c>
      <c r="H2698" s="2" t="s">
        <v>74</v>
      </c>
      <c r="I2698" s="2" t="s">
        <v>75</v>
      </c>
      <c r="J2698" s="2" t="s">
        <v>97</v>
      </c>
      <c r="K2698" s="2" t="s">
        <v>77</v>
      </c>
      <c r="L2698" s="2" t="s">
        <v>173</v>
      </c>
      <c r="M2698" s="2" t="s">
        <v>174</v>
      </c>
      <c r="N2698" s="2" t="s">
        <v>381</v>
      </c>
      <c r="O2698" s="2" t="s">
        <v>101</v>
      </c>
      <c r="P2698" s="2" t="str">
        <f>"21706059190                   "</f>
        <v xml:space="preserve">21706059190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6.43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1</v>
      </c>
      <c r="BJ2698" s="2">
        <v>0.2</v>
      </c>
      <c r="BK2698" s="2">
        <v>1</v>
      </c>
      <c r="BL2698" s="2">
        <v>45.93</v>
      </c>
      <c r="BM2698" s="2">
        <v>6.43</v>
      </c>
      <c r="BN2698" s="2">
        <v>52.36</v>
      </c>
      <c r="BO2698" s="2">
        <v>52.36</v>
      </c>
      <c r="BQ2698" s="2" t="s">
        <v>382</v>
      </c>
      <c r="BR2698" s="2" t="s">
        <v>103</v>
      </c>
      <c r="BS2698" s="3">
        <v>43089</v>
      </c>
      <c r="BT2698" s="4">
        <v>0.3923611111111111</v>
      </c>
      <c r="BU2698" s="2" t="s">
        <v>2759</v>
      </c>
      <c r="BV2698" s="2" t="s">
        <v>85</v>
      </c>
      <c r="BY2698" s="2">
        <v>1200</v>
      </c>
      <c r="CA2698" s="2" t="s">
        <v>177</v>
      </c>
      <c r="CC2698" s="2" t="s">
        <v>174</v>
      </c>
      <c r="CD2698" s="2">
        <v>7405</v>
      </c>
      <c r="CE2698" s="2" t="s">
        <v>120</v>
      </c>
      <c r="CF2698" s="3">
        <v>43090</v>
      </c>
      <c r="CI2698" s="2">
        <v>1</v>
      </c>
      <c r="CJ2698" s="2">
        <v>1</v>
      </c>
      <c r="CK2698" s="2">
        <v>21</v>
      </c>
      <c r="CL2698" s="2" t="s">
        <v>89</v>
      </c>
    </row>
    <row r="2699" spans="1:90">
      <c r="A2699" s="2" t="s">
        <v>71</v>
      </c>
      <c r="B2699" s="2" t="s">
        <v>72</v>
      </c>
      <c r="C2699" s="2" t="s">
        <v>73</v>
      </c>
      <c r="E2699" s="2" t="str">
        <f>"FES1162596902"</f>
        <v>FES1162596902</v>
      </c>
      <c r="F2699" s="3">
        <v>43088</v>
      </c>
      <c r="G2699" s="2">
        <v>201806</v>
      </c>
      <c r="H2699" s="2" t="s">
        <v>74</v>
      </c>
      <c r="I2699" s="2" t="s">
        <v>75</v>
      </c>
      <c r="J2699" s="2" t="s">
        <v>97</v>
      </c>
      <c r="K2699" s="2" t="s">
        <v>77</v>
      </c>
      <c r="L2699" s="2" t="s">
        <v>651</v>
      </c>
      <c r="M2699" s="2" t="s">
        <v>652</v>
      </c>
      <c r="N2699" s="2" t="s">
        <v>949</v>
      </c>
      <c r="O2699" s="2" t="s">
        <v>101</v>
      </c>
      <c r="P2699" s="2" t="str">
        <f>"2170607023                    "</f>
        <v xml:space="preserve">2170607023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9.0500000000000007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1</v>
      </c>
      <c r="BJ2699" s="2">
        <v>0.2</v>
      </c>
      <c r="BK2699" s="2">
        <v>1</v>
      </c>
      <c r="BL2699" s="2">
        <v>64.599999999999994</v>
      </c>
      <c r="BM2699" s="2">
        <v>9.0399999999999991</v>
      </c>
      <c r="BN2699" s="2">
        <v>73.64</v>
      </c>
      <c r="BO2699" s="2">
        <v>73.64</v>
      </c>
      <c r="BQ2699" s="2" t="s">
        <v>82</v>
      </c>
      <c r="BR2699" s="2" t="s">
        <v>103</v>
      </c>
      <c r="BS2699" s="2" t="s">
        <v>185</v>
      </c>
      <c r="BY2699" s="2">
        <v>1200</v>
      </c>
      <c r="CC2699" s="2" t="s">
        <v>652</v>
      </c>
      <c r="CD2699" s="2">
        <v>250</v>
      </c>
      <c r="CE2699" s="2" t="s">
        <v>120</v>
      </c>
      <c r="CI2699" s="2">
        <v>1</v>
      </c>
      <c r="CJ2699" s="2" t="s">
        <v>185</v>
      </c>
      <c r="CK2699" s="2">
        <v>24</v>
      </c>
      <c r="CL2699" s="2" t="s">
        <v>89</v>
      </c>
    </row>
    <row r="2700" spans="1:90">
      <c r="A2700" s="2" t="s">
        <v>71</v>
      </c>
      <c r="B2700" s="2" t="s">
        <v>72</v>
      </c>
      <c r="C2700" s="2" t="s">
        <v>73</v>
      </c>
      <c r="E2700" s="2" t="str">
        <f>"FES1162596813"</f>
        <v>FES1162596813</v>
      </c>
      <c r="F2700" s="3">
        <v>43088</v>
      </c>
      <c r="G2700" s="2">
        <v>201806</v>
      </c>
      <c r="H2700" s="2" t="s">
        <v>74</v>
      </c>
      <c r="I2700" s="2" t="s">
        <v>75</v>
      </c>
      <c r="J2700" s="2" t="s">
        <v>97</v>
      </c>
      <c r="K2700" s="2" t="s">
        <v>77</v>
      </c>
      <c r="L2700" s="2" t="s">
        <v>526</v>
      </c>
      <c r="M2700" s="2" t="s">
        <v>527</v>
      </c>
      <c r="N2700" s="2" t="s">
        <v>1355</v>
      </c>
      <c r="O2700" s="2" t="s">
        <v>101</v>
      </c>
      <c r="P2700" s="2" t="str">
        <f>"2170608438                    "</f>
        <v xml:space="preserve">2170608438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6.43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</v>
      </c>
      <c r="BJ2700" s="2">
        <v>0.2</v>
      </c>
      <c r="BK2700" s="2">
        <v>1</v>
      </c>
      <c r="BL2700" s="2">
        <v>45.93</v>
      </c>
      <c r="BM2700" s="2">
        <v>6.43</v>
      </c>
      <c r="BN2700" s="2">
        <v>52.36</v>
      </c>
      <c r="BO2700" s="2">
        <v>52.36</v>
      </c>
      <c r="BQ2700" s="2" t="s">
        <v>82</v>
      </c>
      <c r="BR2700" s="2" t="s">
        <v>103</v>
      </c>
      <c r="BS2700" s="3">
        <v>43089</v>
      </c>
      <c r="BT2700" s="4">
        <v>0.41666666666666669</v>
      </c>
      <c r="BU2700" s="2" t="s">
        <v>2766</v>
      </c>
      <c r="BV2700" s="2" t="s">
        <v>85</v>
      </c>
      <c r="BY2700" s="2">
        <v>1200</v>
      </c>
      <c r="CA2700" s="2" t="s">
        <v>530</v>
      </c>
      <c r="CC2700" s="2" t="s">
        <v>527</v>
      </c>
      <c r="CD2700" s="2">
        <v>6850</v>
      </c>
      <c r="CE2700" s="2" t="s">
        <v>120</v>
      </c>
      <c r="CF2700" s="3">
        <v>43090</v>
      </c>
      <c r="CI2700" s="2">
        <v>3</v>
      </c>
      <c r="CJ2700" s="2">
        <v>1</v>
      </c>
      <c r="CK2700" s="2">
        <v>21</v>
      </c>
      <c r="CL2700" s="2" t="s">
        <v>89</v>
      </c>
    </row>
    <row r="2701" spans="1:90">
      <c r="A2701" s="2" t="s">
        <v>71</v>
      </c>
      <c r="B2701" s="2" t="s">
        <v>72</v>
      </c>
      <c r="C2701" s="2" t="s">
        <v>73</v>
      </c>
      <c r="E2701" s="2" t="str">
        <f>"FES1162596791"</f>
        <v>FES1162596791</v>
      </c>
      <c r="F2701" s="3">
        <v>43088</v>
      </c>
      <c r="G2701" s="2">
        <v>201806</v>
      </c>
      <c r="H2701" s="2" t="s">
        <v>74</v>
      </c>
      <c r="I2701" s="2" t="s">
        <v>75</v>
      </c>
      <c r="J2701" s="2" t="s">
        <v>97</v>
      </c>
      <c r="K2701" s="2" t="s">
        <v>77</v>
      </c>
      <c r="L2701" s="2" t="s">
        <v>521</v>
      </c>
      <c r="M2701" s="2" t="s">
        <v>522</v>
      </c>
      <c r="N2701" s="2" t="s">
        <v>523</v>
      </c>
      <c r="O2701" s="2" t="s">
        <v>101</v>
      </c>
      <c r="P2701" s="2" t="str">
        <f>"2170608423                    "</f>
        <v xml:space="preserve">2170608423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6.43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</v>
      </c>
      <c r="BJ2701" s="2">
        <v>0.2</v>
      </c>
      <c r="BK2701" s="2">
        <v>1</v>
      </c>
      <c r="BL2701" s="2">
        <v>45.93</v>
      </c>
      <c r="BM2701" s="2">
        <v>6.43</v>
      </c>
      <c r="BN2701" s="2">
        <v>52.36</v>
      </c>
      <c r="BO2701" s="2">
        <v>52.36</v>
      </c>
      <c r="BQ2701" s="2" t="s">
        <v>102</v>
      </c>
      <c r="BR2701" s="2" t="s">
        <v>103</v>
      </c>
      <c r="BS2701" s="3">
        <v>43089</v>
      </c>
      <c r="BT2701" s="4">
        <v>0.43055555555555558</v>
      </c>
      <c r="BU2701" s="2" t="s">
        <v>524</v>
      </c>
      <c r="BV2701" s="2" t="s">
        <v>85</v>
      </c>
      <c r="BY2701" s="2">
        <v>1200</v>
      </c>
      <c r="CA2701" s="2" t="s">
        <v>525</v>
      </c>
      <c r="CC2701" s="2" t="s">
        <v>522</v>
      </c>
      <c r="CD2701" s="2">
        <v>6536</v>
      </c>
      <c r="CE2701" s="2" t="s">
        <v>120</v>
      </c>
      <c r="CF2701" s="3">
        <v>43091</v>
      </c>
      <c r="CI2701" s="2">
        <v>1</v>
      </c>
      <c r="CJ2701" s="2">
        <v>1</v>
      </c>
      <c r="CK2701" s="2">
        <v>21</v>
      </c>
      <c r="CL2701" s="2" t="s">
        <v>89</v>
      </c>
    </row>
    <row r="2702" spans="1:90">
      <c r="A2702" s="2" t="s">
        <v>71</v>
      </c>
      <c r="B2702" s="2" t="s">
        <v>72</v>
      </c>
      <c r="C2702" s="2" t="s">
        <v>73</v>
      </c>
      <c r="E2702" s="2" t="str">
        <f>"FES1162596833"</f>
        <v>FES1162596833</v>
      </c>
      <c r="F2702" s="3">
        <v>43088</v>
      </c>
      <c r="G2702" s="2">
        <v>201806</v>
      </c>
      <c r="H2702" s="2" t="s">
        <v>74</v>
      </c>
      <c r="I2702" s="2" t="s">
        <v>75</v>
      </c>
      <c r="J2702" s="2" t="s">
        <v>97</v>
      </c>
      <c r="K2702" s="2" t="s">
        <v>77</v>
      </c>
      <c r="L2702" s="2" t="s">
        <v>173</v>
      </c>
      <c r="M2702" s="2" t="s">
        <v>174</v>
      </c>
      <c r="N2702" s="2" t="s">
        <v>1477</v>
      </c>
      <c r="O2702" s="2" t="s">
        <v>101</v>
      </c>
      <c r="P2702" s="2" t="str">
        <f>"2170604873                    "</f>
        <v xml:space="preserve">2170604873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6.43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45.93</v>
      </c>
      <c r="BM2702" s="2">
        <v>6.43</v>
      </c>
      <c r="BN2702" s="2">
        <v>52.36</v>
      </c>
      <c r="BO2702" s="2">
        <v>52.36</v>
      </c>
      <c r="BQ2702" s="2" t="s">
        <v>82</v>
      </c>
      <c r="BR2702" s="2" t="s">
        <v>103</v>
      </c>
      <c r="BS2702" s="3">
        <v>43089</v>
      </c>
      <c r="BT2702" s="4">
        <v>0.4375</v>
      </c>
      <c r="BU2702" s="2" t="s">
        <v>2767</v>
      </c>
      <c r="BV2702" s="2" t="s">
        <v>85</v>
      </c>
      <c r="BY2702" s="2">
        <v>1200</v>
      </c>
      <c r="CA2702" s="2" t="s">
        <v>378</v>
      </c>
      <c r="CC2702" s="2" t="s">
        <v>174</v>
      </c>
      <c r="CD2702" s="2">
        <v>7490</v>
      </c>
      <c r="CE2702" s="2" t="s">
        <v>120</v>
      </c>
      <c r="CF2702" s="3">
        <v>43090</v>
      </c>
      <c r="CI2702" s="2">
        <v>1</v>
      </c>
      <c r="CJ2702" s="2">
        <v>1</v>
      </c>
      <c r="CK2702" s="2">
        <v>21</v>
      </c>
      <c r="CL2702" s="2" t="s">
        <v>89</v>
      </c>
    </row>
    <row r="2703" spans="1:90">
      <c r="A2703" s="2" t="s">
        <v>71</v>
      </c>
      <c r="B2703" s="2" t="s">
        <v>72</v>
      </c>
      <c r="C2703" s="2" t="s">
        <v>73</v>
      </c>
      <c r="E2703" s="2" t="str">
        <f>"FES1162596785"</f>
        <v>FES1162596785</v>
      </c>
      <c r="F2703" s="3">
        <v>43088</v>
      </c>
      <c r="G2703" s="2">
        <v>201806</v>
      </c>
      <c r="H2703" s="2" t="s">
        <v>74</v>
      </c>
      <c r="I2703" s="2" t="s">
        <v>75</v>
      </c>
      <c r="J2703" s="2" t="s">
        <v>97</v>
      </c>
      <c r="K2703" s="2" t="s">
        <v>77</v>
      </c>
      <c r="L2703" s="2" t="s">
        <v>158</v>
      </c>
      <c r="M2703" s="2" t="s">
        <v>159</v>
      </c>
      <c r="N2703" s="2" t="s">
        <v>974</v>
      </c>
      <c r="O2703" s="2" t="s">
        <v>101</v>
      </c>
      <c r="P2703" s="2" t="str">
        <f>"2170608178                    "</f>
        <v xml:space="preserve">2170608178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6.43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</v>
      </c>
      <c r="BJ2703" s="2">
        <v>0.2</v>
      </c>
      <c r="BK2703" s="2">
        <v>1</v>
      </c>
      <c r="BL2703" s="2">
        <v>45.93</v>
      </c>
      <c r="BM2703" s="2">
        <v>6.43</v>
      </c>
      <c r="BN2703" s="2">
        <v>52.36</v>
      </c>
      <c r="BO2703" s="2">
        <v>52.36</v>
      </c>
      <c r="BQ2703" s="2" t="s">
        <v>82</v>
      </c>
      <c r="BR2703" s="2" t="s">
        <v>103</v>
      </c>
      <c r="BS2703" s="3">
        <v>43089</v>
      </c>
      <c r="BT2703" s="4">
        <v>0.39930555555555558</v>
      </c>
      <c r="BU2703" s="2" t="s">
        <v>2004</v>
      </c>
      <c r="BV2703" s="2" t="s">
        <v>85</v>
      </c>
      <c r="BY2703" s="2">
        <v>1200</v>
      </c>
      <c r="CA2703" s="2" t="s">
        <v>678</v>
      </c>
      <c r="CC2703" s="2" t="s">
        <v>159</v>
      </c>
      <c r="CD2703" s="2">
        <v>184</v>
      </c>
      <c r="CE2703" s="2" t="s">
        <v>120</v>
      </c>
      <c r="CF2703" s="3">
        <v>43089</v>
      </c>
      <c r="CI2703" s="2">
        <v>1</v>
      </c>
      <c r="CJ2703" s="2">
        <v>1</v>
      </c>
      <c r="CK2703" s="2">
        <v>21</v>
      </c>
      <c r="CL2703" s="2" t="s">
        <v>89</v>
      </c>
    </row>
    <row r="2704" spans="1:90">
      <c r="A2704" s="2" t="s">
        <v>71</v>
      </c>
      <c r="B2704" s="2" t="s">
        <v>72</v>
      </c>
      <c r="C2704" s="2" t="s">
        <v>73</v>
      </c>
      <c r="E2704" s="2" t="str">
        <f>"FES1162596711"</f>
        <v>FES1162596711</v>
      </c>
      <c r="F2704" s="3">
        <v>43088</v>
      </c>
      <c r="G2704" s="2">
        <v>201806</v>
      </c>
      <c r="H2704" s="2" t="s">
        <v>74</v>
      </c>
      <c r="I2704" s="2" t="s">
        <v>75</v>
      </c>
      <c r="J2704" s="2" t="s">
        <v>97</v>
      </c>
      <c r="K2704" s="2" t="s">
        <v>77</v>
      </c>
      <c r="L2704" s="2" t="s">
        <v>189</v>
      </c>
      <c r="M2704" s="2" t="s">
        <v>190</v>
      </c>
      <c r="N2704" s="2" t="s">
        <v>959</v>
      </c>
      <c r="O2704" s="2" t="s">
        <v>101</v>
      </c>
      <c r="P2704" s="2" t="str">
        <f>"2170603865                    "</f>
        <v xml:space="preserve">2170603865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6.43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</v>
      </c>
      <c r="BJ2704" s="2">
        <v>0.2</v>
      </c>
      <c r="BK2704" s="2">
        <v>1</v>
      </c>
      <c r="BL2704" s="2">
        <v>45.93</v>
      </c>
      <c r="BM2704" s="2">
        <v>6.43</v>
      </c>
      <c r="BN2704" s="2">
        <v>52.36</v>
      </c>
      <c r="BO2704" s="2">
        <v>52.36</v>
      </c>
      <c r="BQ2704" s="2" t="s">
        <v>229</v>
      </c>
      <c r="BR2704" s="2" t="s">
        <v>103</v>
      </c>
      <c r="BS2704" s="2" t="s">
        <v>185</v>
      </c>
      <c r="BY2704" s="2">
        <v>1200</v>
      </c>
      <c r="CC2704" s="2" t="s">
        <v>190</v>
      </c>
      <c r="CD2704" s="2">
        <v>157</v>
      </c>
      <c r="CE2704" s="2" t="s">
        <v>120</v>
      </c>
      <c r="CI2704" s="2">
        <v>1</v>
      </c>
      <c r="CJ2704" s="2" t="s">
        <v>185</v>
      </c>
      <c r="CK2704" s="2">
        <v>21</v>
      </c>
      <c r="CL2704" s="2" t="s">
        <v>89</v>
      </c>
    </row>
    <row r="2705" spans="1:90">
      <c r="A2705" s="2" t="s">
        <v>71</v>
      </c>
      <c r="B2705" s="2" t="s">
        <v>72</v>
      </c>
      <c r="C2705" s="2" t="s">
        <v>73</v>
      </c>
      <c r="E2705" s="2" t="str">
        <f>"FES1162596793"</f>
        <v>FES1162596793</v>
      </c>
      <c r="F2705" s="3">
        <v>43088</v>
      </c>
      <c r="G2705" s="2">
        <v>201806</v>
      </c>
      <c r="H2705" s="2" t="s">
        <v>74</v>
      </c>
      <c r="I2705" s="2" t="s">
        <v>75</v>
      </c>
      <c r="J2705" s="2" t="s">
        <v>97</v>
      </c>
      <c r="K2705" s="2" t="s">
        <v>77</v>
      </c>
      <c r="L2705" s="2" t="s">
        <v>136</v>
      </c>
      <c r="M2705" s="2" t="s">
        <v>137</v>
      </c>
      <c r="N2705" s="2" t="s">
        <v>918</v>
      </c>
      <c r="O2705" s="2" t="s">
        <v>101</v>
      </c>
      <c r="P2705" s="2" t="str">
        <f>"2170608425                    "</f>
        <v xml:space="preserve">2170608425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6.43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45.93</v>
      </c>
      <c r="BM2705" s="2">
        <v>6.43</v>
      </c>
      <c r="BN2705" s="2">
        <v>52.36</v>
      </c>
      <c r="BO2705" s="2">
        <v>52.36</v>
      </c>
      <c r="BQ2705" s="2" t="s">
        <v>128</v>
      </c>
      <c r="BR2705" s="2" t="s">
        <v>103</v>
      </c>
      <c r="BS2705" s="3">
        <v>43089</v>
      </c>
      <c r="BT2705" s="4">
        <v>0.30277777777777776</v>
      </c>
      <c r="BU2705" s="2" t="s">
        <v>965</v>
      </c>
      <c r="BV2705" s="2" t="s">
        <v>85</v>
      </c>
      <c r="BY2705" s="2">
        <v>1200</v>
      </c>
      <c r="CA2705" s="2" t="s">
        <v>140</v>
      </c>
      <c r="CC2705" s="2" t="s">
        <v>137</v>
      </c>
      <c r="CD2705" s="2">
        <v>6012</v>
      </c>
      <c r="CE2705" s="2" t="s">
        <v>120</v>
      </c>
      <c r="CF2705" s="3">
        <v>43090</v>
      </c>
      <c r="CI2705" s="2">
        <v>1</v>
      </c>
      <c r="CJ2705" s="2">
        <v>1</v>
      </c>
      <c r="CK2705" s="2">
        <v>21</v>
      </c>
      <c r="CL2705" s="2" t="s">
        <v>89</v>
      </c>
    </row>
    <row r="2706" spans="1:90">
      <c r="A2706" s="2" t="s">
        <v>71</v>
      </c>
      <c r="B2706" s="2" t="s">
        <v>72</v>
      </c>
      <c r="C2706" s="2" t="s">
        <v>73</v>
      </c>
      <c r="E2706" s="2" t="str">
        <f>"FES1162596842"</f>
        <v>FES1162596842</v>
      </c>
      <c r="F2706" s="3">
        <v>43088</v>
      </c>
      <c r="G2706" s="2">
        <v>201806</v>
      </c>
      <c r="H2706" s="2" t="s">
        <v>74</v>
      </c>
      <c r="I2706" s="2" t="s">
        <v>75</v>
      </c>
      <c r="J2706" s="2" t="s">
        <v>97</v>
      </c>
      <c r="K2706" s="2" t="s">
        <v>77</v>
      </c>
      <c r="L2706" s="2" t="s">
        <v>759</v>
      </c>
      <c r="M2706" s="2" t="s">
        <v>760</v>
      </c>
      <c r="N2706" s="2" t="s">
        <v>804</v>
      </c>
      <c r="O2706" s="2" t="s">
        <v>101</v>
      </c>
      <c r="P2706" s="2" t="str">
        <f>"2170605514                    "</f>
        <v xml:space="preserve">2170605514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6.43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1</v>
      </c>
      <c r="BJ2706" s="2">
        <v>0.2</v>
      </c>
      <c r="BK2706" s="2">
        <v>1</v>
      </c>
      <c r="BL2706" s="2">
        <v>45.93</v>
      </c>
      <c r="BM2706" s="2">
        <v>6.43</v>
      </c>
      <c r="BN2706" s="2">
        <v>52.36</v>
      </c>
      <c r="BO2706" s="2">
        <v>52.36</v>
      </c>
      <c r="BQ2706" s="2" t="s">
        <v>805</v>
      </c>
      <c r="BR2706" s="2" t="s">
        <v>103</v>
      </c>
      <c r="BS2706" s="3">
        <v>43089</v>
      </c>
      <c r="BT2706" s="4">
        <v>0.37638888888888888</v>
      </c>
      <c r="BU2706" s="2" t="s">
        <v>2576</v>
      </c>
      <c r="BV2706" s="2" t="s">
        <v>85</v>
      </c>
      <c r="BY2706" s="2">
        <v>1200</v>
      </c>
      <c r="CA2706" s="2" t="s">
        <v>578</v>
      </c>
      <c r="CC2706" s="2" t="s">
        <v>760</v>
      </c>
      <c r="CD2706" s="2">
        <v>4026</v>
      </c>
      <c r="CE2706" s="2" t="s">
        <v>120</v>
      </c>
      <c r="CF2706" s="3">
        <v>43090</v>
      </c>
      <c r="CI2706" s="2">
        <v>1</v>
      </c>
      <c r="CJ2706" s="2">
        <v>1</v>
      </c>
      <c r="CK2706" s="2">
        <v>21</v>
      </c>
      <c r="CL2706" s="2" t="s">
        <v>89</v>
      </c>
    </row>
    <row r="2707" spans="1:90">
      <c r="A2707" s="2" t="s">
        <v>71</v>
      </c>
      <c r="B2707" s="2" t="s">
        <v>72</v>
      </c>
      <c r="C2707" s="2" t="s">
        <v>73</v>
      </c>
      <c r="E2707" s="2" t="str">
        <f>"FES1162596749"</f>
        <v>FES1162596749</v>
      </c>
      <c r="F2707" s="3">
        <v>43088</v>
      </c>
      <c r="G2707" s="2">
        <v>201806</v>
      </c>
      <c r="H2707" s="2" t="s">
        <v>74</v>
      </c>
      <c r="I2707" s="2" t="s">
        <v>75</v>
      </c>
      <c r="J2707" s="2" t="s">
        <v>97</v>
      </c>
      <c r="K2707" s="2" t="s">
        <v>77</v>
      </c>
      <c r="L2707" s="2" t="s">
        <v>1021</v>
      </c>
      <c r="M2707" s="2" t="s">
        <v>1022</v>
      </c>
      <c r="N2707" s="2" t="s">
        <v>733</v>
      </c>
      <c r="O2707" s="2" t="s">
        <v>101</v>
      </c>
      <c r="P2707" s="2" t="str">
        <f>"2170607753                    "</f>
        <v xml:space="preserve">2170607753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12.47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89</v>
      </c>
      <c r="BM2707" s="2">
        <v>12.46</v>
      </c>
      <c r="BN2707" s="2">
        <v>101.46</v>
      </c>
      <c r="BO2707" s="2">
        <v>101.46</v>
      </c>
      <c r="BQ2707" s="2" t="s">
        <v>1023</v>
      </c>
      <c r="BR2707" s="2" t="s">
        <v>103</v>
      </c>
      <c r="BS2707" s="3">
        <v>43089</v>
      </c>
      <c r="BT2707" s="4">
        <v>0.42569444444444443</v>
      </c>
      <c r="BU2707" s="2" t="s">
        <v>2768</v>
      </c>
      <c r="BV2707" s="2" t="s">
        <v>85</v>
      </c>
      <c r="BY2707" s="2">
        <v>1200</v>
      </c>
      <c r="CA2707" s="2" t="s">
        <v>1103</v>
      </c>
      <c r="CC2707" s="2" t="s">
        <v>1022</v>
      </c>
      <c r="CD2707" s="2">
        <v>9880</v>
      </c>
      <c r="CE2707" s="2" t="s">
        <v>120</v>
      </c>
      <c r="CF2707" s="3">
        <v>43096</v>
      </c>
      <c r="CI2707" s="2">
        <v>1</v>
      </c>
      <c r="CJ2707" s="2">
        <v>1</v>
      </c>
      <c r="CK2707" s="2">
        <v>23</v>
      </c>
      <c r="CL2707" s="2" t="s">
        <v>89</v>
      </c>
    </row>
    <row r="2708" spans="1:90">
      <c r="A2708" s="2" t="s">
        <v>71</v>
      </c>
      <c r="B2708" s="2" t="s">
        <v>72</v>
      </c>
      <c r="C2708" s="2" t="s">
        <v>73</v>
      </c>
      <c r="E2708" s="2" t="str">
        <f>"FES1162596914"</f>
        <v>FES1162596914</v>
      </c>
      <c r="F2708" s="3">
        <v>43088</v>
      </c>
      <c r="G2708" s="2">
        <v>201806</v>
      </c>
      <c r="H2708" s="2" t="s">
        <v>74</v>
      </c>
      <c r="I2708" s="2" t="s">
        <v>75</v>
      </c>
      <c r="J2708" s="2" t="s">
        <v>97</v>
      </c>
      <c r="K2708" s="2" t="s">
        <v>77</v>
      </c>
      <c r="L2708" s="2" t="s">
        <v>1027</v>
      </c>
      <c r="M2708" s="2" t="s">
        <v>1028</v>
      </c>
      <c r="N2708" s="2" t="s">
        <v>1029</v>
      </c>
      <c r="O2708" s="2" t="s">
        <v>101</v>
      </c>
      <c r="P2708" s="2" t="str">
        <f>"2170607440                    "</f>
        <v xml:space="preserve">2170607440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6.43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</v>
      </c>
      <c r="BJ2708" s="2">
        <v>0.2</v>
      </c>
      <c r="BK2708" s="2">
        <v>1</v>
      </c>
      <c r="BL2708" s="2">
        <v>45.93</v>
      </c>
      <c r="BM2708" s="2">
        <v>6.43</v>
      </c>
      <c r="BN2708" s="2">
        <v>52.36</v>
      </c>
      <c r="BO2708" s="2">
        <v>52.36</v>
      </c>
      <c r="BQ2708" s="2" t="s">
        <v>2769</v>
      </c>
      <c r="BR2708" s="2" t="s">
        <v>103</v>
      </c>
      <c r="BS2708" s="3">
        <v>43091</v>
      </c>
      <c r="BT2708" s="4">
        <v>0.54166666666666663</v>
      </c>
      <c r="BU2708" s="2" t="s">
        <v>2770</v>
      </c>
      <c r="BV2708" s="2" t="s">
        <v>85</v>
      </c>
      <c r="BY2708" s="2">
        <v>1200</v>
      </c>
      <c r="CC2708" s="2" t="s">
        <v>1028</v>
      </c>
      <c r="CD2708" s="2">
        <v>3760</v>
      </c>
      <c r="CE2708" s="2" t="s">
        <v>120</v>
      </c>
      <c r="CF2708" s="3">
        <v>43096</v>
      </c>
      <c r="CI2708" s="2">
        <v>4</v>
      </c>
      <c r="CJ2708" s="2">
        <v>3</v>
      </c>
      <c r="CK2708" s="2">
        <v>21</v>
      </c>
      <c r="CL2708" s="2" t="s">
        <v>89</v>
      </c>
    </row>
    <row r="2709" spans="1:90">
      <c r="A2709" s="2" t="s">
        <v>71</v>
      </c>
      <c r="B2709" s="2" t="s">
        <v>72</v>
      </c>
      <c r="C2709" s="2" t="s">
        <v>73</v>
      </c>
      <c r="E2709" s="2" t="str">
        <f>"FES1162596931"</f>
        <v>FES1162596931</v>
      </c>
      <c r="F2709" s="3">
        <v>43088</v>
      </c>
      <c r="G2709" s="2">
        <v>201806</v>
      </c>
      <c r="H2709" s="2" t="s">
        <v>74</v>
      </c>
      <c r="I2709" s="2" t="s">
        <v>75</v>
      </c>
      <c r="J2709" s="2" t="s">
        <v>97</v>
      </c>
      <c r="K2709" s="2" t="s">
        <v>77</v>
      </c>
      <c r="L2709" s="2" t="s">
        <v>168</v>
      </c>
      <c r="M2709" s="2" t="s">
        <v>169</v>
      </c>
      <c r="N2709" s="2" t="s">
        <v>2134</v>
      </c>
      <c r="O2709" s="2" t="s">
        <v>101</v>
      </c>
      <c r="P2709" s="2" t="str">
        <f>"2170608469                    "</f>
        <v xml:space="preserve">2170608469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6.43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1</v>
      </c>
      <c r="BJ2709" s="2">
        <v>0.2</v>
      </c>
      <c r="BK2709" s="2">
        <v>1</v>
      </c>
      <c r="BL2709" s="2">
        <v>45.93</v>
      </c>
      <c r="BM2709" s="2">
        <v>6.43</v>
      </c>
      <c r="BN2709" s="2">
        <v>52.36</v>
      </c>
      <c r="BO2709" s="2">
        <v>52.36</v>
      </c>
      <c r="BQ2709" s="2" t="s">
        <v>2135</v>
      </c>
      <c r="BR2709" s="2" t="s">
        <v>103</v>
      </c>
      <c r="BS2709" s="3">
        <v>43089</v>
      </c>
      <c r="BT2709" s="4">
        <v>0.32291666666666669</v>
      </c>
      <c r="BU2709" s="2" t="s">
        <v>2136</v>
      </c>
      <c r="BV2709" s="2" t="s">
        <v>85</v>
      </c>
      <c r="BY2709" s="2">
        <v>1200</v>
      </c>
      <c r="CA2709" s="2" t="s">
        <v>172</v>
      </c>
      <c r="CC2709" s="2" t="s">
        <v>169</v>
      </c>
      <c r="CD2709" s="2">
        <v>3610</v>
      </c>
      <c r="CE2709" s="2" t="s">
        <v>120</v>
      </c>
      <c r="CF2709" s="3">
        <v>43090</v>
      </c>
      <c r="CI2709" s="2">
        <v>1</v>
      </c>
      <c r="CJ2709" s="2">
        <v>1</v>
      </c>
      <c r="CK2709" s="2">
        <v>21</v>
      </c>
      <c r="CL2709" s="2" t="s">
        <v>89</v>
      </c>
    </row>
    <row r="2710" spans="1:90">
      <c r="A2710" s="2" t="s">
        <v>71</v>
      </c>
      <c r="B2710" s="2" t="s">
        <v>72</v>
      </c>
      <c r="C2710" s="2" t="s">
        <v>73</v>
      </c>
      <c r="E2710" s="2" t="str">
        <f>"FES1162596893"</f>
        <v>FES1162596893</v>
      </c>
      <c r="F2710" s="3">
        <v>43088</v>
      </c>
      <c r="G2710" s="2">
        <v>201806</v>
      </c>
      <c r="H2710" s="2" t="s">
        <v>74</v>
      </c>
      <c r="I2710" s="2" t="s">
        <v>75</v>
      </c>
      <c r="J2710" s="2" t="s">
        <v>97</v>
      </c>
      <c r="K2710" s="2" t="s">
        <v>77</v>
      </c>
      <c r="L2710" s="2" t="s">
        <v>131</v>
      </c>
      <c r="M2710" s="2" t="s">
        <v>132</v>
      </c>
      <c r="N2710" s="2" t="s">
        <v>1355</v>
      </c>
      <c r="O2710" s="2" t="s">
        <v>101</v>
      </c>
      <c r="P2710" s="2" t="str">
        <f>"217060708                     "</f>
        <v xml:space="preserve">217060708 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6.43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1</v>
      </c>
      <c r="BJ2710" s="2">
        <v>0.2</v>
      </c>
      <c r="BK2710" s="2">
        <v>1</v>
      </c>
      <c r="BL2710" s="2">
        <v>45.93</v>
      </c>
      <c r="BM2710" s="2">
        <v>6.43</v>
      </c>
      <c r="BN2710" s="2">
        <v>52.36</v>
      </c>
      <c r="BO2710" s="2">
        <v>52.36</v>
      </c>
      <c r="BQ2710" s="2" t="s">
        <v>82</v>
      </c>
      <c r="BR2710" s="2" t="s">
        <v>103</v>
      </c>
      <c r="BS2710" s="3">
        <v>43089</v>
      </c>
      <c r="BT2710" s="4">
        <v>0.42430555555555555</v>
      </c>
      <c r="BU2710" s="2" t="s">
        <v>1356</v>
      </c>
      <c r="BV2710" s="2" t="s">
        <v>85</v>
      </c>
      <c r="BY2710" s="2">
        <v>1200</v>
      </c>
      <c r="CA2710" s="2" t="s">
        <v>135</v>
      </c>
      <c r="CC2710" s="2" t="s">
        <v>132</v>
      </c>
      <c r="CD2710" s="2">
        <v>4300</v>
      </c>
      <c r="CE2710" s="2" t="s">
        <v>120</v>
      </c>
      <c r="CF2710" s="3">
        <v>43090</v>
      </c>
      <c r="CI2710" s="2">
        <v>1</v>
      </c>
      <c r="CJ2710" s="2">
        <v>1</v>
      </c>
      <c r="CK2710" s="2">
        <v>21</v>
      </c>
      <c r="CL2710" s="2" t="s">
        <v>89</v>
      </c>
    </row>
    <row r="2711" spans="1:90">
      <c r="A2711" s="2" t="s">
        <v>71</v>
      </c>
      <c r="B2711" s="2" t="s">
        <v>72</v>
      </c>
      <c r="C2711" s="2" t="s">
        <v>73</v>
      </c>
      <c r="E2711" s="2" t="str">
        <f>"FES1162596894"</f>
        <v>FES1162596894</v>
      </c>
      <c r="F2711" s="3">
        <v>43088</v>
      </c>
      <c r="G2711" s="2">
        <v>201806</v>
      </c>
      <c r="H2711" s="2" t="s">
        <v>74</v>
      </c>
      <c r="I2711" s="2" t="s">
        <v>75</v>
      </c>
      <c r="J2711" s="2" t="s">
        <v>97</v>
      </c>
      <c r="K2711" s="2" t="s">
        <v>77</v>
      </c>
      <c r="L2711" s="2" t="s">
        <v>551</v>
      </c>
      <c r="M2711" s="2" t="s">
        <v>552</v>
      </c>
      <c r="N2711" s="2" t="s">
        <v>1002</v>
      </c>
      <c r="O2711" s="2" t="s">
        <v>101</v>
      </c>
      <c r="P2711" s="2" t="str">
        <f>"2170606744                    "</f>
        <v xml:space="preserve">2170606744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6.43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</v>
      </c>
      <c r="BJ2711" s="2">
        <v>0.2</v>
      </c>
      <c r="BK2711" s="2">
        <v>1</v>
      </c>
      <c r="BL2711" s="2">
        <v>45.93</v>
      </c>
      <c r="BM2711" s="2">
        <v>6.43</v>
      </c>
      <c r="BN2711" s="2">
        <v>52.36</v>
      </c>
      <c r="BO2711" s="2">
        <v>52.36</v>
      </c>
      <c r="BQ2711" s="2" t="s">
        <v>102</v>
      </c>
      <c r="BR2711" s="2" t="s">
        <v>103</v>
      </c>
      <c r="BS2711" s="3">
        <v>43090</v>
      </c>
      <c r="BT2711" s="4">
        <v>0.45833333333333331</v>
      </c>
      <c r="BU2711" s="2" t="s">
        <v>2771</v>
      </c>
      <c r="BV2711" s="2" t="s">
        <v>89</v>
      </c>
      <c r="BW2711" s="2" t="s">
        <v>471</v>
      </c>
      <c r="BX2711" s="2" t="s">
        <v>1390</v>
      </c>
      <c r="BY2711" s="2">
        <v>1200</v>
      </c>
      <c r="CA2711" s="2" t="s">
        <v>555</v>
      </c>
      <c r="CC2711" s="2" t="s">
        <v>552</v>
      </c>
      <c r="CD2711" s="2">
        <v>3310</v>
      </c>
      <c r="CE2711" s="2" t="s">
        <v>120</v>
      </c>
      <c r="CF2711" s="3">
        <v>43091</v>
      </c>
      <c r="CI2711" s="2">
        <v>1</v>
      </c>
      <c r="CJ2711" s="2">
        <v>2</v>
      </c>
      <c r="CK2711" s="2">
        <v>21</v>
      </c>
      <c r="CL2711" s="2" t="s">
        <v>89</v>
      </c>
    </row>
    <row r="2712" spans="1:90">
      <c r="A2712" s="2" t="s">
        <v>71</v>
      </c>
      <c r="B2712" s="2" t="s">
        <v>72</v>
      </c>
      <c r="C2712" s="2" t="s">
        <v>73</v>
      </c>
      <c r="E2712" s="2" t="str">
        <f>"FES1162596759"</f>
        <v>FES1162596759</v>
      </c>
      <c r="F2712" s="3">
        <v>43088</v>
      </c>
      <c r="G2712" s="2">
        <v>201806</v>
      </c>
      <c r="H2712" s="2" t="s">
        <v>74</v>
      </c>
      <c r="I2712" s="2" t="s">
        <v>75</v>
      </c>
      <c r="J2712" s="2" t="s">
        <v>97</v>
      </c>
      <c r="K2712" s="2" t="s">
        <v>77</v>
      </c>
      <c r="L2712" s="2" t="s">
        <v>168</v>
      </c>
      <c r="M2712" s="2" t="s">
        <v>169</v>
      </c>
      <c r="N2712" s="2" t="s">
        <v>1077</v>
      </c>
      <c r="O2712" s="2" t="s">
        <v>101</v>
      </c>
      <c r="P2712" s="2" t="str">
        <f>"2170608293                    "</f>
        <v xml:space="preserve">2170608293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6.43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45.93</v>
      </c>
      <c r="BM2712" s="2">
        <v>6.43</v>
      </c>
      <c r="BN2712" s="2">
        <v>52.36</v>
      </c>
      <c r="BO2712" s="2">
        <v>52.36</v>
      </c>
      <c r="BQ2712" s="2" t="s">
        <v>82</v>
      </c>
      <c r="BR2712" s="2" t="s">
        <v>103</v>
      </c>
      <c r="BS2712" s="3">
        <v>43089</v>
      </c>
      <c r="BT2712" s="4">
        <v>0.42638888888888887</v>
      </c>
      <c r="BU2712" s="2" t="s">
        <v>2187</v>
      </c>
      <c r="BV2712" s="2" t="s">
        <v>85</v>
      </c>
      <c r="BY2712" s="2">
        <v>1200</v>
      </c>
      <c r="CA2712" s="2" t="s">
        <v>220</v>
      </c>
      <c r="CC2712" s="2" t="s">
        <v>169</v>
      </c>
      <c r="CD2712" s="2">
        <v>3610</v>
      </c>
      <c r="CE2712" s="2" t="s">
        <v>120</v>
      </c>
      <c r="CF2712" s="3">
        <v>43090</v>
      </c>
      <c r="CI2712" s="2">
        <v>1</v>
      </c>
      <c r="CJ2712" s="2">
        <v>1</v>
      </c>
      <c r="CK2712" s="2">
        <v>21</v>
      </c>
      <c r="CL2712" s="2" t="s">
        <v>89</v>
      </c>
    </row>
    <row r="2713" spans="1:90">
      <c r="A2713" s="2" t="s">
        <v>71</v>
      </c>
      <c r="B2713" s="2" t="s">
        <v>72</v>
      </c>
      <c r="C2713" s="2" t="s">
        <v>73</v>
      </c>
      <c r="E2713" s="2" t="str">
        <f>"FES1162596889"</f>
        <v>FES1162596889</v>
      </c>
      <c r="F2713" s="3">
        <v>43088</v>
      </c>
      <c r="G2713" s="2">
        <v>201806</v>
      </c>
      <c r="H2713" s="2" t="s">
        <v>74</v>
      </c>
      <c r="I2713" s="2" t="s">
        <v>75</v>
      </c>
      <c r="J2713" s="2" t="s">
        <v>97</v>
      </c>
      <c r="K2713" s="2" t="s">
        <v>77</v>
      </c>
      <c r="L2713" s="2" t="s">
        <v>490</v>
      </c>
      <c r="M2713" s="2" t="s">
        <v>491</v>
      </c>
      <c r="N2713" s="2" t="s">
        <v>2201</v>
      </c>
      <c r="O2713" s="2" t="s">
        <v>101</v>
      </c>
      <c r="P2713" s="2" t="str">
        <f>"2170606628                    "</f>
        <v xml:space="preserve">2170606628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6.43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1</v>
      </c>
      <c r="BJ2713" s="2">
        <v>0.2</v>
      </c>
      <c r="BK2713" s="2">
        <v>1</v>
      </c>
      <c r="BL2713" s="2">
        <v>45.93</v>
      </c>
      <c r="BM2713" s="2">
        <v>6.43</v>
      </c>
      <c r="BN2713" s="2">
        <v>52.36</v>
      </c>
      <c r="BO2713" s="2">
        <v>52.36</v>
      </c>
      <c r="BR2713" s="2" t="s">
        <v>103</v>
      </c>
      <c r="BS2713" s="3">
        <v>43090</v>
      </c>
      <c r="BT2713" s="4">
        <v>0.44791666666666669</v>
      </c>
      <c r="BU2713" s="2" t="s">
        <v>2202</v>
      </c>
      <c r="BV2713" s="2" t="s">
        <v>89</v>
      </c>
      <c r="BW2713" s="2" t="s">
        <v>471</v>
      </c>
      <c r="BX2713" s="2" t="s">
        <v>1390</v>
      </c>
      <c r="BY2713" s="2">
        <v>1200</v>
      </c>
      <c r="CA2713" s="2" t="s">
        <v>494</v>
      </c>
      <c r="CC2713" s="2" t="s">
        <v>491</v>
      </c>
      <c r="CD2713" s="2">
        <v>3699</v>
      </c>
      <c r="CE2713" s="2" t="s">
        <v>120</v>
      </c>
      <c r="CF2713" s="3">
        <v>43091</v>
      </c>
      <c r="CI2713" s="2">
        <v>1</v>
      </c>
      <c r="CJ2713" s="2">
        <v>2</v>
      </c>
      <c r="CK2713" s="2">
        <v>21</v>
      </c>
      <c r="CL2713" s="2" t="s">
        <v>89</v>
      </c>
    </row>
    <row r="2714" spans="1:90">
      <c r="A2714" s="2" t="s">
        <v>71</v>
      </c>
      <c r="B2714" s="2" t="s">
        <v>72</v>
      </c>
      <c r="C2714" s="2" t="s">
        <v>73</v>
      </c>
      <c r="E2714" s="2" t="str">
        <f>"FES1162596825"</f>
        <v>FES1162596825</v>
      </c>
      <c r="F2714" s="3">
        <v>43088</v>
      </c>
      <c r="G2714" s="2">
        <v>201806</v>
      </c>
      <c r="H2714" s="2" t="s">
        <v>74</v>
      </c>
      <c r="I2714" s="2" t="s">
        <v>75</v>
      </c>
      <c r="J2714" s="2" t="s">
        <v>97</v>
      </c>
      <c r="K2714" s="2" t="s">
        <v>77</v>
      </c>
      <c r="L2714" s="2" t="s">
        <v>221</v>
      </c>
      <c r="M2714" s="2" t="s">
        <v>222</v>
      </c>
      <c r="N2714" s="2" t="s">
        <v>2184</v>
      </c>
      <c r="O2714" s="2" t="s">
        <v>101</v>
      </c>
      <c r="P2714" s="2" t="str">
        <f>"2170604122                    "</f>
        <v xml:space="preserve">2170604122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6.43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1</v>
      </c>
      <c r="BJ2714" s="2">
        <v>0.2</v>
      </c>
      <c r="BK2714" s="2">
        <v>1</v>
      </c>
      <c r="BL2714" s="2">
        <v>45.93</v>
      </c>
      <c r="BM2714" s="2">
        <v>6.43</v>
      </c>
      <c r="BN2714" s="2">
        <v>52.36</v>
      </c>
      <c r="BO2714" s="2">
        <v>52.36</v>
      </c>
      <c r="BQ2714" s="2" t="s">
        <v>82</v>
      </c>
      <c r="BR2714" s="2" t="s">
        <v>103</v>
      </c>
      <c r="BS2714" s="3">
        <v>43089</v>
      </c>
      <c r="BT2714" s="4">
        <v>0.43611111111111112</v>
      </c>
      <c r="BU2714" s="2" t="s">
        <v>2772</v>
      </c>
      <c r="BV2714" s="2" t="s">
        <v>85</v>
      </c>
      <c r="BY2714" s="2">
        <v>1200</v>
      </c>
      <c r="CA2714" s="2" t="s">
        <v>225</v>
      </c>
      <c r="CC2714" s="2" t="s">
        <v>222</v>
      </c>
      <c r="CD2714" s="2">
        <v>4113</v>
      </c>
      <c r="CE2714" s="2" t="s">
        <v>120</v>
      </c>
      <c r="CF2714" s="3">
        <v>43090</v>
      </c>
      <c r="CI2714" s="2">
        <v>1</v>
      </c>
      <c r="CJ2714" s="2">
        <v>1</v>
      </c>
      <c r="CK2714" s="2">
        <v>21</v>
      </c>
      <c r="CL2714" s="2" t="s">
        <v>89</v>
      </c>
    </row>
    <row r="2715" spans="1:90">
      <c r="A2715" s="2" t="s">
        <v>71</v>
      </c>
      <c r="B2715" s="2" t="s">
        <v>72</v>
      </c>
      <c r="C2715" s="2" t="s">
        <v>73</v>
      </c>
      <c r="E2715" s="2" t="str">
        <f>"FES1162596779"</f>
        <v>FES1162596779</v>
      </c>
      <c r="F2715" s="3">
        <v>43088</v>
      </c>
      <c r="G2715" s="2">
        <v>201806</v>
      </c>
      <c r="H2715" s="2" t="s">
        <v>74</v>
      </c>
      <c r="I2715" s="2" t="s">
        <v>75</v>
      </c>
      <c r="J2715" s="2" t="s">
        <v>97</v>
      </c>
      <c r="K2715" s="2" t="s">
        <v>77</v>
      </c>
      <c r="L2715" s="2" t="s">
        <v>136</v>
      </c>
      <c r="M2715" s="2" t="s">
        <v>137</v>
      </c>
      <c r="N2715" s="2" t="s">
        <v>258</v>
      </c>
      <c r="O2715" s="2" t="s">
        <v>101</v>
      </c>
      <c r="P2715" s="2" t="str">
        <f>"2170608417                    "</f>
        <v xml:space="preserve">2170608417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57.88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12.2</v>
      </c>
      <c r="BJ2715" s="2">
        <v>17.899999999999999</v>
      </c>
      <c r="BK2715" s="2">
        <v>18</v>
      </c>
      <c r="BL2715" s="2">
        <v>413.22</v>
      </c>
      <c r="BM2715" s="2">
        <v>57.85</v>
      </c>
      <c r="BN2715" s="2">
        <v>471.07</v>
      </c>
      <c r="BO2715" s="2">
        <v>471.07</v>
      </c>
      <c r="BQ2715" s="2" t="s">
        <v>102</v>
      </c>
      <c r="BR2715" s="2" t="s">
        <v>103</v>
      </c>
      <c r="BS2715" s="3">
        <v>43089</v>
      </c>
      <c r="BT2715" s="4">
        <v>0.3888888888888889</v>
      </c>
      <c r="BU2715" s="2" t="s">
        <v>2583</v>
      </c>
      <c r="BV2715" s="2" t="s">
        <v>85</v>
      </c>
      <c r="BY2715" s="2">
        <v>89587.96</v>
      </c>
      <c r="CC2715" s="2" t="s">
        <v>137</v>
      </c>
      <c r="CD2715" s="2">
        <v>6001</v>
      </c>
      <c r="CE2715" s="2" t="s">
        <v>95</v>
      </c>
      <c r="CF2715" s="3">
        <v>43090</v>
      </c>
      <c r="CI2715" s="2">
        <v>1</v>
      </c>
      <c r="CJ2715" s="2">
        <v>1</v>
      </c>
      <c r="CK2715" s="2">
        <v>21</v>
      </c>
      <c r="CL2715" s="2" t="s">
        <v>89</v>
      </c>
    </row>
    <row r="2716" spans="1:90">
      <c r="A2716" s="2" t="s">
        <v>71</v>
      </c>
      <c r="B2716" s="2" t="s">
        <v>72</v>
      </c>
      <c r="C2716" s="2" t="s">
        <v>73</v>
      </c>
      <c r="E2716" s="2" t="str">
        <f>"FES1162596923"</f>
        <v>FES1162596923</v>
      </c>
      <c r="F2716" s="3">
        <v>43088</v>
      </c>
      <c r="G2716" s="2">
        <v>201806</v>
      </c>
      <c r="H2716" s="2" t="s">
        <v>74</v>
      </c>
      <c r="I2716" s="2" t="s">
        <v>75</v>
      </c>
      <c r="J2716" s="2" t="s">
        <v>97</v>
      </c>
      <c r="K2716" s="2" t="s">
        <v>77</v>
      </c>
      <c r="L2716" s="2" t="s">
        <v>125</v>
      </c>
      <c r="M2716" s="2" t="s">
        <v>126</v>
      </c>
      <c r="N2716" s="2" t="s">
        <v>664</v>
      </c>
      <c r="O2716" s="2" t="s">
        <v>101</v>
      </c>
      <c r="P2716" s="2" t="str">
        <f>"2170608456                    "</f>
        <v xml:space="preserve">2170608456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12.87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2</v>
      </c>
      <c r="BJ2716" s="2">
        <v>4</v>
      </c>
      <c r="BK2716" s="2">
        <v>4</v>
      </c>
      <c r="BL2716" s="2">
        <v>91.85</v>
      </c>
      <c r="BM2716" s="2">
        <v>12.86</v>
      </c>
      <c r="BN2716" s="2">
        <v>104.71</v>
      </c>
      <c r="BO2716" s="2">
        <v>104.71</v>
      </c>
      <c r="BQ2716" s="2" t="s">
        <v>102</v>
      </c>
      <c r="BR2716" s="2" t="s">
        <v>103</v>
      </c>
      <c r="BS2716" s="3">
        <v>43089</v>
      </c>
      <c r="BT2716" s="4">
        <v>0.41666666666666669</v>
      </c>
      <c r="BU2716" s="2" t="s">
        <v>2461</v>
      </c>
      <c r="BV2716" s="2" t="s">
        <v>85</v>
      </c>
      <c r="BY2716" s="2">
        <v>20202</v>
      </c>
      <c r="CC2716" s="2" t="s">
        <v>126</v>
      </c>
      <c r="CD2716" s="2">
        <v>4001</v>
      </c>
      <c r="CE2716" s="2" t="s">
        <v>87</v>
      </c>
      <c r="CF2716" s="3">
        <v>43090</v>
      </c>
      <c r="CI2716" s="2">
        <v>1</v>
      </c>
      <c r="CJ2716" s="2">
        <v>1</v>
      </c>
      <c r="CK2716" s="2">
        <v>21</v>
      </c>
      <c r="CL2716" s="2" t="s">
        <v>89</v>
      </c>
    </row>
    <row r="2717" spans="1:90">
      <c r="A2717" s="2" t="s">
        <v>71</v>
      </c>
      <c r="B2717" s="2" t="s">
        <v>72</v>
      </c>
      <c r="C2717" s="2" t="s">
        <v>73</v>
      </c>
      <c r="E2717" s="2" t="str">
        <f>"FES1162596879"</f>
        <v>FES1162596879</v>
      </c>
      <c r="F2717" s="3">
        <v>43088</v>
      </c>
      <c r="G2717" s="2">
        <v>201806</v>
      </c>
      <c r="H2717" s="2" t="s">
        <v>74</v>
      </c>
      <c r="I2717" s="2" t="s">
        <v>75</v>
      </c>
      <c r="J2717" s="2" t="s">
        <v>97</v>
      </c>
      <c r="K2717" s="2" t="s">
        <v>77</v>
      </c>
      <c r="L2717" s="2" t="s">
        <v>158</v>
      </c>
      <c r="M2717" s="2" t="s">
        <v>159</v>
      </c>
      <c r="N2717" s="2" t="s">
        <v>2025</v>
      </c>
      <c r="O2717" s="2" t="s">
        <v>101</v>
      </c>
      <c r="P2717" s="2" t="str">
        <f>"2170605840                    "</f>
        <v xml:space="preserve">2170605840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8.0399999999999991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2.1</v>
      </c>
      <c r="BJ2717" s="2">
        <v>1.6</v>
      </c>
      <c r="BK2717" s="2">
        <v>2.5</v>
      </c>
      <c r="BL2717" s="2">
        <v>57.41</v>
      </c>
      <c r="BM2717" s="2">
        <v>8.0399999999999991</v>
      </c>
      <c r="BN2717" s="2">
        <v>65.45</v>
      </c>
      <c r="BO2717" s="2">
        <v>65.45</v>
      </c>
      <c r="BQ2717" s="2" t="s">
        <v>2084</v>
      </c>
      <c r="BR2717" s="2" t="s">
        <v>103</v>
      </c>
      <c r="BS2717" s="2" t="s">
        <v>185</v>
      </c>
      <c r="BY2717" s="2">
        <v>8175.74</v>
      </c>
      <c r="CC2717" s="2" t="s">
        <v>159</v>
      </c>
      <c r="CD2717" s="2">
        <v>200</v>
      </c>
      <c r="CE2717" s="2" t="s">
        <v>95</v>
      </c>
      <c r="CI2717" s="2">
        <v>1</v>
      </c>
      <c r="CJ2717" s="2" t="s">
        <v>185</v>
      </c>
      <c r="CK2717" s="2">
        <v>21</v>
      </c>
      <c r="CL2717" s="2" t="s">
        <v>89</v>
      </c>
    </row>
    <row r="2718" spans="1:90">
      <c r="A2718" s="2" t="s">
        <v>71</v>
      </c>
      <c r="B2718" s="2" t="s">
        <v>72</v>
      </c>
      <c r="C2718" s="2" t="s">
        <v>73</v>
      </c>
      <c r="E2718" s="2" t="str">
        <f>"FES1162596940"</f>
        <v>FES1162596940</v>
      </c>
      <c r="F2718" s="3">
        <v>43088</v>
      </c>
      <c r="G2718" s="2">
        <v>201806</v>
      </c>
      <c r="H2718" s="2" t="s">
        <v>74</v>
      </c>
      <c r="I2718" s="2" t="s">
        <v>75</v>
      </c>
      <c r="J2718" s="2" t="s">
        <v>97</v>
      </c>
      <c r="K2718" s="2" t="s">
        <v>77</v>
      </c>
      <c r="L2718" s="2" t="s">
        <v>136</v>
      </c>
      <c r="M2718" s="2" t="s">
        <v>137</v>
      </c>
      <c r="N2718" s="2" t="s">
        <v>918</v>
      </c>
      <c r="O2718" s="2" t="s">
        <v>101</v>
      </c>
      <c r="P2718" s="2" t="str">
        <f>"2170608485                    "</f>
        <v xml:space="preserve">2170608485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16.079999999999998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4</v>
      </c>
      <c r="BJ2718" s="2">
        <v>4.8</v>
      </c>
      <c r="BK2718" s="2">
        <v>5</v>
      </c>
      <c r="BL2718" s="2">
        <v>114.8</v>
      </c>
      <c r="BM2718" s="2">
        <v>16.07</v>
      </c>
      <c r="BN2718" s="2">
        <v>130.87</v>
      </c>
      <c r="BO2718" s="2">
        <v>130.87</v>
      </c>
      <c r="BQ2718" s="2" t="s">
        <v>128</v>
      </c>
      <c r="BR2718" s="2" t="s">
        <v>103</v>
      </c>
      <c r="BS2718" s="3">
        <v>43089</v>
      </c>
      <c r="BT2718" s="4">
        <v>0.30277777777777776</v>
      </c>
      <c r="BU2718" s="2" t="s">
        <v>965</v>
      </c>
      <c r="BV2718" s="2" t="s">
        <v>85</v>
      </c>
      <c r="BY2718" s="2">
        <v>23868</v>
      </c>
      <c r="CA2718" s="2" t="s">
        <v>140</v>
      </c>
      <c r="CC2718" s="2" t="s">
        <v>137</v>
      </c>
      <c r="CD2718" s="2">
        <v>6012</v>
      </c>
      <c r="CE2718" s="2" t="s">
        <v>87</v>
      </c>
      <c r="CF2718" s="3">
        <v>43090</v>
      </c>
      <c r="CI2718" s="2">
        <v>1</v>
      </c>
      <c r="CJ2718" s="2">
        <v>1</v>
      </c>
      <c r="CK2718" s="2">
        <v>21</v>
      </c>
      <c r="CL2718" s="2" t="s">
        <v>89</v>
      </c>
    </row>
    <row r="2719" spans="1:90">
      <c r="A2719" s="2" t="s">
        <v>71</v>
      </c>
      <c r="B2719" s="2" t="s">
        <v>72</v>
      </c>
      <c r="C2719" s="2" t="s">
        <v>73</v>
      </c>
      <c r="E2719" s="2" t="str">
        <f>"FES1162596924"</f>
        <v>FES1162596924</v>
      </c>
      <c r="F2719" s="3">
        <v>43088</v>
      </c>
      <c r="G2719" s="2">
        <v>201806</v>
      </c>
      <c r="H2719" s="2" t="s">
        <v>74</v>
      </c>
      <c r="I2719" s="2" t="s">
        <v>75</v>
      </c>
      <c r="J2719" s="2" t="s">
        <v>97</v>
      </c>
      <c r="K2719" s="2" t="s">
        <v>77</v>
      </c>
      <c r="L2719" s="2" t="s">
        <v>212</v>
      </c>
      <c r="M2719" s="2" t="s">
        <v>212</v>
      </c>
      <c r="N2719" s="2" t="s">
        <v>213</v>
      </c>
      <c r="O2719" s="2" t="s">
        <v>101</v>
      </c>
      <c r="P2719" s="2" t="str">
        <f>"2170608458                    "</f>
        <v xml:space="preserve">2170608458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6.43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1.3</v>
      </c>
      <c r="BJ2719" s="2">
        <v>0.9</v>
      </c>
      <c r="BK2719" s="2">
        <v>1.5</v>
      </c>
      <c r="BL2719" s="2">
        <v>45.93</v>
      </c>
      <c r="BM2719" s="2">
        <v>6.43</v>
      </c>
      <c r="BN2719" s="2">
        <v>52.36</v>
      </c>
      <c r="BO2719" s="2">
        <v>52.36</v>
      </c>
      <c r="BQ2719" s="2" t="s">
        <v>102</v>
      </c>
      <c r="BR2719" s="2" t="s">
        <v>103</v>
      </c>
      <c r="BS2719" s="3">
        <v>43089</v>
      </c>
      <c r="BT2719" s="4">
        <v>0.52777777777777779</v>
      </c>
      <c r="BU2719" s="2" t="s">
        <v>2757</v>
      </c>
      <c r="BV2719" s="2" t="s">
        <v>85</v>
      </c>
      <c r="BY2719" s="2">
        <v>4268.47</v>
      </c>
      <c r="CC2719" s="2" t="s">
        <v>212</v>
      </c>
      <c r="CD2719" s="2">
        <v>7646</v>
      </c>
      <c r="CE2719" s="2" t="s">
        <v>87</v>
      </c>
      <c r="CF2719" s="3">
        <v>43090</v>
      </c>
      <c r="CI2719" s="2">
        <v>1</v>
      </c>
      <c r="CJ2719" s="2">
        <v>1</v>
      </c>
      <c r="CK2719" s="2">
        <v>21</v>
      </c>
      <c r="CL2719" s="2" t="s">
        <v>89</v>
      </c>
    </row>
    <row r="2720" spans="1:90">
      <c r="A2720" s="2" t="s">
        <v>71</v>
      </c>
      <c r="B2720" s="2" t="s">
        <v>72</v>
      </c>
      <c r="C2720" s="2" t="s">
        <v>73</v>
      </c>
      <c r="E2720" s="2" t="str">
        <f>"FES1162596837"</f>
        <v>FES1162596837</v>
      </c>
      <c r="F2720" s="3">
        <v>43088</v>
      </c>
      <c r="G2720" s="2">
        <v>201806</v>
      </c>
      <c r="H2720" s="2" t="s">
        <v>74</v>
      </c>
      <c r="I2720" s="2" t="s">
        <v>75</v>
      </c>
      <c r="J2720" s="2" t="s">
        <v>97</v>
      </c>
      <c r="K2720" s="2" t="s">
        <v>77</v>
      </c>
      <c r="L2720" s="2" t="s">
        <v>173</v>
      </c>
      <c r="M2720" s="2" t="s">
        <v>174</v>
      </c>
      <c r="N2720" s="2" t="s">
        <v>175</v>
      </c>
      <c r="O2720" s="2" t="s">
        <v>101</v>
      </c>
      <c r="P2720" s="2" t="str">
        <f>"2170605236                    "</f>
        <v xml:space="preserve">2170605236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6.43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1.4</v>
      </c>
      <c r="BJ2720" s="2">
        <v>1.4</v>
      </c>
      <c r="BK2720" s="2">
        <v>1.5</v>
      </c>
      <c r="BL2720" s="2">
        <v>45.93</v>
      </c>
      <c r="BM2720" s="2">
        <v>6.43</v>
      </c>
      <c r="BN2720" s="2">
        <v>52.36</v>
      </c>
      <c r="BO2720" s="2">
        <v>52.36</v>
      </c>
      <c r="BQ2720" s="2" t="s">
        <v>102</v>
      </c>
      <c r="BR2720" s="2" t="s">
        <v>103</v>
      </c>
      <c r="BS2720" s="3">
        <v>43089</v>
      </c>
      <c r="BT2720" s="4">
        <v>0.39444444444444443</v>
      </c>
      <c r="BU2720" s="2" t="s">
        <v>176</v>
      </c>
      <c r="BV2720" s="2" t="s">
        <v>85</v>
      </c>
      <c r="BY2720" s="2">
        <v>6860</v>
      </c>
      <c r="CA2720" s="2" t="s">
        <v>177</v>
      </c>
      <c r="CC2720" s="2" t="s">
        <v>174</v>
      </c>
      <c r="CD2720" s="2">
        <v>7405</v>
      </c>
      <c r="CE2720" s="2" t="s">
        <v>95</v>
      </c>
      <c r="CF2720" s="3">
        <v>43090</v>
      </c>
      <c r="CI2720" s="2">
        <v>1</v>
      </c>
      <c r="CJ2720" s="2">
        <v>1</v>
      </c>
      <c r="CK2720" s="2">
        <v>21</v>
      </c>
      <c r="CL2720" s="2" t="s">
        <v>89</v>
      </c>
    </row>
    <row r="2721" spans="1:90">
      <c r="A2721" s="2" t="s">
        <v>71</v>
      </c>
      <c r="B2721" s="2" t="s">
        <v>72</v>
      </c>
      <c r="C2721" s="2" t="s">
        <v>73</v>
      </c>
      <c r="E2721" s="2" t="str">
        <f>"FES1162596864"</f>
        <v>FES1162596864</v>
      </c>
      <c r="F2721" s="3">
        <v>43088</v>
      </c>
      <c r="G2721" s="2">
        <v>201806</v>
      </c>
      <c r="H2721" s="2" t="s">
        <v>74</v>
      </c>
      <c r="I2721" s="2" t="s">
        <v>75</v>
      </c>
      <c r="J2721" s="2" t="s">
        <v>97</v>
      </c>
      <c r="K2721" s="2" t="s">
        <v>77</v>
      </c>
      <c r="L2721" s="2" t="s">
        <v>212</v>
      </c>
      <c r="M2721" s="2" t="s">
        <v>212</v>
      </c>
      <c r="N2721" s="2" t="s">
        <v>370</v>
      </c>
      <c r="O2721" s="2" t="s">
        <v>101</v>
      </c>
      <c r="P2721" s="2" t="str">
        <f>"21706057451                   "</f>
        <v xml:space="preserve">21706057451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6.43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0.4</v>
      </c>
      <c r="BJ2721" s="2">
        <v>1.4</v>
      </c>
      <c r="BK2721" s="2">
        <v>1.5</v>
      </c>
      <c r="BL2721" s="2">
        <v>45.93</v>
      </c>
      <c r="BM2721" s="2">
        <v>6.43</v>
      </c>
      <c r="BN2721" s="2">
        <v>52.36</v>
      </c>
      <c r="BO2721" s="2">
        <v>52.36</v>
      </c>
      <c r="BQ2721" s="2" t="s">
        <v>102</v>
      </c>
      <c r="BR2721" s="2" t="s">
        <v>103</v>
      </c>
      <c r="BS2721" s="3">
        <v>43089</v>
      </c>
      <c r="BT2721" s="4">
        <v>0.53611111111111109</v>
      </c>
      <c r="BU2721" s="2" t="s">
        <v>2659</v>
      </c>
      <c r="BV2721" s="2" t="s">
        <v>85</v>
      </c>
      <c r="BY2721" s="2">
        <v>6846.84</v>
      </c>
      <c r="CC2721" s="2" t="s">
        <v>212</v>
      </c>
      <c r="CD2721" s="2">
        <v>7646</v>
      </c>
      <c r="CE2721" s="2" t="s">
        <v>95</v>
      </c>
      <c r="CF2721" s="3">
        <v>43090</v>
      </c>
      <c r="CI2721" s="2">
        <v>1</v>
      </c>
      <c r="CJ2721" s="2">
        <v>1</v>
      </c>
      <c r="CK2721" s="2">
        <v>21</v>
      </c>
      <c r="CL2721" s="2" t="s">
        <v>89</v>
      </c>
    </row>
    <row r="2722" spans="1:90">
      <c r="A2722" s="2" t="s">
        <v>71</v>
      </c>
      <c r="B2722" s="2" t="s">
        <v>72</v>
      </c>
      <c r="C2722" s="2" t="s">
        <v>73</v>
      </c>
      <c r="E2722" s="2" t="str">
        <f>"FES1162596868"</f>
        <v>FES1162596868</v>
      </c>
      <c r="F2722" s="3">
        <v>43088</v>
      </c>
      <c r="G2722" s="2">
        <v>201806</v>
      </c>
      <c r="H2722" s="2" t="s">
        <v>74</v>
      </c>
      <c r="I2722" s="2" t="s">
        <v>75</v>
      </c>
      <c r="J2722" s="2" t="s">
        <v>97</v>
      </c>
      <c r="K2722" s="2" t="s">
        <v>77</v>
      </c>
      <c r="L2722" s="2" t="s">
        <v>173</v>
      </c>
      <c r="M2722" s="2" t="s">
        <v>174</v>
      </c>
      <c r="N2722" s="2" t="s">
        <v>2044</v>
      </c>
      <c r="O2722" s="2" t="s">
        <v>101</v>
      </c>
      <c r="P2722" s="2" t="str">
        <f>"21706057151                   "</f>
        <v xml:space="preserve">21706057151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6.43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1</v>
      </c>
      <c r="BJ2722" s="2">
        <v>0.2</v>
      </c>
      <c r="BK2722" s="2">
        <v>1</v>
      </c>
      <c r="BL2722" s="2">
        <v>45.93</v>
      </c>
      <c r="BM2722" s="2">
        <v>6.43</v>
      </c>
      <c r="BN2722" s="2">
        <v>52.36</v>
      </c>
      <c r="BO2722" s="2">
        <v>52.36</v>
      </c>
      <c r="BQ2722" s="2" t="s">
        <v>102</v>
      </c>
      <c r="BR2722" s="2" t="s">
        <v>103</v>
      </c>
      <c r="BS2722" s="3">
        <v>43090</v>
      </c>
      <c r="BT2722" s="4">
        <v>0.35972222222222222</v>
      </c>
      <c r="BU2722" s="2" t="s">
        <v>2045</v>
      </c>
      <c r="BV2722" s="2" t="s">
        <v>89</v>
      </c>
      <c r="BW2722" s="2" t="s">
        <v>149</v>
      </c>
      <c r="BX2722" s="2" t="s">
        <v>246</v>
      </c>
      <c r="BY2722" s="2">
        <v>1200</v>
      </c>
      <c r="CC2722" s="2" t="s">
        <v>174</v>
      </c>
      <c r="CD2722" s="2">
        <v>7500</v>
      </c>
      <c r="CE2722" s="2" t="s">
        <v>120</v>
      </c>
      <c r="CF2722" s="3">
        <v>43091</v>
      </c>
      <c r="CI2722" s="2">
        <v>1</v>
      </c>
      <c r="CJ2722" s="2">
        <v>2</v>
      </c>
      <c r="CK2722" s="2">
        <v>21</v>
      </c>
      <c r="CL2722" s="2" t="s">
        <v>89</v>
      </c>
    </row>
    <row r="2723" spans="1:90">
      <c r="A2723" s="2" t="s">
        <v>71</v>
      </c>
      <c r="B2723" s="2" t="s">
        <v>72</v>
      </c>
      <c r="C2723" s="2" t="s">
        <v>73</v>
      </c>
      <c r="E2723" s="2" t="str">
        <f>"FES1162596796"</f>
        <v>FES1162596796</v>
      </c>
      <c r="F2723" s="3">
        <v>43088</v>
      </c>
      <c r="G2723" s="2">
        <v>201806</v>
      </c>
      <c r="H2723" s="2" t="s">
        <v>74</v>
      </c>
      <c r="I2723" s="2" t="s">
        <v>75</v>
      </c>
      <c r="J2723" s="2" t="s">
        <v>97</v>
      </c>
      <c r="K2723" s="2" t="s">
        <v>77</v>
      </c>
      <c r="L2723" s="2" t="s">
        <v>173</v>
      </c>
      <c r="M2723" s="2" t="s">
        <v>174</v>
      </c>
      <c r="N2723" s="2" t="s">
        <v>175</v>
      </c>
      <c r="O2723" s="2" t="s">
        <v>101</v>
      </c>
      <c r="P2723" s="2" t="str">
        <f>"2170604378                    "</f>
        <v xml:space="preserve">2170604378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6.43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45.93</v>
      </c>
      <c r="BM2723" s="2">
        <v>6.43</v>
      </c>
      <c r="BN2723" s="2">
        <v>52.36</v>
      </c>
      <c r="BO2723" s="2">
        <v>52.36</v>
      </c>
      <c r="BQ2723" s="2" t="s">
        <v>102</v>
      </c>
      <c r="BR2723" s="2" t="s">
        <v>103</v>
      </c>
      <c r="BS2723" s="3">
        <v>43089</v>
      </c>
      <c r="BT2723" s="4">
        <v>0.39583333333333331</v>
      </c>
      <c r="BU2723" s="2" t="s">
        <v>176</v>
      </c>
      <c r="BV2723" s="2" t="s">
        <v>85</v>
      </c>
      <c r="BY2723" s="2">
        <v>1200</v>
      </c>
      <c r="CA2723" s="2" t="s">
        <v>177</v>
      </c>
      <c r="CC2723" s="2" t="s">
        <v>174</v>
      </c>
      <c r="CD2723" s="2">
        <v>7405</v>
      </c>
      <c r="CE2723" s="2" t="s">
        <v>120</v>
      </c>
      <c r="CF2723" s="3">
        <v>43090</v>
      </c>
      <c r="CI2723" s="2">
        <v>1</v>
      </c>
      <c r="CJ2723" s="2">
        <v>1</v>
      </c>
      <c r="CK2723" s="2">
        <v>21</v>
      </c>
      <c r="CL2723" s="2" t="s">
        <v>89</v>
      </c>
    </row>
    <row r="2724" spans="1:90">
      <c r="A2724" s="2" t="s">
        <v>71</v>
      </c>
      <c r="B2724" s="2" t="s">
        <v>72</v>
      </c>
      <c r="C2724" s="2" t="s">
        <v>73</v>
      </c>
      <c r="E2724" s="2" t="str">
        <f>"FES1162596871"</f>
        <v>FES1162596871</v>
      </c>
      <c r="F2724" s="3">
        <v>43088</v>
      </c>
      <c r="G2724" s="2">
        <v>201806</v>
      </c>
      <c r="H2724" s="2" t="s">
        <v>74</v>
      </c>
      <c r="I2724" s="2" t="s">
        <v>75</v>
      </c>
      <c r="J2724" s="2" t="s">
        <v>97</v>
      </c>
      <c r="K2724" s="2" t="s">
        <v>77</v>
      </c>
      <c r="L2724" s="2" t="s">
        <v>173</v>
      </c>
      <c r="M2724" s="2" t="s">
        <v>174</v>
      </c>
      <c r="N2724" s="2" t="s">
        <v>2380</v>
      </c>
      <c r="O2724" s="2" t="s">
        <v>101</v>
      </c>
      <c r="P2724" s="2" t="str">
        <f>"2170605780                    "</f>
        <v xml:space="preserve">2170605780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6.43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45.93</v>
      </c>
      <c r="BM2724" s="2">
        <v>6.43</v>
      </c>
      <c r="BN2724" s="2">
        <v>52.36</v>
      </c>
      <c r="BO2724" s="2">
        <v>52.36</v>
      </c>
      <c r="BR2724" s="2" t="s">
        <v>103</v>
      </c>
      <c r="BS2724" s="3">
        <v>43089</v>
      </c>
      <c r="BT2724" s="4">
        <v>0.4069444444444445</v>
      </c>
      <c r="BU2724" s="2" t="s">
        <v>2773</v>
      </c>
      <c r="BV2724" s="2" t="s">
        <v>85</v>
      </c>
      <c r="BY2724" s="2">
        <v>1200</v>
      </c>
      <c r="CA2724" s="2" t="s">
        <v>177</v>
      </c>
      <c r="CC2724" s="2" t="s">
        <v>174</v>
      </c>
      <c r="CD2724" s="2">
        <v>7405</v>
      </c>
      <c r="CE2724" s="2" t="s">
        <v>120</v>
      </c>
      <c r="CF2724" s="3">
        <v>43090</v>
      </c>
      <c r="CI2724" s="2">
        <v>1</v>
      </c>
      <c r="CJ2724" s="2">
        <v>1</v>
      </c>
      <c r="CK2724" s="2">
        <v>21</v>
      </c>
      <c r="CL2724" s="2" t="s">
        <v>89</v>
      </c>
    </row>
    <row r="2725" spans="1:90">
      <c r="A2725" s="2" t="s">
        <v>71</v>
      </c>
      <c r="B2725" s="2" t="s">
        <v>72</v>
      </c>
      <c r="C2725" s="2" t="s">
        <v>73</v>
      </c>
      <c r="E2725" s="2" t="str">
        <f>"FES1162596838"</f>
        <v>FES1162596838</v>
      </c>
      <c r="F2725" s="3">
        <v>43088</v>
      </c>
      <c r="G2725" s="2">
        <v>201806</v>
      </c>
      <c r="H2725" s="2" t="s">
        <v>74</v>
      </c>
      <c r="I2725" s="2" t="s">
        <v>75</v>
      </c>
      <c r="J2725" s="2" t="s">
        <v>97</v>
      </c>
      <c r="K2725" s="2" t="s">
        <v>77</v>
      </c>
      <c r="L2725" s="2" t="s">
        <v>212</v>
      </c>
      <c r="M2725" s="2" t="s">
        <v>212</v>
      </c>
      <c r="N2725" s="2" t="s">
        <v>370</v>
      </c>
      <c r="O2725" s="2" t="s">
        <v>101</v>
      </c>
      <c r="P2725" s="2" t="str">
        <f>"2170605454                    "</f>
        <v xml:space="preserve">2170605454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6.43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45.93</v>
      </c>
      <c r="BM2725" s="2">
        <v>6.43</v>
      </c>
      <c r="BN2725" s="2">
        <v>52.36</v>
      </c>
      <c r="BO2725" s="2">
        <v>52.36</v>
      </c>
      <c r="BQ2725" s="2" t="s">
        <v>102</v>
      </c>
      <c r="BR2725" s="2" t="s">
        <v>103</v>
      </c>
      <c r="BS2725" s="3">
        <v>43089</v>
      </c>
      <c r="BT2725" s="4">
        <v>0.53680555555555554</v>
      </c>
      <c r="BU2725" s="2" t="s">
        <v>2659</v>
      </c>
      <c r="BV2725" s="2" t="s">
        <v>85</v>
      </c>
      <c r="BY2725" s="2">
        <v>1200</v>
      </c>
      <c r="CC2725" s="2" t="s">
        <v>212</v>
      </c>
      <c r="CD2725" s="2">
        <v>7646</v>
      </c>
      <c r="CE2725" s="2" t="s">
        <v>120</v>
      </c>
      <c r="CF2725" s="3">
        <v>43090</v>
      </c>
      <c r="CI2725" s="2">
        <v>1</v>
      </c>
      <c r="CJ2725" s="2">
        <v>1</v>
      </c>
      <c r="CK2725" s="2">
        <v>21</v>
      </c>
      <c r="CL2725" s="2" t="s">
        <v>89</v>
      </c>
    </row>
    <row r="2726" spans="1:90">
      <c r="A2726" s="2" t="s">
        <v>71</v>
      </c>
      <c r="B2726" s="2" t="s">
        <v>72</v>
      </c>
      <c r="C2726" s="2" t="s">
        <v>73</v>
      </c>
      <c r="E2726" s="2" t="str">
        <f>"FES1162596828"</f>
        <v>FES1162596828</v>
      </c>
      <c r="F2726" s="3">
        <v>43088</v>
      </c>
      <c r="G2726" s="2">
        <v>201806</v>
      </c>
      <c r="H2726" s="2" t="s">
        <v>74</v>
      </c>
      <c r="I2726" s="2" t="s">
        <v>75</v>
      </c>
      <c r="J2726" s="2" t="s">
        <v>97</v>
      </c>
      <c r="K2726" s="2" t="s">
        <v>77</v>
      </c>
      <c r="L2726" s="2" t="s">
        <v>173</v>
      </c>
      <c r="M2726" s="2" t="s">
        <v>174</v>
      </c>
      <c r="N2726" s="2" t="s">
        <v>2774</v>
      </c>
      <c r="O2726" s="2" t="s">
        <v>101</v>
      </c>
      <c r="P2726" s="2" t="str">
        <f>"2170604499                    "</f>
        <v xml:space="preserve">2170604499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6.43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1.8</v>
      </c>
      <c r="BJ2726" s="2">
        <v>0.7</v>
      </c>
      <c r="BK2726" s="2">
        <v>2</v>
      </c>
      <c r="BL2726" s="2">
        <v>45.93</v>
      </c>
      <c r="BM2726" s="2">
        <v>6.43</v>
      </c>
      <c r="BN2726" s="2">
        <v>52.36</v>
      </c>
      <c r="BO2726" s="2">
        <v>52.36</v>
      </c>
      <c r="BQ2726" s="2" t="s">
        <v>2775</v>
      </c>
      <c r="BR2726" s="2" t="s">
        <v>103</v>
      </c>
      <c r="BS2726" s="2" t="s">
        <v>185</v>
      </c>
      <c r="BY2726" s="2">
        <v>3710.18</v>
      </c>
      <c r="CC2726" s="2" t="s">
        <v>174</v>
      </c>
      <c r="CD2726" s="2">
        <v>7441</v>
      </c>
      <c r="CE2726" s="2" t="s">
        <v>95</v>
      </c>
      <c r="CI2726" s="2">
        <v>1</v>
      </c>
      <c r="CJ2726" s="2" t="s">
        <v>185</v>
      </c>
      <c r="CK2726" s="2">
        <v>21</v>
      </c>
      <c r="CL2726" s="2" t="s">
        <v>89</v>
      </c>
    </row>
    <row r="2727" spans="1:90">
      <c r="A2727" s="2" t="s">
        <v>71</v>
      </c>
      <c r="B2727" s="2" t="s">
        <v>72</v>
      </c>
      <c r="C2727" s="2" t="s">
        <v>73</v>
      </c>
      <c r="E2727" s="2" t="str">
        <f>"FES1162596853"</f>
        <v>FES1162596853</v>
      </c>
      <c r="F2727" s="3">
        <v>43088</v>
      </c>
      <c r="G2727" s="2">
        <v>201806</v>
      </c>
      <c r="H2727" s="2" t="s">
        <v>74</v>
      </c>
      <c r="I2727" s="2" t="s">
        <v>75</v>
      </c>
      <c r="J2727" s="2" t="s">
        <v>97</v>
      </c>
      <c r="K2727" s="2" t="s">
        <v>77</v>
      </c>
      <c r="L2727" s="2" t="s">
        <v>115</v>
      </c>
      <c r="M2727" s="2" t="s">
        <v>116</v>
      </c>
      <c r="N2727" s="2" t="s">
        <v>1894</v>
      </c>
      <c r="O2727" s="2" t="s">
        <v>101</v>
      </c>
      <c r="P2727" s="2" t="str">
        <f>"217060520                     "</f>
        <v xml:space="preserve">217060520 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5.03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3.8</v>
      </c>
      <c r="BJ2727" s="2">
        <v>0.7</v>
      </c>
      <c r="BK2727" s="2">
        <v>4</v>
      </c>
      <c r="BL2727" s="2">
        <v>35.89</v>
      </c>
      <c r="BM2727" s="2">
        <v>5.0199999999999996</v>
      </c>
      <c r="BN2727" s="2">
        <v>40.909999999999997</v>
      </c>
      <c r="BO2727" s="2">
        <v>40.909999999999997</v>
      </c>
      <c r="BQ2727" s="2" t="s">
        <v>102</v>
      </c>
      <c r="BR2727" s="2" t="s">
        <v>103</v>
      </c>
      <c r="BS2727" s="3">
        <v>43091</v>
      </c>
      <c r="BT2727" s="4">
        <v>0.42291666666666666</v>
      </c>
      <c r="BU2727" s="2" t="s">
        <v>2776</v>
      </c>
      <c r="BV2727" s="2" t="s">
        <v>89</v>
      </c>
      <c r="BW2727" s="2" t="s">
        <v>149</v>
      </c>
      <c r="BX2727" s="2" t="s">
        <v>219</v>
      </c>
      <c r="BY2727" s="2">
        <v>3451.84</v>
      </c>
      <c r="CA2727" s="2" t="s">
        <v>220</v>
      </c>
      <c r="CC2727" s="2" t="s">
        <v>116</v>
      </c>
      <c r="CD2727" s="2">
        <v>1459</v>
      </c>
      <c r="CE2727" s="2" t="s">
        <v>95</v>
      </c>
      <c r="CF2727" s="3">
        <v>43096</v>
      </c>
      <c r="CI2727" s="2">
        <v>1</v>
      </c>
      <c r="CJ2727" s="2">
        <v>3</v>
      </c>
      <c r="CK2727" s="2">
        <v>22</v>
      </c>
      <c r="CL2727" s="2" t="s">
        <v>89</v>
      </c>
    </row>
    <row r="2728" spans="1:90">
      <c r="A2728" s="2" t="s">
        <v>71</v>
      </c>
      <c r="B2728" s="2" t="s">
        <v>72</v>
      </c>
      <c r="C2728" s="2" t="s">
        <v>73</v>
      </c>
      <c r="E2728" s="2" t="str">
        <f>"FES1162596846"</f>
        <v>FES1162596846</v>
      </c>
      <c r="F2728" s="3">
        <v>43088</v>
      </c>
      <c r="G2728" s="2">
        <v>201806</v>
      </c>
      <c r="H2728" s="2" t="s">
        <v>74</v>
      </c>
      <c r="I2728" s="2" t="s">
        <v>75</v>
      </c>
      <c r="J2728" s="2" t="s">
        <v>97</v>
      </c>
      <c r="K2728" s="2" t="s">
        <v>77</v>
      </c>
      <c r="L2728" s="2" t="s">
        <v>131</v>
      </c>
      <c r="M2728" s="2" t="s">
        <v>132</v>
      </c>
      <c r="N2728" s="2" t="s">
        <v>228</v>
      </c>
      <c r="O2728" s="2" t="s">
        <v>101</v>
      </c>
      <c r="P2728" s="2" t="str">
        <f>"2170605551                    "</f>
        <v xml:space="preserve">2170605551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11.26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3.2</v>
      </c>
      <c r="BJ2728" s="2">
        <v>1.7</v>
      </c>
      <c r="BK2728" s="2">
        <v>3.5</v>
      </c>
      <c r="BL2728" s="2">
        <v>80.37</v>
      </c>
      <c r="BM2728" s="2">
        <v>11.25</v>
      </c>
      <c r="BN2728" s="2">
        <v>91.62</v>
      </c>
      <c r="BO2728" s="2">
        <v>91.62</v>
      </c>
      <c r="BQ2728" s="2" t="s">
        <v>229</v>
      </c>
      <c r="BR2728" s="2" t="s">
        <v>103</v>
      </c>
      <c r="BS2728" s="3">
        <v>43089</v>
      </c>
      <c r="BT2728" s="4">
        <v>0.39930555555555558</v>
      </c>
      <c r="BU2728" s="2" t="s">
        <v>230</v>
      </c>
      <c r="BV2728" s="2" t="s">
        <v>85</v>
      </c>
      <c r="BY2728" s="2">
        <v>8360.76</v>
      </c>
      <c r="CA2728" s="2" t="s">
        <v>231</v>
      </c>
      <c r="CC2728" s="2" t="s">
        <v>132</v>
      </c>
      <c r="CD2728" s="2">
        <v>4300</v>
      </c>
      <c r="CE2728" s="2" t="s">
        <v>95</v>
      </c>
      <c r="CF2728" s="3">
        <v>43090</v>
      </c>
      <c r="CI2728" s="2">
        <v>1</v>
      </c>
      <c r="CJ2728" s="2">
        <v>1</v>
      </c>
      <c r="CK2728" s="2">
        <v>21</v>
      </c>
      <c r="CL2728" s="2" t="s">
        <v>89</v>
      </c>
    </row>
    <row r="2729" spans="1:90">
      <c r="A2729" s="2" t="s">
        <v>71</v>
      </c>
      <c r="B2729" s="2" t="s">
        <v>72</v>
      </c>
      <c r="C2729" s="2" t="s">
        <v>73</v>
      </c>
      <c r="E2729" s="2" t="str">
        <f>"FES1162596807"</f>
        <v>FES1162596807</v>
      </c>
      <c r="F2729" s="3">
        <v>43088</v>
      </c>
      <c r="G2729" s="2">
        <v>201806</v>
      </c>
      <c r="H2729" s="2" t="s">
        <v>74</v>
      </c>
      <c r="I2729" s="2" t="s">
        <v>75</v>
      </c>
      <c r="J2729" s="2" t="s">
        <v>97</v>
      </c>
      <c r="K2729" s="2" t="s">
        <v>77</v>
      </c>
      <c r="L2729" s="2" t="s">
        <v>136</v>
      </c>
      <c r="M2729" s="2" t="s">
        <v>137</v>
      </c>
      <c r="N2729" s="2" t="s">
        <v>258</v>
      </c>
      <c r="O2729" s="2" t="s">
        <v>101</v>
      </c>
      <c r="P2729" s="2" t="str">
        <f>"217060418                     "</f>
        <v xml:space="preserve">217060418 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30.55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4</v>
      </c>
      <c r="BJ2729" s="2">
        <v>9.1999999999999993</v>
      </c>
      <c r="BK2729" s="2">
        <v>9.5</v>
      </c>
      <c r="BL2729" s="2">
        <v>218.1</v>
      </c>
      <c r="BM2729" s="2">
        <v>30.53</v>
      </c>
      <c r="BN2729" s="2">
        <v>248.63</v>
      </c>
      <c r="BO2729" s="2">
        <v>248.63</v>
      </c>
      <c r="BQ2729" s="2" t="s">
        <v>102</v>
      </c>
      <c r="BR2729" s="2" t="s">
        <v>103</v>
      </c>
      <c r="BS2729" s="3">
        <v>43089</v>
      </c>
      <c r="BT2729" s="4">
        <v>0.3888888888888889</v>
      </c>
      <c r="BU2729" s="2" t="s">
        <v>2583</v>
      </c>
      <c r="BV2729" s="2" t="s">
        <v>85</v>
      </c>
      <c r="BY2729" s="2">
        <v>46080</v>
      </c>
      <c r="CC2729" s="2" t="s">
        <v>137</v>
      </c>
      <c r="CD2729" s="2">
        <v>6001</v>
      </c>
      <c r="CE2729" s="2" t="s">
        <v>87</v>
      </c>
      <c r="CF2729" s="3">
        <v>43090</v>
      </c>
      <c r="CI2729" s="2">
        <v>1</v>
      </c>
      <c r="CJ2729" s="2">
        <v>1</v>
      </c>
      <c r="CK2729" s="2">
        <v>21</v>
      </c>
      <c r="CL2729" s="2" t="s">
        <v>89</v>
      </c>
    </row>
    <row r="2730" spans="1:90">
      <c r="A2730" s="2" t="s">
        <v>71</v>
      </c>
      <c r="B2730" s="2" t="s">
        <v>72</v>
      </c>
      <c r="C2730" s="2" t="s">
        <v>73</v>
      </c>
      <c r="E2730" s="2" t="str">
        <f>"FES1162596789"</f>
        <v>FES1162596789</v>
      </c>
      <c r="F2730" s="3">
        <v>43088</v>
      </c>
      <c r="G2730" s="2">
        <v>201806</v>
      </c>
      <c r="H2730" s="2" t="s">
        <v>74</v>
      </c>
      <c r="I2730" s="2" t="s">
        <v>75</v>
      </c>
      <c r="J2730" s="2" t="s">
        <v>97</v>
      </c>
      <c r="K2730" s="2" t="s">
        <v>77</v>
      </c>
      <c r="L2730" s="2" t="s">
        <v>415</v>
      </c>
      <c r="M2730" s="2" t="s">
        <v>416</v>
      </c>
      <c r="N2730" s="2" t="s">
        <v>417</v>
      </c>
      <c r="O2730" s="2" t="s">
        <v>101</v>
      </c>
      <c r="P2730" s="2" t="str">
        <f>"2170608421                    "</f>
        <v xml:space="preserve">2170608421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20.9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5</v>
      </c>
      <c r="BJ2730" s="2">
        <v>6.1</v>
      </c>
      <c r="BK2730" s="2">
        <v>6.5</v>
      </c>
      <c r="BL2730" s="2">
        <v>149.22999999999999</v>
      </c>
      <c r="BM2730" s="2">
        <v>20.89</v>
      </c>
      <c r="BN2730" s="2">
        <v>170.12</v>
      </c>
      <c r="BO2730" s="2">
        <v>170.12</v>
      </c>
      <c r="BQ2730" s="2" t="s">
        <v>102</v>
      </c>
      <c r="BR2730" s="2" t="s">
        <v>103</v>
      </c>
      <c r="BS2730" s="3">
        <v>43090</v>
      </c>
      <c r="BT2730" s="4">
        <v>0.41666666666666669</v>
      </c>
      <c r="BU2730" s="2" t="s">
        <v>2777</v>
      </c>
      <c r="BV2730" s="2" t="s">
        <v>85</v>
      </c>
      <c r="BY2730" s="2">
        <v>30420</v>
      </c>
      <c r="CC2730" s="2" t="s">
        <v>416</v>
      </c>
      <c r="CD2730" s="2">
        <v>6715</v>
      </c>
      <c r="CE2730" s="2" t="s">
        <v>87</v>
      </c>
      <c r="CF2730" s="3">
        <v>43091</v>
      </c>
      <c r="CI2730" s="2">
        <v>3</v>
      </c>
      <c r="CJ2730" s="2">
        <v>2</v>
      </c>
      <c r="CK2730" s="2">
        <v>21</v>
      </c>
      <c r="CL2730" s="2" t="s">
        <v>89</v>
      </c>
    </row>
    <row r="2731" spans="1:90">
      <c r="A2731" s="2" t="s">
        <v>71</v>
      </c>
      <c r="B2731" s="2" t="s">
        <v>72</v>
      </c>
      <c r="C2731" s="2" t="s">
        <v>73</v>
      </c>
      <c r="E2731" s="2" t="str">
        <f>"FES1162596925"</f>
        <v>FES1162596925</v>
      </c>
      <c r="F2731" s="3">
        <v>43088</v>
      </c>
      <c r="G2731" s="2">
        <v>201806</v>
      </c>
      <c r="H2731" s="2" t="s">
        <v>74</v>
      </c>
      <c r="I2731" s="2" t="s">
        <v>75</v>
      </c>
      <c r="J2731" s="2" t="s">
        <v>97</v>
      </c>
      <c r="K2731" s="2" t="s">
        <v>77</v>
      </c>
      <c r="L2731" s="2" t="s">
        <v>173</v>
      </c>
      <c r="M2731" s="2" t="s">
        <v>174</v>
      </c>
      <c r="N2731" s="2" t="s">
        <v>1259</v>
      </c>
      <c r="O2731" s="2" t="s">
        <v>101</v>
      </c>
      <c r="P2731" s="2" t="str">
        <f>"2170608459                    "</f>
        <v xml:space="preserve">2170608459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11.26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2.4</v>
      </c>
      <c r="BJ2731" s="2">
        <v>3.4</v>
      </c>
      <c r="BK2731" s="2">
        <v>3.5</v>
      </c>
      <c r="BL2731" s="2">
        <v>80.37</v>
      </c>
      <c r="BM2731" s="2">
        <v>11.25</v>
      </c>
      <c r="BN2731" s="2">
        <v>91.62</v>
      </c>
      <c r="BO2731" s="2">
        <v>91.62</v>
      </c>
      <c r="BQ2731" s="2" t="s">
        <v>82</v>
      </c>
      <c r="BR2731" s="2" t="s">
        <v>103</v>
      </c>
      <c r="BS2731" s="3">
        <v>43089</v>
      </c>
      <c r="BT2731" s="4">
        <v>0.48055555555555557</v>
      </c>
      <c r="BU2731" s="2" t="s">
        <v>2778</v>
      </c>
      <c r="BV2731" s="2" t="s">
        <v>89</v>
      </c>
      <c r="BW2731" s="2" t="s">
        <v>149</v>
      </c>
      <c r="BX2731" s="2" t="s">
        <v>246</v>
      </c>
      <c r="BY2731" s="2">
        <v>16923.060000000001</v>
      </c>
      <c r="CA2731" s="2" t="s">
        <v>1261</v>
      </c>
      <c r="CC2731" s="2" t="s">
        <v>174</v>
      </c>
      <c r="CD2731" s="2">
        <v>7800</v>
      </c>
      <c r="CE2731" s="2" t="s">
        <v>87</v>
      </c>
      <c r="CF2731" s="3">
        <v>43090</v>
      </c>
      <c r="CI2731" s="2">
        <v>1</v>
      </c>
      <c r="CJ2731" s="2">
        <v>1</v>
      </c>
      <c r="CK2731" s="2">
        <v>21</v>
      </c>
      <c r="CL2731" s="2" t="s">
        <v>89</v>
      </c>
    </row>
    <row r="2732" spans="1:90">
      <c r="A2732" s="2" t="s">
        <v>71</v>
      </c>
      <c r="B2732" s="2" t="s">
        <v>72</v>
      </c>
      <c r="C2732" s="2" t="s">
        <v>73</v>
      </c>
      <c r="E2732" s="2" t="str">
        <f>"FES1162596834"</f>
        <v>FES1162596834</v>
      </c>
      <c r="F2732" s="3">
        <v>43088</v>
      </c>
      <c r="G2732" s="2">
        <v>201806</v>
      </c>
      <c r="H2732" s="2" t="s">
        <v>74</v>
      </c>
      <c r="I2732" s="2" t="s">
        <v>75</v>
      </c>
      <c r="J2732" s="2" t="s">
        <v>97</v>
      </c>
      <c r="K2732" s="2" t="s">
        <v>77</v>
      </c>
      <c r="L2732" s="2" t="s">
        <v>521</v>
      </c>
      <c r="M2732" s="2" t="s">
        <v>522</v>
      </c>
      <c r="N2732" s="2" t="s">
        <v>2554</v>
      </c>
      <c r="O2732" s="2" t="s">
        <v>101</v>
      </c>
      <c r="P2732" s="2" t="str">
        <f>"2170604970                    "</f>
        <v xml:space="preserve">2170604970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11.26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1.6</v>
      </c>
      <c r="BJ2732" s="2">
        <v>3.4</v>
      </c>
      <c r="BK2732" s="2">
        <v>3.5</v>
      </c>
      <c r="BL2732" s="2">
        <v>80.37</v>
      </c>
      <c r="BM2732" s="2">
        <v>11.25</v>
      </c>
      <c r="BN2732" s="2">
        <v>91.62</v>
      </c>
      <c r="BO2732" s="2">
        <v>91.62</v>
      </c>
      <c r="BR2732" s="2" t="s">
        <v>103</v>
      </c>
      <c r="BS2732" s="3">
        <v>43089</v>
      </c>
      <c r="BT2732" s="4">
        <v>0.43124999999999997</v>
      </c>
      <c r="BU2732" s="2" t="s">
        <v>2779</v>
      </c>
      <c r="BV2732" s="2" t="s">
        <v>85</v>
      </c>
      <c r="BY2732" s="2">
        <v>17060.43</v>
      </c>
      <c r="CA2732" s="2" t="s">
        <v>525</v>
      </c>
      <c r="CC2732" s="2" t="s">
        <v>522</v>
      </c>
      <c r="CD2732" s="2">
        <v>6529</v>
      </c>
      <c r="CE2732" s="2" t="s">
        <v>95</v>
      </c>
      <c r="CF2732" s="3">
        <v>43091</v>
      </c>
      <c r="CI2732" s="2">
        <v>1</v>
      </c>
      <c r="CJ2732" s="2">
        <v>1</v>
      </c>
      <c r="CK2732" s="2">
        <v>21</v>
      </c>
      <c r="CL2732" s="2" t="s">
        <v>89</v>
      </c>
    </row>
    <row r="2733" spans="1:90">
      <c r="A2733" s="2" t="s">
        <v>71</v>
      </c>
      <c r="B2733" s="2" t="s">
        <v>72</v>
      </c>
      <c r="C2733" s="2" t="s">
        <v>73</v>
      </c>
      <c r="E2733" s="2" t="str">
        <f>"FES1162596906"</f>
        <v>FES1162596906</v>
      </c>
      <c r="F2733" s="3">
        <v>43088</v>
      </c>
      <c r="G2733" s="2">
        <v>201806</v>
      </c>
      <c r="H2733" s="2" t="s">
        <v>74</v>
      </c>
      <c r="I2733" s="2" t="s">
        <v>75</v>
      </c>
      <c r="J2733" s="2" t="s">
        <v>97</v>
      </c>
      <c r="K2733" s="2" t="s">
        <v>77</v>
      </c>
      <c r="L2733" s="2" t="s">
        <v>262</v>
      </c>
      <c r="M2733" s="2" t="s">
        <v>263</v>
      </c>
      <c r="N2733" s="2" t="s">
        <v>2780</v>
      </c>
      <c r="O2733" s="2" t="s">
        <v>101</v>
      </c>
      <c r="P2733" s="2" t="str">
        <f>"2170607134                    "</f>
        <v xml:space="preserve">2170607134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6.43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1</v>
      </c>
      <c r="BJ2733" s="2">
        <v>0.2</v>
      </c>
      <c r="BK2733" s="2">
        <v>1</v>
      </c>
      <c r="BL2733" s="2">
        <v>45.93</v>
      </c>
      <c r="BM2733" s="2">
        <v>6.43</v>
      </c>
      <c r="BN2733" s="2">
        <v>52.36</v>
      </c>
      <c r="BO2733" s="2">
        <v>52.36</v>
      </c>
      <c r="BQ2733" s="2" t="s">
        <v>2781</v>
      </c>
      <c r="BR2733" s="2" t="s">
        <v>103</v>
      </c>
      <c r="BS2733" s="2" t="s">
        <v>185</v>
      </c>
      <c r="BY2733" s="2">
        <v>1200</v>
      </c>
      <c r="CC2733" s="2" t="s">
        <v>263</v>
      </c>
      <c r="CD2733" s="2">
        <v>6230</v>
      </c>
      <c r="CE2733" s="2" t="s">
        <v>120</v>
      </c>
      <c r="CI2733" s="2">
        <v>1</v>
      </c>
      <c r="CJ2733" s="2" t="s">
        <v>185</v>
      </c>
      <c r="CK2733" s="2">
        <v>21</v>
      </c>
      <c r="CL2733" s="2" t="s">
        <v>89</v>
      </c>
    </row>
    <row r="2734" spans="1:90">
      <c r="A2734" s="2" t="s">
        <v>71</v>
      </c>
      <c r="B2734" s="2" t="s">
        <v>72</v>
      </c>
      <c r="C2734" s="2" t="s">
        <v>73</v>
      </c>
      <c r="E2734" s="2" t="str">
        <f>"FES1162596770"</f>
        <v>FES1162596770</v>
      </c>
      <c r="F2734" s="3">
        <v>43088</v>
      </c>
      <c r="G2734" s="2">
        <v>201806</v>
      </c>
      <c r="H2734" s="2" t="s">
        <v>74</v>
      </c>
      <c r="I2734" s="2" t="s">
        <v>75</v>
      </c>
      <c r="J2734" s="2" t="s">
        <v>97</v>
      </c>
      <c r="K2734" s="2" t="s">
        <v>77</v>
      </c>
      <c r="L2734" s="2" t="s">
        <v>145</v>
      </c>
      <c r="M2734" s="2" t="s">
        <v>146</v>
      </c>
      <c r="N2734" s="2" t="s">
        <v>753</v>
      </c>
      <c r="O2734" s="2" t="s">
        <v>101</v>
      </c>
      <c r="P2734" s="2" t="str">
        <f>"2170608411                    "</f>
        <v xml:space="preserve">2170608411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6.43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</v>
      </c>
      <c r="BJ2734" s="2">
        <v>0.2</v>
      </c>
      <c r="BK2734" s="2">
        <v>1</v>
      </c>
      <c r="BL2734" s="2">
        <v>45.93</v>
      </c>
      <c r="BM2734" s="2">
        <v>6.43</v>
      </c>
      <c r="BN2734" s="2">
        <v>52.36</v>
      </c>
      <c r="BO2734" s="2">
        <v>52.36</v>
      </c>
      <c r="BQ2734" s="2" t="s">
        <v>82</v>
      </c>
      <c r="BR2734" s="2" t="s">
        <v>103</v>
      </c>
      <c r="BS2734" s="3">
        <v>43089</v>
      </c>
      <c r="BT2734" s="4">
        <v>0.39861111111111108</v>
      </c>
      <c r="BU2734" s="2" t="s">
        <v>1579</v>
      </c>
      <c r="BV2734" s="2" t="s">
        <v>85</v>
      </c>
      <c r="BY2734" s="2">
        <v>1200</v>
      </c>
      <c r="CA2734" s="2" t="s">
        <v>754</v>
      </c>
      <c r="CC2734" s="2" t="s">
        <v>146</v>
      </c>
      <c r="CD2734" s="2">
        <v>5201</v>
      </c>
      <c r="CE2734" s="2" t="s">
        <v>120</v>
      </c>
      <c r="CF2734" s="3">
        <v>43090</v>
      </c>
      <c r="CI2734" s="2">
        <v>1</v>
      </c>
      <c r="CJ2734" s="2">
        <v>1</v>
      </c>
      <c r="CK2734" s="2">
        <v>21</v>
      </c>
      <c r="CL2734" s="2" t="s">
        <v>89</v>
      </c>
    </row>
    <row r="2735" spans="1:90">
      <c r="A2735" s="2" t="s">
        <v>71</v>
      </c>
      <c r="B2735" s="2" t="s">
        <v>72</v>
      </c>
      <c r="C2735" s="2" t="s">
        <v>73</v>
      </c>
      <c r="E2735" s="2" t="str">
        <f>"FES1162596915"</f>
        <v>FES1162596915</v>
      </c>
      <c r="F2735" s="3">
        <v>43088</v>
      </c>
      <c r="G2735" s="2">
        <v>201806</v>
      </c>
      <c r="H2735" s="2" t="s">
        <v>74</v>
      </c>
      <c r="I2735" s="2" t="s">
        <v>75</v>
      </c>
      <c r="J2735" s="2" t="s">
        <v>97</v>
      </c>
      <c r="K2735" s="2" t="s">
        <v>77</v>
      </c>
      <c r="L2735" s="2" t="s">
        <v>136</v>
      </c>
      <c r="M2735" s="2" t="s">
        <v>137</v>
      </c>
      <c r="N2735" s="2" t="s">
        <v>580</v>
      </c>
      <c r="O2735" s="2" t="s">
        <v>101</v>
      </c>
      <c r="P2735" s="2" t="str">
        <f>"2170607527                    "</f>
        <v xml:space="preserve">2170607527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6.43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1</v>
      </c>
      <c r="BJ2735" s="2">
        <v>0.2</v>
      </c>
      <c r="BK2735" s="2">
        <v>1</v>
      </c>
      <c r="BL2735" s="2">
        <v>45.93</v>
      </c>
      <c r="BM2735" s="2">
        <v>6.43</v>
      </c>
      <c r="BN2735" s="2">
        <v>52.36</v>
      </c>
      <c r="BO2735" s="2">
        <v>52.36</v>
      </c>
      <c r="BQ2735" s="2" t="s">
        <v>102</v>
      </c>
      <c r="BR2735" s="2" t="s">
        <v>103</v>
      </c>
      <c r="BS2735" s="3">
        <v>43089</v>
      </c>
      <c r="BT2735" s="4">
        <v>0.31597222222222221</v>
      </c>
      <c r="BU2735" s="2" t="s">
        <v>581</v>
      </c>
      <c r="BV2735" s="2" t="s">
        <v>85</v>
      </c>
      <c r="BY2735" s="2">
        <v>1200</v>
      </c>
      <c r="CA2735" s="2" t="s">
        <v>180</v>
      </c>
      <c r="CC2735" s="2" t="s">
        <v>137</v>
      </c>
      <c r="CD2735" s="2">
        <v>6001</v>
      </c>
      <c r="CE2735" s="2" t="s">
        <v>120</v>
      </c>
      <c r="CF2735" s="3">
        <v>43090</v>
      </c>
      <c r="CI2735" s="2">
        <v>1</v>
      </c>
      <c r="CJ2735" s="2">
        <v>1</v>
      </c>
      <c r="CK2735" s="2">
        <v>21</v>
      </c>
      <c r="CL2735" s="2" t="s">
        <v>89</v>
      </c>
    </row>
    <row r="2736" spans="1:90">
      <c r="A2736" s="2" t="s">
        <v>71</v>
      </c>
      <c r="B2736" s="2" t="s">
        <v>72</v>
      </c>
      <c r="C2736" s="2" t="s">
        <v>73</v>
      </c>
      <c r="E2736" s="2" t="str">
        <f>"FES1162596938"</f>
        <v>FES1162596938</v>
      </c>
      <c r="F2736" s="3">
        <v>43088</v>
      </c>
      <c r="G2736" s="2">
        <v>201806</v>
      </c>
      <c r="H2736" s="2" t="s">
        <v>74</v>
      </c>
      <c r="I2736" s="2" t="s">
        <v>75</v>
      </c>
      <c r="J2736" s="2" t="s">
        <v>97</v>
      </c>
      <c r="K2736" s="2" t="s">
        <v>77</v>
      </c>
      <c r="L2736" s="2" t="s">
        <v>145</v>
      </c>
      <c r="M2736" s="2" t="s">
        <v>146</v>
      </c>
      <c r="N2736" s="2" t="s">
        <v>753</v>
      </c>
      <c r="O2736" s="2" t="s">
        <v>101</v>
      </c>
      <c r="P2736" s="2" t="str">
        <f>"2170608474                    "</f>
        <v xml:space="preserve">2170608474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6.43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1</v>
      </c>
      <c r="BJ2736" s="2">
        <v>0.2</v>
      </c>
      <c r="BK2736" s="2">
        <v>1</v>
      </c>
      <c r="BL2736" s="2">
        <v>45.93</v>
      </c>
      <c r="BM2736" s="2">
        <v>6.43</v>
      </c>
      <c r="BN2736" s="2">
        <v>52.36</v>
      </c>
      <c r="BO2736" s="2">
        <v>52.36</v>
      </c>
      <c r="BQ2736" s="2" t="s">
        <v>82</v>
      </c>
      <c r="BR2736" s="2" t="s">
        <v>103</v>
      </c>
      <c r="BS2736" s="3">
        <v>43089</v>
      </c>
      <c r="BT2736" s="4">
        <v>0.39861111111111108</v>
      </c>
      <c r="BU2736" s="2" t="s">
        <v>1579</v>
      </c>
      <c r="BV2736" s="2" t="s">
        <v>85</v>
      </c>
      <c r="BY2736" s="2">
        <v>1200</v>
      </c>
      <c r="CA2736" s="2" t="s">
        <v>754</v>
      </c>
      <c r="CC2736" s="2" t="s">
        <v>146</v>
      </c>
      <c r="CD2736" s="2">
        <v>5201</v>
      </c>
      <c r="CE2736" s="2" t="s">
        <v>120</v>
      </c>
      <c r="CF2736" s="3">
        <v>43090</v>
      </c>
      <c r="CI2736" s="2">
        <v>1</v>
      </c>
      <c r="CJ2736" s="2">
        <v>1</v>
      </c>
      <c r="CK2736" s="2">
        <v>21</v>
      </c>
      <c r="CL2736" s="2" t="s">
        <v>89</v>
      </c>
    </row>
    <row r="2737" spans="1:90">
      <c r="A2737" s="2" t="s">
        <v>71</v>
      </c>
      <c r="B2737" s="2" t="s">
        <v>72</v>
      </c>
      <c r="C2737" s="2" t="s">
        <v>73</v>
      </c>
      <c r="E2737" s="2" t="str">
        <f>"FES1162596890"</f>
        <v>FES1162596890</v>
      </c>
      <c r="F2737" s="3">
        <v>43088</v>
      </c>
      <c r="G2737" s="2">
        <v>201806</v>
      </c>
      <c r="H2737" s="2" t="s">
        <v>74</v>
      </c>
      <c r="I2737" s="2" t="s">
        <v>75</v>
      </c>
      <c r="J2737" s="2" t="s">
        <v>97</v>
      </c>
      <c r="K2737" s="2" t="s">
        <v>77</v>
      </c>
      <c r="L2737" s="2" t="s">
        <v>145</v>
      </c>
      <c r="M2737" s="2" t="s">
        <v>146</v>
      </c>
      <c r="N2737" s="2" t="s">
        <v>922</v>
      </c>
      <c r="O2737" s="2" t="s">
        <v>101</v>
      </c>
      <c r="P2737" s="2" t="str">
        <f>"2170606654                    "</f>
        <v xml:space="preserve">2170606654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6.43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1</v>
      </c>
      <c r="BJ2737" s="2">
        <v>0.2</v>
      </c>
      <c r="BK2737" s="2">
        <v>1</v>
      </c>
      <c r="BL2737" s="2">
        <v>45.93</v>
      </c>
      <c r="BM2737" s="2">
        <v>6.43</v>
      </c>
      <c r="BN2737" s="2">
        <v>52.36</v>
      </c>
      <c r="BO2737" s="2">
        <v>52.36</v>
      </c>
      <c r="BQ2737" s="2" t="s">
        <v>1739</v>
      </c>
      <c r="BR2737" s="2" t="s">
        <v>103</v>
      </c>
      <c r="BS2737" s="3">
        <v>43089</v>
      </c>
      <c r="BT2737" s="4">
        <v>0.3888888888888889</v>
      </c>
      <c r="BU2737" s="2" t="s">
        <v>1740</v>
      </c>
      <c r="BV2737" s="2" t="s">
        <v>85</v>
      </c>
      <c r="BY2737" s="2">
        <v>1200</v>
      </c>
      <c r="CA2737" s="2" t="s">
        <v>629</v>
      </c>
      <c r="CC2737" s="2" t="s">
        <v>146</v>
      </c>
      <c r="CD2737" s="2">
        <v>5201</v>
      </c>
      <c r="CE2737" s="2" t="s">
        <v>120</v>
      </c>
      <c r="CF2737" s="3">
        <v>43090</v>
      </c>
      <c r="CI2737" s="2">
        <v>1</v>
      </c>
      <c r="CJ2737" s="2">
        <v>1</v>
      </c>
      <c r="CK2737" s="2">
        <v>21</v>
      </c>
      <c r="CL2737" s="2" t="s">
        <v>89</v>
      </c>
    </row>
    <row r="2738" spans="1:90">
      <c r="A2738" s="2" t="s">
        <v>71</v>
      </c>
      <c r="B2738" s="2" t="s">
        <v>72</v>
      </c>
      <c r="C2738" s="2" t="s">
        <v>73</v>
      </c>
      <c r="E2738" s="2" t="str">
        <f>"FES1162596865"</f>
        <v>FES1162596865</v>
      </c>
      <c r="F2738" s="3">
        <v>43088</v>
      </c>
      <c r="G2738" s="2">
        <v>201806</v>
      </c>
      <c r="H2738" s="2" t="s">
        <v>74</v>
      </c>
      <c r="I2738" s="2" t="s">
        <v>75</v>
      </c>
      <c r="J2738" s="2" t="s">
        <v>97</v>
      </c>
      <c r="K2738" s="2" t="s">
        <v>77</v>
      </c>
      <c r="L2738" s="2" t="s">
        <v>111</v>
      </c>
      <c r="M2738" s="2" t="s">
        <v>112</v>
      </c>
      <c r="N2738" s="2" t="s">
        <v>694</v>
      </c>
      <c r="O2738" s="2" t="s">
        <v>101</v>
      </c>
      <c r="P2738" s="2" t="str">
        <f>"2170605672                    "</f>
        <v xml:space="preserve">2170605672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6.43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1</v>
      </c>
      <c r="BJ2738" s="2">
        <v>0.2</v>
      </c>
      <c r="BK2738" s="2">
        <v>1</v>
      </c>
      <c r="BL2738" s="2">
        <v>45.93</v>
      </c>
      <c r="BM2738" s="2">
        <v>6.43</v>
      </c>
      <c r="BN2738" s="2">
        <v>52.36</v>
      </c>
      <c r="BO2738" s="2">
        <v>52.36</v>
      </c>
      <c r="BQ2738" s="2" t="s">
        <v>102</v>
      </c>
      <c r="BR2738" s="2" t="s">
        <v>103</v>
      </c>
      <c r="BS2738" s="3">
        <v>43089</v>
      </c>
      <c r="BT2738" s="4">
        <v>0.625</v>
      </c>
      <c r="BU2738" s="2" t="s">
        <v>2782</v>
      </c>
      <c r="BV2738" s="2" t="s">
        <v>89</v>
      </c>
      <c r="BW2738" s="2" t="s">
        <v>2433</v>
      </c>
      <c r="BX2738" s="2" t="s">
        <v>314</v>
      </c>
      <c r="BY2738" s="2">
        <v>1200</v>
      </c>
      <c r="CA2738" s="2" t="s">
        <v>1050</v>
      </c>
      <c r="CC2738" s="2" t="s">
        <v>112</v>
      </c>
      <c r="CD2738" s="2">
        <v>6220</v>
      </c>
      <c r="CE2738" s="2" t="s">
        <v>120</v>
      </c>
      <c r="CF2738" s="3">
        <v>43090</v>
      </c>
      <c r="CI2738" s="2">
        <v>1</v>
      </c>
      <c r="CJ2738" s="2">
        <v>1</v>
      </c>
      <c r="CK2738" s="2">
        <v>21</v>
      </c>
      <c r="CL2738" s="2" t="s">
        <v>89</v>
      </c>
    </row>
    <row r="2739" spans="1:90">
      <c r="A2739" s="2" t="s">
        <v>71</v>
      </c>
      <c r="B2739" s="2" t="s">
        <v>72</v>
      </c>
      <c r="C2739" s="2" t="s">
        <v>73</v>
      </c>
      <c r="E2739" s="2" t="str">
        <f>"FES1162596819"</f>
        <v>FES1162596819</v>
      </c>
      <c r="F2739" s="3">
        <v>43088</v>
      </c>
      <c r="G2739" s="2">
        <v>201806</v>
      </c>
      <c r="H2739" s="2" t="s">
        <v>74</v>
      </c>
      <c r="I2739" s="2" t="s">
        <v>75</v>
      </c>
      <c r="J2739" s="2" t="s">
        <v>97</v>
      </c>
      <c r="K2739" s="2" t="s">
        <v>77</v>
      </c>
      <c r="L2739" s="2" t="s">
        <v>145</v>
      </c>
      <c r="M2739" s="2" t="s">
        <v>146</v>
      </c>
      <c r="N2739" s="2" t="s">
        <v>709</v>
      </c>
      <c r="O2739" s="2" t="s">
        <v>101</v>
      </c>
      <c r="P2739" s="2" t="str">
        <f>"217060991173                  "</f>
        <v xml:space="preserve">217060991173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6.43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1</v>
      </c>
      <c r="BJ2739" s="2">
        <v>0.2</v>
      </c>
      <c r="BK2739" s="2">
        <v>1</v>
      </c>
      <c r="BL2739" s="2">
        <v>45.93</v>
      </c>
      <c r="BM2739" s="2">
        <v>6.43</v>
      </c>
      <c r="BN2739" s="2">
        <v>52.36</v>
      </c>
      <c r="BO2739" s="2">
        <v>52.36</v>
      </c>
      <c r="BQ2739" s="2" t="s">
        <v>102</v>
      </c>
      <c r="BR2739" s="2" t="s">
        <v>103</v>
      </c>
      <c r="BS2739" s="3">
        <v>43089</v>
      </c>
      <c r="BT2739" s="4">
        <v>0.41666666666666669</v>
      </c>
      <c r="BU2739" s="2" t="s">
        <v>2783</v>
      </c>
      <c r="BV2739" s="2" t="s">
        <v>85</v>
      </c>
      <c r="BY2739" s="2">
        <v>1200</v>
      </c>
      <c r="CC2739" s="2" t="s">
        <v>146</v>
      </c>
      <c r="CD2739" s="2">
        <v>5201</v>
      </c>
      <c r="CE2739" s="2" t="s">
        <v>120</v>
      </c>
      <c r="CF2739" s="3">
        <v>43091</v>
      </c>
      <c r="CI2739" s="2">
        <v>1</v>
      </c>
      <c r="CJ2739" s="2">
        <v>1</v>
      </c>
      <c r="CK2739" s="2">
        <v>21</v>
      </c>
      <c r="CL2739" s="2" t="s">
        <v>89</v>
      </c>
    </row>
    <row r="2740" spans="1:90">
      <c r="A2740" s="2" t="s">
        <v>71</v>
      </c>
      <c r="B2740" s="2" t="s">
        <v>72</v>
      </c>
      <c r="C2740" s="2" t="s">
        <v>73</v>
      </c>
      <c r="E2740" s="2" t="str">
        <f>"FES1162596907"</f>
        <v>FES1162596907</v>
      </c>
      <c r="F2740" s="3">
        <v>43088</v>
      </c>
      <c r="G2740" s="2">
        <v>201806</v>
      </c>
      <c r="H2740" s="2" t="s">
        <v>74</v>
      </c>
      <c r="I2740" s="2" t="s">
        <v>75</v>
      </c>
      <c r="J2740" s="2" t="s">
        <v>97</v>
      </c>
      <c r="K2740" s="2" t="s">
        <v>77</v>
      </c>
      <c r="L2740" s="2" t="s">
        <v>136</v>
      </c>
      <c r="M2740" s="2" t="s">
        <v>137</v>
      </c>
      <c r="N2740" s="2" t="s">
        <v>259</v>
      </c>
      <c r="O2740" s="2" t="s">
        <v>101</v>
      </c>
      <c r="P2740" s="2" t="str">
        <f>"2170607262                    "</f>
        <v xml:space="preserve">2170607262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6.43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1</v>
      </c>
      <c r="BJ2740" s="2">
        <v>0.2</v>
      </c>
      <c r="BK2740" s="2">
        <v>1</v>
      </c>
      <c r="BL2740" s="2">
        <v>45.93</v>
      </c>
      <c r="BM2740" s="2">
        <v>6.43</v>
      </c>
      <c r="BN2740" s="2">
        <v>52.36</v>
      </c>
      <c r="BO2740" s="2">
        <v>52.36</v>
      </c>
      <c r="BQ2740" s="2" t="s">
        <v>102</v>
      </c>
      <c r="BR2740" s="2" t="s">
        <v>103</v>
      </c>
      <c r="BS2740" s="3">
        <v>43089</v>
      </c>
      <c r="BT2740" s="4">
        <v>0.35416666666666669</v>
      </c>
      <c r="BU2740" s="2" t="s">
        <v>2784</v>
      </c>
      <c r="BV2740" s="2" t="s">
        <v>85</v>
      </c>
      <c r="BY2740" s="2">
        <v>1200</v>
      </c>
      <c r="CA2740" s="2" t="s">
        <v>261</v>
      </c>
      <c r="CC2740" s="2" t="s">
        <v>137</v>
      </c>
      <c r="CD2740" s="2">
        <v>6001</v>
      </c>
      <c r="CE2740" s="2" t="s">
        <v>120</v>
      </c>
      <c r="CF2740" s="3">
        <v>43090</v>
      </c>
      <c r="CI2740" s="2">
        <v>1</v>
      </c>
      <c r="CJ2740" s="2">
        <v>1</v>
      </c>
      <c r="CK2740" s="2">
        <v>21</v>
      </c>
      <c r="CL2740" s="2" t="s">
        <v>89</v>
      </c>
    </row>
    <row r="2741" spans="1:90">
      <c r="A2741" s="2" t="s">
        <v>71</v>
      </c>
      <c r="B2741" s="2" t="s">
        <v>72</v>
      </c>
      <c r="C2741" s="2" t="s">
        <v>73</v>
      </c>
      <c r="E2741" s="2" t="str">
        <f>"FES1162596916"</f>
        <v>FES1162596916</v>
      </c>
      <c r="F2741" s="3">
        <v>43088</v>
      </c>
      <c r="G2741" s="2">
        <v>201806</v>
      </c>
      <c r="H2741" s="2" t="s">
        <v>74</v>
      </c>
      <c r="I2741" s="2" t="s">
        <v>75</v>
      </c>
      <c r="J2741" s="2" t="s">
        <v>97</v>
      </c>
      <c r="K2741" s="2" t="s">
        <v>77</v>
      </c>
      <c r="L2741" s="2" t="s">
        <v>136</v>
      </c>
      <c r="M2741" s="2" t="s">
        <v>137</v>
      </c>
      <c r="N2741" s="2" t="s">
        <v>138</v>
      </c>
      <c r="O2741" s="2" t="s">
        <v>101</v>
      </c>
      <c r="P2741" s="2" t="str">
        <f>"2170607530                    "</f>
        <v xml:space="preserve">2170607530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6.43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1</v>
      </c>
      <c r="BJ2741" s="2">
        <v>0.2</v>
      </c>
      <c r="BK2741" s="2">
        <v>1</v>
      </c>
      <c r="BL2741" s="2">
        <v>45.93</v>
      </c>
      <c r="BM2741" s="2">
        <v>6.43</v>
      </c>
      <c r="BN2741" s="2">
        <v>52.36</v>
      </c>
      <c r="BO2741" s="2">
        <v>52.36</v>
      </c>
      <c r="BQ2741" s="2" t="s">
        <v>82</v>
      </c>
      <c r="BR2741" s="2" t="s">
        <v>103</v>
      </c>
      <c r="BS2741" s="3">
        <v>43089</v>
      </c>
      <c r="BT2741" s="4">
        <v>0.41666666666666669</v>
      </c>
      <c r="BU2741" s="2" t="s">
        <v>139</v>
      </c>
      <c r="BV2741" s="2" t="s">
        <v>85</v>
      </c>
      <c r="BY2741" s="2">
        <v>1200</v>
      </c>
      <c r="CA2741" s="2" t="s">
        <v>140</v>
      </c>
      <c r="CC2741" s="2" t="s">
        <v>137</v>
      </c>
      <c r="CD2741" s="2">
        <v>6001</v>
      </c>
      <c r="CE2741" s="2" t="s">
        <v>120</v>
      </c>
      <c r="CF2741" s="3">
        <v>43090</v>
      </c>
      <c r="CI2741" s="2">
        <v>1</v>
      </c>
      <c r="CJ2741" s="2">
        <v>1</v>
      </c>
      <c r="CK2741" s="2">
        <v>21</v>
      </c>
      <c r="CL2741" s="2" t="s">
        <v>89</v>
      </c>
    </row>
    <row r="2742" spans="1:90">
      <c r="A2742" s="2" t="s">
        <v>71</v>
      </c>
      <c r="B2742" s="2" t="s">
        <v>72</v>
      </c>
      <c r="C2742" s="2" t="s">
        <v>73</v>
      </c>
      <c r="E2742" s="2" t="str">
        <f>"FES1162596909"</f>
        <v>FES1162596909</v>
      </c>
      <c r="F2742" s="3">
        <v>43088</v>
      </c>
      <c r="G2742" s="2">
        <v>201806</v>
      </c>
      <c r="H2742" s="2" t="s">
        <v>74</v>
      </c>
      <c r="I2742" s="2" t="s">
        <v>75</v>
      </c>
      <c r="J2742" s="2" t="s">
        <v>97</v>
      </c>
      <c r="K2742" s="2" t="s">
        <v>77</v>
      </c>
      <c r="L2742" s="2" t="s">
        <v>221</v>
      </c>
      <c r="M2742" s="2" t="s">
        <v>222</v>
      </c>
      <c r="N2742" s="2" t="s">
        <v>2338</v>
      </c>
      <c r="O2742" s="2" t="s">
        <v>101</v>
      </c>
      <c r="P2742" s="2" t="str">
        <f>"2170607286                    "</f>
        <v xml:space="preserve">2170607286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6.43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1</v>
      </c>
      <c r="BJ2742" s="2">
        <v>0.2</v>
      </c>
      <c r="BK2742" s="2">
        <v>1</v>
      </c>
      <c r="BL2742" s="2">
        <v>45.93</v>
      </c>
      <c r="BM2742" s="2">
        <v>6.43</v>
      </c>
      <c r="BN2742" s="2">
        <v>52.36</v>
      </c>
      <c r="BO2742" s="2">
        <v>52.36</v>
      </c>
      <c r="BQ2742" s="2" t="s">
        <v>128</v>
      </c>
      <c r="BR2742" s="2" t="s">
        <v>103</v>
      </c>
      <c r="BS2742" s="3">
        <v>43089</v>
      </c>
      <c r="BT2742" s="4">
        <v>0.48125000000000001</v>
      </c>
      <c r="BU2742" s="2" t="s">
        <v>369</v>
      </c>
      <c r="BV2742" s="2" t="s">
        <v>89</v>
      </c>
      <c r="BW2742" s="2" t="s">
        <v>149</v>
      </c>
      <c r="BX2742" s="2" t="s">
        <v>594</v>
      </c>
      <c r="BY2742" s="2">
        <v>1200</v>
      </c>
      <c r="CA2742" s="2" t="s">
        <v>225</v>
      </c>
      <c r="CC2742" s="2" t="s">
        <v>222</v>
      </c>
      <c r="CD2742" s="2">
        <v>4110</v>
      </c>
      <c r="CE2742" s="2" t="s">
        <v>120</v>
      </c>
      <c r="CF2742" s="3">
        <v>43090</v>
      </c>
      <c r="CI2742" s="2">
        <v>1</v>
      </c>
      <c r="CJ2742" s="2">
        <v>1</v>
      </c>
      <c r="CK2742" s="2">
        <v>21</v>
      </c>
      <c r="CL2742" s="2" t="s">
        <v>89</v>
      </c>
    </row>
    <row r="2743" spans="1:90">
      <c r="A2743" s="2" t="s">
        <v>71</v>
      </c>
      <c r="B2743" s="2" t="s">
        <v>72</v>
      </c>
      <c r="C2743" s="2" t="s">
        <v>73</v>
      </c>
      <c r="E2743" s="2" t="str">
        <f>"FES1162596878"</f>
        <v>FES1162596878</v>
      </c>
      <c r="F2743" s="3">
        <v>43088</v>
      </c>
      <c r="G2743" s="2">
        <v>201806</v>
      </c>
      <c r="H2743" s="2" t="s">
        <v>74</v>
      </c>
      <c r="I2743" s="2" t="s">
        <v>75</v>
      </c>
      <c r="J2743" s="2" t="s">
        <v>97</v>
      </c>
      <c r="K2743" s="2" t="s">
        <v>77</v>
      </c>
      <c r="L2743" s="2" t="s">
        <v>168</v>
      </c>
      <c r="M2743" s="2" t="s">
        <v>169</v>
      </c>
      <c r="N2743" s="2" t="s">
        <v>351</v>
      </c>
      <c r="O2743" s="2" t="s">
        <v>101</v>
      </c>
      <c r="P2743" s="2" t="str">
        <f>"2170605834                    "</f>
        <v xml:space="preserve">2170605834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6.43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1</v>
      </c>
      <c r="BJ2743" s="2">
        <v>0.2</v>
      </c>
      <c r="BK2743" s="2">
        <v>1</v>
      </c>
      <c r="BL2743" s="2">
        <v>45.93</v>
      </c>
      <c r="BM2743" s="2">
        <v>6.43</v>
      </c>
      <c r="BN2743" s="2">
        <v>52.36</v>
      </c>
      <c r="BO2743" s="2">
        <v>52.36</v>
      </c>
      <c r="BQ2743" s="2" t="s">
        <v>102</v>
      </c>
      <c r="BR2743" s="2" t="s">
        <v>103</v>
      </c>
      <c r="BS2743" s="3">
        <v>43089</v>
      </c>
      <c r="BT2743" s="4">
        <v>0.32361111111111113</v>
      </c>
      <c r="BU2743" s="2" t="s">
        <v>868</v>
      </c>
      <c r="BV2743" s="2" t="s">
        <v>85</v>
      </c>
      <c r="BY2743" s="2">
        <v>1200</v>
      </c>
      <c r="CA2743" s="2" t="s">
        <v>220</v>
      </c>
      <c r="CC2743" s="2" t="s">
        <v>169</v>
      </c>
      <c r="CD2743" s="2">
        <v>3610</v>
      </c>
      <c r="CE2743" s="2" t="s">
        <v>120</v>
      </c>
      <c r="CF2743" s="3">
        <v>43090</v>
      </c>
      <c r="CI2743" s="2">
        <v>1</v>
      </c>
      <c r="CJ2743" s="2">
        <v>1</v>
      </c>
      <c r="CK2743" s="2">
        <v>21</v>
      </c>
      <c r="CL2743" s="2" t="s">
        <v>89</v>
      </c>
    </row>
    <row r="2744" spans="1:90">
      <c r="A2744" s="2" t="s">
        <v>71</v>
      </c>
      <c r="B2744" s="2" t="s">
        <v>72</v>
      </c>
      <c r="C2744" s="2" t="s">
        <v>73</v>
      </c>
      <c r="E2744" s="2" t="str">
        <f>"FES1162596899"</f>
        <v>FES1162596899</v>
      </c>
      <c r="F2744" s="3">
        <v>43088</v>
      </c>
      <c r="G2744" s="2">
        <v>201806</v>
      </c>
      <c r="H2744" s="2" t="s">
        <v>74</v>
      </c>
      <c r="I2744" s="2" t="s">
        <v>75</v>
      </c>
      <c r="J2744" s="2" t="s">
        <v>97</v>
      </c>
      <c r="K2744" s="2" t="s">
        <v>77</v>
      </c>
      <c r="L2744" s="2" t="s">
        <v>125</v>
      </c>
      <c r="M2744" s="2" t="s">
        <v>126</v>
      </c>
      <c r="N2744" s="2" t="s">
        <v>1034</v>
      </c>
      <c r="O2744" s="2" t="s">
        <v>101</v>
      </c>
      <c r="P2744" s="2" t="str">
        <f>"21706060970                   "</f>
        <v xml:space="preserve">21706060970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6.43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</v>
      </c>
      <c r="BJ2744" s="2">
        <v>0.2</v>
      </c>
      <c r="BK2744" s="2">
        <v>1</v>
      </c>
      <c r="BL2744" s="2">
        <v>45.93</v>
      </c>
      <c r="BM2744" s="2">
        <v>6.43</v>
      </c>
      <c r="BN2744" s="2">
        <v>52.36</v>
      </c>
      <c r="BO2744" s="2">
        <v>52.36</v>
      </c>
      <c r="BQ2744" s="2" t="s">
        <v>128</v>
      </c>
      <c r="BR2744" s="2" t="s">
        <v>103</v>
      </c>
      <c r="BS2744" s="3">
        <v>43090</v>
      </c>
      <c r="BT2744" s="4">
        <v>0.375</v>
      </c>
      <c r="BU2744" s="2" t="s">
        <v>2785</v>
      </c>
      <c r="BV2744" s="2" t="s">
        <v>89</v>
      </c>
      <c r="BY2744" s="2">
        <v>1200</v>
      </c>
      <c r="CA2744" s="2" t="s">
        <v>1050</v>
      </c>
      <c r="CC2744" s="2" t="s">
        <v>126</v>
      </c>
      <c r="CD2744" s="2">
        <v>4001</v>
      </c>
      <c r="CE2744" s="2" t="s">
        <v>120</v>
      </c>
      <c r="CF2744" s="3">
        <v>43096</v>
      </c>
      <c r="CI2744" s="2">
        <v>1</v>
      </c>
      <c r="CJ2744" s="2">
        <v>2</v>
      </c>
      <c r="CK2744" s="2">
        <v>21</v>
      </c>
      <c r="CL2744" s="2" t="s">
        <v>89</v>
      </c>
    </row>
    <row r="2745" spans="1:90">
      <c r="A2745" s="2" t="s">
        <v>71</v>
      </c>
      <c r="B2745" s="2" t="s">
        <v>72</v>
      </c>
      <c r="C2745" s="2" t="s">
        <v>73</v>
      </c>
      <c r="E2745" s="2" t="str">
        <f>"FES1162596736"</f>
        <v>FES1162596736</v>
      </c>
      <c r="F2745" s="3">
        <v>43088</v>
      </c>
      <c r="G2745" s="2">
        <v>201806</v>
      </c>
      <c r="H2745" s="2" t="s">
        <v>74</v>
      </c>
      <c r="I2745" s="2" t="s">
        <v>75</v>
      </c>
      <c r="J2745" s="2" t="s">
        <v>97</v>
      </c>
      <c r="K2745" s="2" t="s">
        <v>77</v>
      </c>
      <c r="L2745" s="2" t="s">
        <v>850</v>
      </c>
      <c r="M2745" s="2" t="s">
        <v>851</v>
      </c>
      <c r="N2745" s="2" t="s">
        <v>2786</v>
      </c>
      <c r="O2745" s="2" t="s">
        <v>101</v>
      </c>
      <c r="P2745" s="2" t="str">
        <f>"2170607336                    "</f>
        <v xml:space="preserve">2170607336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6.43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1</v>
      </c>
      <c r="BJ2745" s="2">
        <v>0.2</v>
      </c>
      <c r="BK2745" s="2">
        <v>1</v>
      </c>
      <c r="BL2745" s="2">
        <v>45.93</v>
      </c>
      <c r="BM2745" s="2">
        <v>6.43</v>
      </c>
      <c r="BN2745" s="2">
        <v>52.36</v>
      </c>
      <c r="BO2745" s="2">
        <v>52.36</v>
      </c>
      <c r="BQ2745" s="2" t="s">
        <v>187</v>
      </c>
      <c r="BR2745" s="2" t="s">
        <v>103</v>
      </c>
      <c r="BS2745" s="3">
        <v>43090</v>
      </c>
      <c r="BT2745" s="4">
        <v>0.68055555555555547</v>
      </c>
      <c r="BU2745" s="2" t="s">
        <v>2787</v>
      </c>
      <c r="BV2745" s="2" t="s">
        <v>89</v>
      </c>
      <c r="BW2745" s="2" t="s">
        <v>471</v>
      </c>
      <c r="BX2745" s="2" t="s">
        <v>1390</v>
      </c>
      <c r="BY2745" s="2">
        <v>1200</v>
      </c>
      <c r="CA2745" s="2" t="s">
        <v>1057</v>
      </c>
      <c r="CC2745" s="2" t="s">
        <v>851</v>
      </c>
      <c r="CD2745" s="2">
        <v>3280</v>
      </c>
      <c r="CE2745" s="2" t="s">
        <v>120</v>
      </c>
      <c r="CF2745" s="3">
        <v>43096</v>
      </c>
      <c r="CI2745" s="2">
        <v>1</v>
      </c>
      <c r="CJ2745" s="2">
        <v>2</v>
      </c>
      <c r="CK2745" s="2">
        <v>21</v>
      </c>
      <c r="CL2745" s="2" t="s">
        <v>89</v>
      </c>
    </row>
    <row r="2746" spans="1:90">
      <c r="A2746" s="2" t="s">
        <v>71</v>
      </c>
      <c r="B2746" s="2" t="s">
        <v>72</v>
      </c>
      <c r="C2746" s="2" t="s">
        <v>73</v>
      </c>
      <c r="E2746" s="2" t="str">
        <f>"FES1162596729"</f>
        <v>FES1162596729</v>
      </c>
      <c r="F2746" s="3">
        <v>43088</v>
      </c>
      <c r="G2746" s="2">
        <v>201806</v>
      </c>
      <c r="H2746" s="2" t="s">
        <v>74</v>
      </c>
      <c r="I2746" s="2" t="s">
        <v>75</v>
      </c>
      <c r="J2746" s="2" t="s">
        <v>97</v>
      </c>
      <c r="K2746" s="2" t="s">
        <v>77</v>
      </c>
      <c r="L2746" s="2" t="s">
        <v>74</v>
      </c>
      <c r="M2746" s="2" t="s">
        <v>75</v>
      </c>
      <c r="N2746" s="2" t="s">
        <v>396</v>
      </c>
      <c r="O2746" s="2" t="s">
        <v>101</v>
      </c>
      <c r="P2746" s="2" t="str">
        <f>"2170606863                    "</f>
        <v xml:space="preserve">2170606863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5.03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1</v>
      </c>
      <c r="BJ2746" s="2">
        <v>0.2</v>
      </c>
      <c r="BK2746" s="2">
        <v>1</v>
      </c>
      <c r="BL2746" s="2">
        <v>35.89</v>
      </c>
      <c r="BM2746" s="2">
        <v>5.0199999999999996</v>
      </c>
      <c r="BN2746" s="2">
        <v>40.909999999999997</v>
      </c>
      <c r="BO2746" s="2">
        <v>40.909999999999997</v>
      </c>
      <c r="BQ2746" s="2" t="s">
        <v>102</v>
      </c>
      <c r="BR2746" s="2" t="s">
        <v>103</v>
      </c>
      <c r="BS2746" s="3">
        <v>43089</v>
      </c>
      <c r="BT2746" s="4">
        <v>0.35972222222222222</v>
      </c>
      <c r="BU2746" s="2" t="s">
        <v>2027</v>
      </c>
      <c r="BV2746" s="2" t="s">
        <v>85</v>
      </c>
      <c r="BY2746" s="2">
        <v>1200</v>
      </c>
      <c r="CA2746" s="2" t="s">
        <v>355</v>
      </c>
      <c r="CC2746" s="2" t="s">
        <v>75</v>
      </c>
      <c r="CD2746" s="2">
        <v>1600</v>
      </c>
      <c r="CE2746" s="2" t="s">
        <v>120</v>
      </c>
      <c r="CF2746" s="3">
        <v>43091</v>
      </c>
      <c r="CI2746" s="2">
        <v>1</v>
      </c>
      <c r="CJ2746" s="2">
        <v>1</v>
      </c>
      <c r="CK2746" s="2">
        <v>22</v>
      </c>
      <c r="CL2746" s="2" t="s">
        <v>89</v>
      </c>
    </row>
    <row r="2747" spans="1:90">
      <c r="A2747" s="2" t="s">
        <v>71</v>
      </c>
      <c r="B2747" s="2" t="s">
        <v>72</v>
      </c>
      <c r="C2747" s="2" t="s">
        <v>73</v>
      </c>
      <c r="E2747" s="2" t="str">
        <f>"FES1162596735"</f>
        <v>FES1162596735</v>
      </c>
      <c r="F2747" s="3">
        <v>43088</v>
      </c>
      <c r="G2747" s="2">
        <v>201806</v>
      </c>
      <c r="H2747" s="2" t="s">
        <v>74</v>
      </c>
      <c r="I2747" s="2" t="s">
        <v>75</v>
      </c>
      <c r="J2747" s="2" t="s">
        <v>97</v>
      </c>
      <c r="K2747" s="2" t="s">
        <v>77</v>
      </c>
      <c r="L2747" s="2" t="s">
        <v>74</v>
      </c>
      <c r="M2747" s="2" t="s">
        <v>75</v>
      </c>
      <c r="N2747" s="2" t="s">
        <v>204</v>
      </c>
      <c r="O2747" s="2" t="s">
        <v>101</v>
      </c>
      <c r="P2747" s="2" t="str">
        <f>"2170607331                    "</f>
        <v xml:space="preserve">2170607331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5.03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1</v>
      </c>
      <c r="BJ2747" s="2">
        <v>0.2</v>
      </c>
      <c r="BK2747" s="2">
        <v>1</v>
      </c>
      <c r="BL2747" s="2">
        <v>35.89</v>
      </c>
      <c r="BM2747" s="2">
        <v>5.0199999999999996</v>
      </c>
      <c r="BN2747" s="2">
        <v>40.909999999999997</v>
      </c>
      <c r="BO2747" s="2">
        <v>40.909999999999997</v>
      </c>
      <c r="BQ2747" s="2" t="s">
        <v>102</v>
      </c>
      <c r="BR2747" s="2" t="s">
        <v>103</v>
      </c>
      <c r="BS2747" s="3">
        <v>43089</v>
      </c>
      <c r="BT2747" s="4">
        <v>0.32291666666666669</v>
      </c>
      <c r="BU2747" s="2" t="s">
        <v>2788</v>
      </c>
      <c r="BV2747" s="2" t="s">
        <v>85</v>
      </c>
      <c r="BY2747" s="2">
        <v>1200</v>
      </c>
      <c r="CA2747" s="2" t="s">
        <v>206</v>
      </c>
      <c r="CC2747" s="2" t="s">
        <v>75</v>
      </c>
      <c r="CD2747" s="2">
        <v>1645</v>
      </c>
      <c r="CE2747" s="2" t="s">
        <v>120</v>
      </c>
      <c r="CF2747" s="3">
        <v>43090</v>
      </c>
      <c r="CI2747" s="2">
        <v>1</v>
      </c>
      <c r="CJ2747" s="2">
        <v>1</v>
      </c>
      <c r="CK2747" s="2">
        <v>22</v>
      </c>
      <c r="CL2747" s="2" t="s">
        <v>89</v>
      </c>
    </row>
    <row r="2748" spans="1:90">
      <c r="A2748" s="2" t="s">
        <v>71</v>
      </c>
      <c r="B2748" s="2" t="s">
        <v>72</v>
      </c>
      <c r="C2748" s="2" t="s">
        <v>73</v>
      </c>
      <c r="E2748" s="2" t="str">
        <f>"FES1162596875"</f>
        <v>FES1162596875</v>
      </c>
      <c r="F2748" s="3">
        <v>43088</v>
      </c>
      <c r="G2748" s="2">
        <v>201806</v>
      </c>
      <c r="H2748" s="2" t="s">
        <v>74</v>
      </c>
      <c r="I2748" s="2" t="s">
        <v>75</v>
      </c>
      <c r="J2748" s="2" t="s">
        <v>97</v>
      </c>
      <c r="K2748" s="2" t="s">
        <v>77</v>
      </c>
      <c r="L2748" s="2" t="s">
        <v>158</v>
      </c>
      <c r="M2748" s="2" t="s">
        <v>159</v>
      </c>
      <c r="N2748" s="2" t="s">
        <v>1241</v>
      </c>
      <c r="O2748" s="2" t="s">
        <v>101</v>
      </c>
      <c r="P2748" s="2" t="str">
        <f>"2170605817                    "</f>
        <v xml:space="preserve">2170605817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6.43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1</v>
      </c>
      <c r="BJ2748" s="2">
        <v>0.2</v>
      </c>
      <c r="BK2748" s="2">
        <v>1</v>
      </c>
      <c r="BL2748" s="2">
        <v>45.93</v>
      </c>
      <c r="BM2748" s="2">
        <v>6.43</v>
      </c>
      <c r="BN2748" s="2">
        <v>52.36</v>
      </c>
      <c r="BO2748" s="2">
        <v>52.36</v>
      </c>
      <c r="BQ2748" s="2" t="s">
        <v>229</v>
      </c>
      <c r="BR2748" s="2" t="s">
        <v>103</v>
      </c>
      <c r="BS2748" s="3">
        <v>43089</v>
      </c>
      <c r="BT2748" s="4">
        <v>0.60138888888888886</v>
      </c>
      <c r="BU2748" s="2" t="s">
        <v>2789</v>
      </c>
      <c r="BV2748" s="2" t="s">
        <v>89</v>
      </c>
      <c r="BW2748" s="2" t="s">
        <v>156</v>
      </c>
      <c r="BX2748" s="2" t="s">
        <v>668</v>
      </c>
      <c r="BY2748" s="2">
        <v>1200</v>
      </c>
      <c r="CC2748" s="2" t="s">
        <v>159</v>
      </c>
      <c r="CD2748" s="2">
        <v>200</v>
      </c>
      <c r="CE2748" s="2" t="s">
        <v>120</v>
      </c>
      <c r="CF2748" s="3">
        <v>43090</v>
      </c>
      <c r="CI2748" s="2">
        <v>1</v>
      </c>
      <c r="CJ2748" s="2">
        <v>1</v>
      </c>
      <c r="CK2748" s="2">
        <v>21</v>
      </c>
      <c r="CL2748" s="2" t="s">
        <v>89</v>
      </c>
    </row>
    <row r="2749" spans="1:90">
      <c r="A2749" s="2" t="s">
        <v>71</v>
      </c>
      <c r="B2749" s="2" t="s">
        <v>72</v>
      </c>
      <c r="C2749" s="2" t="s">
        <v>73</v>
      </c>
      <c r="E2749" s="2" t="str">
        <f>"FES1162596892"</f>
        <v>FES1162596892</v>
      </c>
      <c r="F2749" s="3">
        <v>43088</v>
      </c>
      <c r="G2749" s="2">
        <v>201806</v>
      </c>
      <c r="H2749" s="2" t="s">
        <v>74</v>
      </c>
      <c r="I2749" s="2" t="s">
        <v>75</v>
      </c>
      <c r="J2749" s="2" t="s">
        <v>97</v>
      </c>
      <c r="K2749" s="2" t="s">
        <v>77</v>
      </c>
      <c r="L2749" s="2" t="s">
        <v>158</v>
      </c>
      <c r="M2749" s="2" t="s">
        <v>159</v>
      </c>
      <c r="N2749" s="2" t="s">
        <v>543</v>
      </c>
      <c r="O2749" s="2" t="s">
        <v>101</v>
      </c>
      <c r="P2749" s="2" t="str">
        <f>"2170606675                    "</f>
        <v xml:space="preserve">2170606675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6.43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</v>
      </c>
      <c r="BJ2749" s="2">
        <v>0.2</v>
      </c>
      <c r="BK2749" s="2">
        <v>1</v>
      </c>
      <c r="BL2749" s="2">
        <v>45.93</v>
      </c>
      <c r="BM2749" s="2">
        <v>6.43</v>
      </c>
      <c r="BN2749" s="2">
        <v>52.36</v>
      </c>
      <c r="BO2749" s="2">
        <v>52.36</v>
      </c>
      <c r="BQ2749" s="2" t="s">
        <v>82</v>
      </c>
      <c r="BR2749" s="2" t="s">
        <v>103</v>
      </c>
      <c r="BS2749" s="2" t="s">
        <v>185</v>
      </c>
      <c r="BY2749" s="2">
        <v>1200</v>
      </c>
      <c r="CC2749" s="2" t="s">
        <v>159</v>
      </c>
      <c r="CD2749" s="2">
        <v>1</v>
      </c>
      <c r="CE2749" s="2" t="s">
        <v>120</v>
      </c>
      <c r="CI2749" s="2">
        <v>1</v>
      </c>
      <c r="CJ2749" s="2" t="s">
        <v>185</v>
      </c>
      <c r="CK2749" s="2">
        <v>21</v>
      </c>
      <c r="CL2749" s="2" t="s">
        <v>89</v>
      </c>
    </row>
    <row r="2750" spans="1:90">
      <c r="A2750" s="2" t="s">
        <v>71</v>
      </c>
      <c r="B2750" s="2" t="s">
        <v>72</v>
      </c>
      <c r="C2750" s="2" t="s">
        <v>73</v>
      </c>
      <c r="E2750" s="2" t="str">
        <f>"FES1162596883"</f>
        <v>FES1162596883</v>
      </c>
      <c r="F2750" s="3">
        <v>43088</v>
      </c>
      <c r="G2750" s="2">
        <v>201806</v>
      </c>
      <c r="H2750" s="2" t="s">
        <v>74</v>
      </c>
      <c r="I2750" s="2" t="s">
        <v>75</v>
      </c>
      <c r="J2750" s="2" t="s">
        <v>97</v>
      </c>
      <c r="K2750" s="2" t="s">
        <v>77</v>
      </c>
      <c r="L2750" s="2" t="s">
        <v>158</v>
      </c>
      <c r="M2750" s="2" t="s">
        <v>159</v>
      </c>
      <c r="N2750" s="2" t="s">
        <v>186</v>
      </c>
      <c r="O2750" s="2" t="s">
        <v>101</v>
      </c>
      <c r="P2750" s="2" t="str">
        <f>"2170606095                    "</f>
        <v xml:space="preserve">2170606095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6.43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</v>
      </c>
      <c r="BJ2750" s="2">
        <v>0.2</v>
      </c>
      <c r="BK2750" s="2">
        <v>1</v>
      </c>
      <c r="BL2750" s="2">
        <v>45.93</v>
      </c>
      <c r="BM2750" s="2">
        <v>6.43</v>
      </c>
      <c r="BN2750" s="2">
        <v>52.36</v>
      </c>
      <c r="BO2750" s="2">
        <v>52.36</v>
      </c>
      <c r="BQ2750" s="2" t="s">
        <v>187</v>
      </c>
      <c r="BR2750" s="2" t="s">
        <v>103</v>
      </c>
      <c r="BS2750" s="3">
        <v>43089</v>
      </c>
      <c r="BT2750" s="4">
        <v>0.41666666666666669</v>
      </c>
      <c r="BU2750" s="2" t="s">
        <v>1132</v>
      </c>
      <c r="BV2750" s="2" t="s">
        <v>85</v>
      </c>
      <c r="BY2750" s="2">
        <v>1200</v>
      </c>
      <c r="CC2750" s="2" t="s">
        <v>159</v>
      </c>
      <c r="CD2750" s="2">
        <v>159</v>
      </c>
      <c r="CE2750" s="2" t="s">
        <v>120</v>
      </c>
      <c r="CF2750" s="3">
        <v>43090</v>
      </c>
      <c r="CI2750" s="2">
        <v>1</v>
      </c>
      <c r="CJ2750" s="2">
        <v>1</v>
      </c>
      <c r="CK2750" s="2">
        <v>21</v>
      </c>
      <c r="CL2750" s="2" t="s">
        <v>89</v>
      </c>
    </row>
    <row r="2751" spans="1:90">
      <c r="A2751" s="2" t="s">
        <v>71</v>
      </c>
      <c r="B2751" s="2" t="s">
        <v>72</v>
      </c>
      <c r="C2751" s="2" t="s">
        <v>73</v>
      </c>
      <c r="E2751" s="2" t="str">
        <f>"FES1162596725"</f>
        <v>FES1162596725</v>
      </c>
      <c r="F2751" s="3">
        <v>43088</v>
      </c>
      <c r="G2751" s="2">
        <v>201806</v>
      </c>
      <c r="H2751" s="2" t="s">
        <v>74</v>
      </c>
      <c r="I2751" s="2" t="s">
        <v>75</v>
      </c>
      <c r="J2751" s="2" t="s">
        <v>97</v>
      </c>
      <c r="K2751" s="2" t="s">
        <v>77</v>
      </c>
      <c r="L2751" s="2" t="s">
        <v>121</v>
      </c>
      <c r="M2751" s="2" t="s">
        <v>122</v>
      </c>
      <c r="N2751" s="2" t="s">
        <v>123</v>
      </c>
      <c r="O2751" s="2" t="s">
        <v>101</v>
      </c>
      <c r="P2751" s="2" t="str">
        <f>"2170606751                    "</f>
        <v xml:space="preserve">2170606751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9.0500000000000007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</v>
      </c>
      <c r="BJ2751" s="2">
        <v>0.2</v>
      </c>
      <c r="BK2751" s="2">
        <v>1</v>
      </c>
      <c r="BL2751" s="2">
        <v>64.599999999999994</v>
      </c>
      <c r="BM2751" s="2">
        <v>9.0399999999999991</v>
      </c>
      <c r="BN2751" s="2">
        <v>73.64</v>
      </c>
      <c r="BO2751" s="2">
        <v>73.64</v>
      </c>
      <c r="BQ2751" s="2" t="s">
        <v>102</v>
      </c>
      <c r="BR2751" s="2" t="s">
        <v>103</v>
      </c>
      <c r="BS2751" s="3">
        <v>43089</v>
      </c>
      <c r="BT2751" s="4">
        <v>0.52083333333333337</v>
      </c>
      <c r="BU2751" s="2" t="s">
        <v>2427</v>
      </c>
      <c r="BV2751" s="2" t="s">
        <v>85</v>
      </c>
      <c r="BY2751" s="2">
        <v>1200</v>
      </c>
      <c r="CC2751" s="2" t="s">
        <v>122</v>
      </c>
      <c r="CD2751" s="2">
        <v>2210</v>
      </c>
      <c r="CE2751" s="2" t="s">
        <v>120</v>
      </c>
      <c r="CF2751" s="3">
        <v>43091</v>
      </c>
      <c r="CI2751" s="2">
        <v>1</v>
      </c>
      <c r="CJ2751" s="2">
        <v>1</v>
      </c>
      <c r="CK2751" s="2">
        <v>24</v>
      </c>
      <c r="CL2751" s="2" t="s">
        <v>89</v>
      </c>
    </row>
    <row r="2752" spans="1:90">
      <c r="A2752" s="2" t="s">
        <v>71</v>
      </c>
      <c r="B2752" s="2" t="s">
        <v>72</v>
      </c>
      <c r="C2752" s="2" t="s">
        <v>73</v>
      </c>
      <c r="E2752" s="2" t="str">
        <f>"FES1162595769"</f>
        <v>FES1162595769</v>
      </c>
      <c r="F2752" s="3">
        <v>43088</v>
      </c>
      <c r="G2752" s="2">
        <v>201806</v>
      </c>
      <c r="H2752" s="2" t="s">
        <v>74</v>
      </c>
      <c r="I2752" s="2" t="s">
        <v>75</v>
      </c>
      <c r="J2752" s="2" t="s">
        <v>97</v>
      </c>
      <c r="K2752" s="2" t="s">
        <v>77</v>
      </c>
      <c r="L2752" s="2" t="s">
        <v>173</v>
      </c>
      <c r="M2752" s="2" t="s">
        <v>174</v>
      </c>
      <c r="N2752" s="2" t="s">
        <v>1039</v>
      </c>
      <c r="O2752" s="2" t="s">
        <v>101</v>
      </c>
      <c r="P2752" s="2" t="str">
        <f>"2170607587                    "</f>
        <v xml:space="preserve">2170607587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6.43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1</v>
      </c>
      <c r="BJ2752" s="2">
        <v>0.2</v>
      </c>
      <c r="BK2752" s="2">
        <v>1</v>
      </c>
      <c r="BL2752" s="2">
        <v>45.93</v>
      </c>
      <c r="BM2752" s="2">
        <v>6.43</v>
      </c>
      <c r="BN2752" s="2">
        <v>52.36</v>
      </c>
      <c r="BO2752" s="2">
        <v>52.36</v>
      </c>
      <c r="BQ2752" s="2" t="s">
        <v>1040</v>
      </c>
      <c r="BR2752" s="2" t="s">
        <v>103</v>
      </c>
      <c r="BS2752" s="3">
        <v>43089</v>
      </c>
      <c r="BT2752" s="4">
        <v>0.40416666666666662</v>
      </c>
      <c r="BU2752" s="2" t="s">
        <v>2790</v>
      </c>
      <c r="BV2752" s="2" t="s">
        <v>85</v>
      </c>
      <c r="BY2752" s="2">
        <v>1200</v>
      </c>
      <c r="CA2752" s="2" t="s">
        <v>234</v>
      </c>
      <c r="CC2752" s="2" t="s">
        <v>174</v>
      </c>
      <c r="CD2752" s="2">
        <v>7530</v>
      </c>
      <c r="CE2752" s="2" t="s">
        <v>120</v>
      </c>
      <c r="CF2752" s="3">
        <v>43090</v>
      </c>
      <c r="CI2752" s="2">
        <v>1</v>
      </c>
      <c r="CJ2752" s="2">
        <v>1</v>
      </c>
      <c r="CK2752" s="2">
        <v>21</v>
      </c>
      <c r="CL2752" s="2" t="s">
        <v>89</v>
      </c>
    </row>
    <row r="2753" spans="1:90">
      <c r="A2753" s="2" t="s">
        <v>71</v>
      </c>
      <c r="B2753" s="2" t="s">
        <v>72</v>
      </c>
      <c r="C2753" s="2" t="s">
        <v>73</v>
      </c>
      <c r="E2753" s="2" t="str">
        <f>"FES1162596936"</f>
        <v>FES1162596936</v>
      </c>
      <c r="F2753" s="3">
        <v>43088</v>
      </c>
      <c r="G2753" s="2">
        <v>201806</v>
      </c>
      <c r="H2753" s="2" t="s">
        <v>74</v>
      </c>
      <c r="I2753" s="2" t="s">
        <v>75</v>
      </c>
      <c r="J2753" s="2" t="s">
        <v>97</v>
      </c>
      <c r="K2753" s="2" t="s">
        <v>77</v>
      </c>
      <c r="L2753" s="2" t="s">
        <v>173</v>
      </c>
      <c r="M2753" s="2" t="s">
        <v>174</v>
      </c>
      <c r="N2753" s="2" t="s">
        <v>433</v>
      </c>
      <c r="O2753" s="2" t="s">
        <v>101</v>
      </c>
      <c r="P2753" s="2" t="str">
        <f>"2170608454                    "</f>
        <v xml:space="preserve">2170608454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6.43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</v>
      </c>
      <c r="BJ2753" s="2">
        <v>0.2</v>
      </c>
      <c r="BK2753" s="2">
        <v>1</v>
      </c>
      <c r="BL2753" s="2">
        <v>45.93</v>
      </c>
      <c r="BM2753" s="2">
        <v>6.43</v>
      </c>
      <c r="BN2753" s="2">
        <v>52.36</v>
      </c>
      <c r="BO2753" s="2">
        <v>52.36</v>
      </c>
      <c r="BQ2753" s="2" t="s">
        <v>102</v>
      </c>
      <c r="BR2753" s="2" t="s">
        <v>103</v>
      </c>
      <c r="BS2753" s="3">
        <v>43089</v>
      </c>
      <c r="BT2753" s="4">
        <v>0.46180555555555558</v>
      </c>
      <c r="BU2753" s="2" t="s">
        <v>2791</v>
      </c>
      <c r="BV2753" s="2" t="s">
        <v>89</v>
      </c>
      <c r="BW2753" s="2" t="s">
        <v>313</v>
      </c>
      <c r="BX2753" s="2" t="s">
        <v>368</v>
      </c>
      <c r="BY2753" s="2">
        <v>1200</v>
      </c>
      <c r="CA2753" s="2" t="s">
        <v>177</v>
      </c>
      <c r="CC2753" s="2" t="s">
        <v>174</v>
      </c>
      <c r="CD2753" s="2">
        <v>7441</v>
      </c>
      <c r="CE2753" s="2" t="s">
        <v>120</v>
      </c>
      <c r="CF2753" s="3">
        <v>43090</v>
      </c>
      <c r="CI2753" s="2">
        <v>1</v>
      </c>
      <c r="CJ2753" s="2">
        <v>1</v>
      </c>
      <c r="CK2753" s="2">
        <v>21</v>
      </c>
      <c r="CL2753" s="2" t="s">
        <v>89</v>
      </c>
    </row>
    <row r="2754" spans="1:90">
      <c r="A2754" s="2" t="s">
        <v>71</v>
      </c>
      <c r="B2754" s="2" t="s">
        <v>72</v>
      </c>
      <c r="C2754" s="2" t="s">
        <v>73</v>
      </c>
      <c r="E2754" s="2" t="str">
        <f>"FES1162596861"</f>
        <v>FES1162596861</v>
      </c>
      <c r="F2754" s="3">
        <v>43088</v>
      </c>
      <c r="G2754" s="2">
        <v>201806</v>
      </c>
      <c r="H2754" s="2" t="s">
        <v>74</v>
      </c>
      <c r="I2754" s="2" t="s">
        <v>75</v>
      </c>
      <c r="J2754" s="2" t="s">
        <v>97</v>
      </c>
      <c r="K2754" s="2" t="s">
        <v>77</v>
      </c>
      <c r="L2754" s="2" t="s">
        <v>173</v>
      </c>
      <c r="M2754" s="2" t="s">
        <v>174</v>
      </c>
      <c r="N2754" s="2" t="s">
        <v>433</v>
      </c>
      <c r="O2754" s="2" t="s">
        <v>101</v>
      </c>
      <c r="P2754" s="2" t="str">
        <f>"2170605692                    "</f>
        <v xml:space="preserve">2170605692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6.43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1</v>
      </c>
      <c r="BJ2754" s="2">
        <v>0.2</v>
      </c>
      <c r="BK2754" s="2">
        <v>1</v>
      </c>
      <c r="BL2754" s="2">
        <v>45.93</v>
      </c>
      <c r="BM2754" s="2">
        <v>6.43</v>
      </c>
      <c r="BN2754" s="2">
        <v>52.36</v>
      </c>
      <c r="BO2754" s="2">
        <v>52.36</v>
      </c>
      <c r="BQ2754" s="2" t="s">
        <v>102</v>
      </c>
      <c r="BR2754" s="2" t="s">
        <v>103</v>
      </c>
      <c r="BS2754" s="3">
        <v>43089</v>
      </c>
      <c r="BT2754" s="4">
        <v>0.46111111111111108</v>
      </c>
      <c r="BU2754" s="2" t="s">
        <v>2791</v>
      </c>
      <c r="BV2754" s="2" t="s">
        <v>89</v>
      </c>
      <c r="BW2754" s="2" t="s">
        <v>313</v>
      </c>
      <c r="BX2754" s="2" t="s">
        <v>368</v>
      </c>
      <c r="BY2754" s="2">
        <v>1200</v>
      </c>
      <c r="CA2754" s="2" t="s">
        <v>177</v>
      </c>
      <c r="CC2754" s="2" t="s">
        <v>174</v>
      </c>
      <c r="CD2754" s="2">
        <v>7441</v>
      </c>
      <c r="CE2754" s="2" t="s">
        <v>120</v>
      </c>
      <c r="CF2754" s="3">
        <v>43090</v>
      </c>
      <c r="CI2754" s="2">
        <v>1</v>
      </c>
      <c r="CJ2754" s="2">
        <v>1</v>
      </c>
      <c r="CK2754" s="2">
        <v>21</v>
      </c>
      <c r="CL2754" s="2" t="s">
        <v>89</v>
      </c>
    </row>
    <row r="2755" spans="1:90">
      <c r="A2755" s="2" t="s">
        <v>71</v>
      </c>
      <c r="B2755" s="2" t="s">
        <v>72</v>
      </c>
      <c r="C2755" s="2" t="s">
        <v>73</v>
      </c>
      <c r="E2755" s="2" t="str">
        <f>"FES1162596723"</f>
        <v>FES1162596723</v>
      </c>
      <c r="F2755" s="3">
        <v>43088</v>
      </c>
      <c r="G2755" s="2">
        <v>201806</v>
      </c>
      <c r="H2755" s="2" t="s">
        <v>74</v>
      </c>
      <c r="I2755" s="2" t="s">
        <v>75</v>
      </c>
      <c r="J2755" s="2" t="s">
        <v>97</v>
      </c>
      <c r="K2755" s="2" t="s">
        <v>77</v>
      </c>
      <c r="L2755" s="2" t="s">
        <v>651</v>
      </c>
      <c r="M2755" s="2" t="s">
        <v>652</v>
      </c>
      <c r="N2755" s="2" t="s">
        <v>2174</v>
      </c>
      <c r="O2755" s="2" t="s">
        <v>101</v>
      </c>
      <c r="P2755" s="2" t="str">
        <f>"2170606746                    "</f>
        <v xml:space="preserve">2170606746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9.0500000000000007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</v>
      </c>
      <c r="BJ2755" s="2">
        <v>0.2</v>
      </c>
      <c r="BK2755" s="2">
        <v>1</v>
      </c>
      <c r="BL2755" s="2">
        <v>64.599999999999994</v>
      </c>
      <c r="BM2755" s="2">
        <v>9.0399999999999991</v>
      </c>
      <c r="BN2755" s="2">
        <v>73.64</v>
      </c>
      <c r="BO2755" s="2">
        <v>73.64</v>
      </c>
      <c r="BQ2755" s="2" t="s">
        <v>2395</v>
      </c>
      <c r="BR2755" s="2" t="s">
        <v>103</v>
      </c>
      <c r="BS2755" s="2" t="s">
        <v>185</v>
      </c>
      <c r="BY2755" s="2">
        <v>1200</v>
      </c>
      <c r="CC2755" s="2" t="s">
        <v>652</v>
      </c>
      <c r="CD2755" s="2">
        <v>250</v>
      </c>
      <c r="CE2755" s="2" t="s">
        <v>120</v>
      </c>
      <c r="CI2755" s="2">
        <v>1</v>
      </c>
      <c r="CJ2755" s="2" t="s">
        <v>185</v>
      </c>
      <c r="CK2755" s="2">
        <v>24</v>
      </c>
      <c r="CL2755" s="2" t="s">
        <v>89</v>
      </c>
    </row>
    <row r="2756" spans="1:90">
      <c r="A2756" s="2" t="s">
        <v>71</v>
      </c>
      <c r="B2756" s="2" t="s">
        <v>72</v>
      </c>
      <c r="C2756" s="2" t="s">
        <v>73</v>
      </c>
      <c r="E2756" s="2" t="str">
        <f>"FES1162596745"</f>
        <v>FES1162596745</v>
      </c>
      <c r="F2756" s="3">
        <v>43088</v>
      </c>
      <c r="G2756" s="2">
        <v>201806</v>
      </c>
      <c r="H2756" s="2" t="s">
        <v>74</v>
      </c>
      <c r="I2756" s="2" t="s">
        <v>75</v>
      </c>
      <c r="J2756" s="2" t="s">
        <v>97</v>
      </c>
      <c r="K2756" s="2" t="s">
        <v>77</v>
      </c>
      <c r="L2756" s="2" t="s">
        <v>115</v>
      </c>
      <c r="M2756" s="2" t="s">
        <v>116</v>
      </c>
      <c r="N2756" s="2" t="s">
        <v>283</v>
      </c>
      <c r="O2756" s="2" t="s">
        <v>101</v>
      </c>
      <c r="P2756" s="2" t="str">
        <f>"2170607672                    "</f>
        <v xml:space="preserve">2170607672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5.03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1</v>
      </c>
      <c r="BJ2756" s="2">
        <v>0.2</v>
      </c>
      <c r="BK2756" s="2">
        <v>1</v>
      </c>
      <c r="BL2756" s="2">
        <v>35.89</v>
      </c>
      <c r="BM2756" s="2">
        <v>5.0199999999999996</v>
      </c>
      <c r="BN2756" s="2">
        <v>40.909999999999997</v>
      </c>
      <c r="BO2756" s="2">
        <v>40.909999999999997</v>
      </c>
      <c r="BQ2756" s="2" t="s">
        <v>102</v>
      </c>
      <c r="BR2756" s="2" t="s">
        <v>103</v>
      </c>
      <c r="BS2756" s="2" t="s">
        <v>185</v>
      </c>
      <c r="BY2756" s="2">
        <v>1200</v>
      </c>
      <c r="CC2756" s="2" t="s">
        <v>116</v>
      </c>
      <c r="CD2756" s="2">
        <v>1459</v>
      </c>
      <c r="CE2756" s="2" t="s">
        <v>120</v>
      </c>
      <c r="CI2756" s="2">
        <v>1</v>
      </c>
      <c r="CJ2756" s="2" t="s">
        <v>185</v>
      </c>
      <c r="CK2756" s="2">
        <v>22</v>
      </c>
      <c r="CL2756" s="2" t="s">
        <v>89</v>
      </c>
    </row>
    <row r="2757" spans="1:90">
      <c r="A2757" s="2" t="s">
        <v>71</v>
      </c>
      <c r="B2757" s="2" t="s">
        <v>72</v>
      </c>
      <c r="C2757" s="2" t="s">
        <v>73</v>
      </c>
      <c r="E2757" s="2" t="str">
        <f>"FES1162596728"</f>
        <v>FES1162596728</v>
      </c>
      <c r="F2757" s="3">
        <v>43088</v>
      </c>
      <c r="G2757" s="2">
        <v>201806</v>
      </c>
      <c r="H2757" s="2" t="s">
        <v>74</v>
      </c>
      <c r="I2757" s="2" t="s">
        <v>75</v>
      </c>
      <c r="J2757" s="2" t="s">
        <v>97</v>
      </c>
      <c r="K2757" s="2" t="s">
        <v>77</v>
      </c>
      <c r="L2757" s="2" t="s">
        <v>253</v>
      </c>
      <c r="M2757" s="2" t="s">
        <v>254</v>
      </c>
      <c r="N2757" s="2" t="s">
        <v>773</v>
      </c>
      <c r="O2757" s="2" t="s">
        <v>101</v>
      </c>
      <c r="P2757" s="2" t="str">
        <f>"2170606855                    "</f>
        <v xml:space="preserve">2170606855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6.43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1</v>
      </c>
      <c r="BJ2757" s="2">
        <v>0.2</v>
      </c>
      <c r="BK2757" s="2">
        <v>1</v>
      </c>
      <c r="BL2757" s="2">
        <v>45.93</v>
      </c>
      <c r="BM2757" s="2">
        <v>6.43</v>
      </c>
      <c r="BN2757" s="2">
        <v>52.36</v>
      </c>
      <c r="BO2757" s="2">
        <v>52.36</v>
      </c>
      <c r="BQ2757" s="2" t="s">
        <v>82</v>
      </c>
      <c r="BR2757" s="2" t="s">
        <v>103</v>
      </c>
      <c r="BS2757" s="3">
        <v>43089</v>
      </c>
      <c r="BT2757" s="4">
        <v>0.55902777777777779</v>
      </c>
      <c r="BU2757" s="2" t="s">
        <v>2792</v>
      </c>
      <c r="BV2757" s="2" t="s">
        <v>89</v>
      </c>
      <c r="BY2757" s="2">
        <v>1200</v>
      </c>
      <c r="CA2757" s="2" t="s">
        <v>293</v>
      </c>
      <c r="CC2757" s="2" t="s">
        <v>254</v>
      </c>
      <c r="CD2757" s="2">
        <v>1911</v>
      </c>
      <c r="CE2757" s="2" t="s">
        <v>120</v>
      </c>
      <c r="CF2757" s="3">
        <v>43090</v>
      </c>
      <c r="CI2757" s="2">
        <v>1</v>
      </c>
      <c r="CJ2757" s="2">
        <v>1</v>
      </c>
      <c r="CK2757" s="2">
        <v>21</v>
      </c>
      <c r="CL2757" s="2" t="s">
        <v>89</v>
      </c>
    </row>
    <row r="2758" spans="1:90">
      <c r="A2758" s="2" t="s">
        <v>71</v>
      </c>
      <c r="B2758" s="2" t="s">
        <v>72</v>
      </c>
      <c r="C2758" s="2" t="s">
        <v>73</v>
      </c>
      <c r="E2758" s="2" t="str">
        <f>"FES1162596755"</f>
        <v>FES1162596755</v>
      </c>
      <c r="F2758" s="3">
        <v>43088</v>
      </c>
      <c r="G2758" s="2">
        <v>201806</v>
      </c>
      <c r="H2758" s="2" t="s">
        <v>74</v>
      </c>
      <c r="I2758" s="2" t="s">
        <v>75</v>
      </c>
      <c r="J2758" s="2" t="s">
        <v>97</v>
      </c>
      <c r="K2758" s="2" t="s">
        <v>77</v>
      </c>
      <c r="L2758" s="2" t="s">
        <v>115</v>
      </c>
      <c r="M2758" s="2" t="s">
        <v>116</v>
      </c>
      <c r="N2758" s="2" t="s">
        <v>724</v>
      </c>
      <c r="O2758" s="2" t="s">
        <v>101</v>
      </c>
      <c r="P2758" s="2" t="str">
        <f>"21706082222                   "</f>
        <v xml:space="preserve">21706082222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5.03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</v>
      </c>
      <c r="BJ2758" s="2">
        <v>0.2</v>
      </c>
      <c r="BK2758" s="2">
        <v>1</v>
      </c>
      <c r="BL2758" s="2">
        <v>35.89</v>
      </c>
      <c r="BM2758" s="2">
        <v>5.0199999999999996</v>
      </c>
      <c r="BN2758" s="2">
        <v>40.909999999999997</v>
      </c>
      <c r="BO2758" s="2">
        <v>40.909999999999997</v>
      </c>
      <c r="BQ2758" s="2" t="s">
        <v>229</v>
      </c>
      <c r="BR2758" s="2" t="s">
        <v>103</v>
      </c>
      <c r="BS2758" s="3">
        <v>43089</v>
      </c>
      <c r="BT2758" s="4">
        <v>0.4375</v>
      </c>
      <c r="BU2758" s="2" t="s">
        <v>428</v>
      </c>
      <c r="BV2758" s="2" t="s">
        <v>85</v>
      </c>
      <c r="BY2758" s="2">
        <v>1200</v>
      </c>
      <c r="CC2758" s="2" t="s">
        <v>116</v>
      </c>
      <c r="CD2758" s="2">
        <v>1459</v>
      </c>
      <c r="CE2758" s="2" t="s">
        <v>120</v>
      </c>
      <c r="CF2758" s="3">
        <v>43090</v>
      </c>
      <c r="CI2758" s="2">
        <v>1</v>
      </c>
      <c r="CJ2758" s="2">
        <v>1</v>
      </c>
      <c r="CK2758" s="2">
        <v>22</v>
      </c>
      <c r="CL2758" s="2" t="s">
        <v>89</v>
      </c>
    </row>
    <row r="2759" spans="1:90">
      <c r="A2759" s="2" t="s">
        <v>71</v>
      </c>
      <c r="B2759" s="2" t="s">
        <v>72</v>
      </c>
      <c r="C2759" s="2" t="s">
        <v>73</v>
      </c>
      <c r="E2759" s="2" t="str">
        <f>"FES1162596709"</f>
        <v>FES1162596709</v>
      </c>
      <c r="F2759" s="3">
        <v>43088</v>
      </c>
      <c r="G2759" s="2">
        <v>201806</v>
      </c>
      <c r="H2759" s="2" t="s">
        <v>74</v>
      </c>
      <c r="I2759" s="2" t="s">
        <v>75</v>
      </c>
      <c r="J2759" s="2" t="s">
        <v>97</v>
      </c>
      <c r="K2759" s="2" t="s">
        <v>77</v>
      </c>
      <c r="L2759" s="2" t="s">
        <v>212</v>
      </c>
      <c r="M2759" s="2" t="s">
        <v>212</v>
      </c>
      <c r="N2759" s="2" t="s">
        <v>213</v>
      </c>
      <c r="O2759" s="2" t="s">
        <v>101</v>
      </c>
      <c r="P2759" s="2" t="str">
        <f>"2170603548                    "</f>
        <v xml:space="preserve">2170603548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6.43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1</v>
      </c>
      <c r="BJ2759" s="2">
        <v>0.2</v>
      </c>
      <c r="BK2759" s="2">
        <v>1</v>
      </c>
      <c r="BL2759" s="2">
        <v>45.93</v>
      </c>
      <c r="BM2759" s="2">
        <v>6.43</v>
      </c>
      <c r="BN2759" s="2">
        <v>52.36</v>
      </c>
      <c r="BO2759" s="2">
        <v>52.36</v>
      </c>
      <c r="BQ2759" s="2" t="s">
        <v>102</v>
      </c>
      <c r="BR2759" s="2" t="s">
        <v>103</v>
      </c>
      <c r="BS2759" s="3">
        <v>43089</v>
      </c>
      <c r="BT2759" s="4">
        <v>0.52777777777777779</v>
      </c>
      <c r="BU2759" s="2" t="s">
        <v>2757</v>
      </c>
      <c r="BV2759" s="2" t="s">
        <v>85</v>
      </c>
      <c r="BY2759" s="2">
        <v>1200</v>
      </c>
      <c r="CC2759" s="2" t="s">
        <v>212</v>
      </c>
      <c r="CD2759" s="2">
        <v>7646</v>
      </c>
      <c r="CE2759" s="2" t="s">
        <v>120</v>
      </c>
      <c r="CF2759" s="3">
        <v>43090</v>
      </c>
      <c r="CI2759" s="2">
        <v>1</v>
      </c>
      <c r="CJ2759" s="2">
        <v>1</v>
      </c>
      <c r="CK2759" s="2">
        <v>21</v>
      </c>
      <c r="CL2759" s="2" t="s">
        <v>89</v>
      </c>
    </row>
    <row r="2760" spans="1:90">
      <c r="A2760" s="2" t="s">
        <v>71</v>
      </c>
      <c r="B2760" s="2" t="s">
        <v>72</v>
      </c>
      <c r="C2760" s="2" t="s">
        <v>73</v>
      </c>
      <c r="E2760" s="2" t="str">
        <f>"FES1162596692"</f>
        <v>FES1162596692</v>
      </c>
      <c r="F2760" s="3">
        <v>43088</v>
      </c>
      <c r="G2760" s="2">
        <v>201806</v>
      </c>
      <c r="H2760" s="2" t="s">
        <v>74</v>
      </c>
      <c r="I2760" s="2" t="s">
        <v>75</v>
      </c>
      <c r="J2760" s="2" t="s">
        <v>97</v>
      </c>
      <c r="K2760" s="2" t="s">
        <v>77</v>
      </c>
      <c r="L2760" s="2" t="s">
        <v>90</v>
      </c>
      <c r="M2760" s="2" t="s">
        <v>91</v>
      </c>
      <c r="N2760" s="2" t="s">
        <v>241</v>
      </c>
      <c r="O2760" s="2" t="s">
        <v>101</v>
      </c>
      <c r="P2760" s="2" t="str">
        <f>"2170608371                    "</f>
        <v xml:space="preserve">2170608371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5.03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35.89</v>
      </c>
      <c r="BM2760" s="2">
        <v>5.0199999999999996</v>
      </c>
      <c r="BN2760" s="2">
        <v>40.909999999999997</v>
      </c>
      <c r="BO2760" s="2">
        <v>40.909999999999997</v>
      </c>
      <c r="BQ2760" s="2" t="s">
        <v>82</v>
      </c>
      <c r="BR2760" s="2" t="s">
        <v>103</v>
      </c>
      <c r="BS2760" s="3">
        <v>43089</v>
      </c>
      <c r="BT2760" s="4">
        <v>0.41666666666666669</v>
      </c>
      <c r="BU2760" s="2" t="s">
        <v>432</v>
      </c>
      <c r="BV2760" s="2" t="s">
        <v>85</v>
      </c>
      <c r="BY2760" s="2">
        <v>1200</v>
      </c>
      <c r="CA2760" s="2" t="s">
        <v>2793</v>
      </c>
      <c r="CC2760" s="2" t="s">
        <v>91</v>
      </c>
      <c r="CD2760" s="2">
        <v>1559</v>
      </c>
      <c r="CE2760" s="2" t="s">
        <v>120</v>
      </c>
      <c r="CF2760" s="3">
        <v>43090</v>
      </c>
      <c r="CI2760" s="2">
        <v>1</v>
      </c>
      <c r="CJ2760" s="2">
        <v>1</v>
      </c>
      <c r="CK2760" s="2">
        <v>22</v>
      </c>
      <c r="CL2760" s="2" t="s">
        <v>89</v>
      </c>
    </row>
    <row r="2761" spans="1:90">
      <c r="A2761" s="2" t="s">
        <v>71</v>
      </c>
      <c r="B2761" s="2" t="s">
        <v>72</v>
      </c>
      <c r="C2761" s="2" t="s">
        <v>73</v>
      </c>
      <c r="E2761" s="2" t="str">
        <f>"FES1162596733"</f>
        <v>FES1162596733</v>
      </c>
      <c r="F2761" s="3">
        <v>43088</v>
      </c>
      <c r="G2761" s="2">
        <v>201806</v>
      </c>
      <c r="H2761" s="2" t="s">
        <v>74</v>
      </c>
      <c r="I2761" s="2" t="s">
        <v>75</v>
      </c>
      <c r="J2761" s="2" t="s">
        <v>97</v>
      </c>
      <c r="K2761" s="2" t="s">
        <v>77</v>
      </c>
      <c r="L2761" s="2" t="s">
        <v>90</v>
      </c>
      <c r="M2761" s="2" t="s">
        <v>91</v>
      </c>
      <c r="N2761" s="2" t="s">
        <v>1268</v>
      </c>
      <c r="O2761" s="2" t="s">
        <v>101</v>
      </c>
      <c r="P2761" s="2" t="str">
        <f>"2170607271                    "</f>
        <v xml:space="preserve">2170607271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5.03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1</v>
      </c>
      <c r="BJ2761" s="2">
        <v>0.2</v>
      </c>
      <c r="BK2761" s="2">
        <v>1</v>
      </c>
      <c r="BL2761" s="2">
        <v>35.89</v>
      </c>
      <c r="BM2761" s="2">
        <v>5.0199999999999996</v>
      </c>
      <c r="BN2761" s="2">
        <v>40.909999999999997</v>
      </c>
      <c r="BO2761" s="2">
        <v>40.909999999999997</v>
      </c>
      <c r="BQ2761" s="2" t="s">
        <v>128</v>
      </c>
      <c r="BR2761" s="2" t="s">
        <v>103</v>
      </c>
      <c r="BS2761" s="3">
        <v>43089</v>
      </c>
      <c r="BT2761" s="4">
        <v>0.41666666666666669</v>
      </c>
      <c r="BU2761" s="2" t="s">
        <v>2794</v>
      </c>
      <c r="BV2761" s="2" t="s">
        <v>85</v>
      </c>
      <c r="BY2761" s="2">
        <v>1200</v>
      </c>
      <c r="CA2761" s="2" t="s">
        <v>2793</v>
      </c>
      <c r="CC2761" s="2" t="s">
        <v>91</v>
      </c>
      <c r="CD2761" s="2">
        <v>1559</v>
      </c>
      <c r="CE2761" s="2" t="s">
        <v>120</v>
      </c>
      <c r="CF2761" s="3">
        <v>43090</v>
      </c>
      <c r="CI2761" s="2">
        <v>1</v>
      </c>
      <c r="CJ2761" s="2">
        <v>1</v>
      </c>
      <c r="CK2761" s="2">
        <v>22</v>
      </c>
      <c r="CL2761" s="2" t="s">
        <v>89</v>
      </c>
    </row>
    <row r="2762" spans="1:90">
      <c r="A2762" s="2" t="s">
        <v>71</v>
      </c>
      <c r="B2762" s="2" t="s">
        <v>72</v>
      </c>
      <c r="C2762" s="2" t="s">
        <v>73</v>
      </c>
      <c r="E2762" s="2" t="str">
        <f>"FES1162596683"</f>
        <v>FES1162596683</v>
      </c>
      <c r="F2762" s="3">
        <v>43088</v>
      </c>
      <c r="G2762" s="2">
        <v>201806</v>
      </c>
      <c r="H2762" s="2" t="s">
        <v>74</v>
      </c>
      <c r="I2762" s="2" t="s">
        <v>75</v>
      </c>
      <c r="J2762" s="2" t="s">
        <v>97</v>
      </c>
      <c r="K2762" s="2" t="s">
        <v>77</v>
      </c>
      <c r="L2762" s="2" t="s">
        <v>78</v>
      </c>
      <c r="M2762" s="2" t="s">
        <v>79</v>
      </c>
      <c r="N2762" s="2" t="s">
        <v>1953</v>
      </c>
      <c r="O2762" s="2" t="s">
        <v>101</v>
      </c>
      <c r="P2762" s="2" t="str">
        <f>"2170608359                    "</f>
        <v xml:space="preserve">2170608359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6.43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45.93</v>
      </c>
      <c r="BM2762" s="2">
        <v>6.43</v>
      </c>
      <c r="BN2762" s="2">
        <v>52.36</v>
      </c>
      <c r="BO2762" s="2">
        <v>52.36</v>
      </c>
      <c r="BQ2762" s="2" t="s">
        <v>1954</v>
      </c>
      <c r="BR2762" s="2" t="s">
        <v>103</v>
      </c>
      <c r="BS2762" s="3">
        <v>43090</v>
      </c>
      <c r="BT2762" s="4">
        <v>0.60833333333333328</v>
      </c>
      <c r="BU2762" s="2" t="s">
        <v>2795</v>
      </c>
      <c r="BV2762" s="2" t="s">
        <v>89</v>
      </c>
      <c r="BY2762" s="2">
        <v>1200</v>
      </c>
      <c r="CA2762" s="2" t="s">
        <v>86</v>
      </c>
      <c r="CC2762" s="2" t="s">
        <v>79</v>
      </c>
      <c r="CD2762" s="2">
        <v>1947</v>
      </c>
      <c r="CE2762" s="2" t="s">
        <v>120</v>
      </c>
      <c r="CF2762" s="3">
        <v>43091</v>
      </c>
      <c r="CI2762" s="2">
        <v>1</v>
      </c>
      <c r="CJ2762" s="2">
        <v>2</v>
      </c>
      <c r="CK2762" s="2">
        <v>21</v>
      </c>
      <c r="CL2762" s="2" t="s">
        <v>89</v>
      </c>
    </row>
    <row r="2763" spans="1:90">
      <c r="A2763" s="2" t="s">
        <v>71</v>
      </c>
      <c r="B2763" s="2" t="s">
        <v>72</v>
      </c>
      <c r="C2763" s="2" t="s">
        <v>73</v>
      </c>
      <c r="E2763" s="2" t="str">
        <f>"FES1162596708"</f>
        <v>FES1162596708</v>
      </c>
      <c r="F2763" s="3">
        <v>43088</v>
      </c>
      <c r="G2763" s="2">
        <v>201806</v>
      </c>
      <c r="H2763" s="2" t="s">
        <v>74</v>
      </c>
      <c r="I2763" s="2" t="s">
        <v>75</v>
      </c>
      <c r="J2763" s="2" t="s">
        <v>97</v>
      </c>
      <c r="K2763" s="2" t="s">
        <v>77</v>
      </c>
      <c r="L2763" s="2" t="s">
        <v>173</v>
      </c>
      <c r="M2763" s="2" t="s">
        <v>174</v>
      </c>
      <c r="N2763" s="2" t="s">
        <v>376</v>
      </c>
      <c r="O2763" s="2" t="s">
        <v>101</v>
      </c>
      <c r="P2763" s="2" t="str">
        <f>"2170603163                    "</f>
        <v xml:space="preserve">2170603163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6.43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45.93</v>
      </c>
      <c r="BM2763" s="2">
        <v>6.43</v>
      </c>
      <c r="BN2763" s="2">
        <v>52.36</v>
      </c>
      <c r="BO2763" s="2">
        <v>52.36</v>
      </c>
      <c r="BQ2763" s="2" t="s">
        <v>102</v>
      </c>
      <c r="BR2763" s="2" t="s">
        <v>103</v>
      </c>
      <c r="BS2763" s="3">
        <v>43089</v>
      </c>
      <c r="BT2763" s="4">
        <v>0.44513888888888892</v>
      </c>
      <c r="BU2763" s="2" t="s">
        <v>2796</v>
      </c>
      <c r="BV2763" s="2" t="s">
        <v>85</v>
      </c>
      <c r="BY2763" s="2">
        <v>1200</v>
      </c>
      <c r="CA2763" s="2" t="s">
        <v>2796</v>
      </c>
      <c r="CC2763" s="2" t="s">
        <v>174</v>
      </c>
      <c r="CD2763" s="2">
        <v>7490</v>
      </c>
      <c r="CE2763" s="2" t="s">
        <v>120</v>
      </c>
      <c r="CF2763" s="3">
        <v>43090</v>
      </c>
      <c r="CI2763" s="2">
        <v>1</v>
      </c>
      <c r="CJ2763" s="2">
        <v>1</v>
      </c>
      <c r="CK2763" s="2">
        <v>21</v>
      </c>
      <c r="CL2763" s="2" t="s">
        <v>89</v>
      </c>
    </row>
    <row r="2764" spans="1:90">
      <c r="A2764" s="2" t="s">
        <v>71</v>
      </c>
      <c r="B2764" s="2" t="s">
        <v>72</v>
      </c>
      <c r="C2764" s="2" t="s">
        <v>73</v>
      </c>
      <c r="E2764" s="2" t="str">
        <f>"FES1162596678"</f>
        <v>FES1162596678</v>
      </c>
      <c r="F2764" s="3">
        <v>43088</v>
      </c>
      <c r="G2764" s="2">
        <v>201806</v>
      </c>
      <c r="H2764" s="2" t="s">
        <v>74</v>
      </c>
      <c r="I2764" s="2" t="s">
        <v>75</v>
      </c>
      <c r="J2764" s="2" t="s">
        <v>97</v>
      </c>
      <c r="K2764" s="2" t="s">
        <v>77</v>
      </c>
      <c r="L2764" s="2" t="s">
        <v>106</v>
      </c>
      <c r="M2764" s="2" t="s">
        <v>107</v>
      </c>
      <c r="N2764" s="2" t="s">
        <v>108</v>
      </c>
      <c r="O2764" s="2" t="s">
        <v>101</v>
      </c>
      <c r="P2764" s="2" t="str">
        <f>"2170608651                    "</f>
        <v xml:space="preserve">2170608651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5.03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</v>
      </c>
      <c r="BJ2764" s="2">
        <v>0.2</v>
      </c>
      <c r="BK2764" s="2">
        <v>1</v>
      </c>
      <c r="BL2764" s="2">
        <v>35.89</v>
      </c>
      <c r="BM2764" s="2">
        <v>5.0199999999999996</v>
      </c>
      <c r="BN2764" s="2">
        <v>40.909999999999997</v>
      </c>
      <c r="BO2764" s="2">
        <v>40.909999999999997</v>
      </c>
      <c r="BQ2764" s="2" t="s">
        <v>82</v>
      </c>
      <c r="BR2764" s="2" t="s">
        <v>103</v>
      </c>
      <c r="BS2764" s="3">
        <v>43089</v>
      </c>
      <c r="BT2764" s="4">
        <v>0.40277777777777773</v>
      </c>
      <c r="BU2764" s="2" t="s">
        <v>1227</v>
      </c>
      <c r="BV2764" s="2" t="s">
        <v>85</v>
      </c>
      <c r="BY2764" s="2">
        <v>1200</v>
      </c>
      <c r="CA2764" s="2" t="s">
        <v>110</v>
      </c>
      <c r="CC2764" s="2" t="s">
        <v>107</v>
      </c>
      <c r="CD2764" s="2">
        <v>2094</v>
      </c>
      <c r="CE2764" s="2" t="s">
        <v>120</v>
      </c>
      <c r="CF2764" s="3">
        <v>43090</v>
      </c>
      <c r="CI2764" s="2">
        <v>1</v>
      </c>
      <c r="CJ2764" s="2">
        <v>1</v>
      </c>
      <c r="CK2764" s="2">
        <v>22</v>
      </c>
      <c r="CL2764" s="2" t="s">
        <v>89</v>
      </c>
    </row>
    <row r="2765" spans="1:90">
      <c r="A2765" s="2" t="s">
        <v>71</v>
      </c>
      <c r="B2765" s="2" t="s">
        <v>72</v>
      </c>
      <c r="C2765" s="2" t="s">
        <v>73</v>
      </c>
      <c r="E2765" s="2" t="str">
        <f>"FES1162596762"</f>
        <v>FES1162596762</v>
      </c>
      <c r="F2765" s="3">
        <v>43088</v>
      </c>
      <c r="G2765" s="2">
        <v>201806</v>
      </c>
      <c r="H2765" s="2" t="s">
        <v>74</v>
      </c>
      <c r="I2765" s="2" t="s">
        <v>75</v>
      </c>
      <c r="J2765" s="2" t="s">
        <v>97</v>
      </c>
      <c r="K2765" s="2" t="s">
        <v>77</v>
      </c>
      <c r="L2765" s="2" t="s">
        <v>449</v>
      </c>
      <c r="M2765" s="2" t="s">
        <v>450</v>
      </c>
      <c r="N2765" s="2" t="s">
        <v>961</v>
      </c>
      <c r="O2765" s="2" t="s">
        <v>101</v>
      </c>
      <c r="P2765" s="2" t="str">
        <f>"2170608397                    "</f>
        <v xml:space="preserve">2170608397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5.03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1</v>
      </c>
      <c r="BJ2765" s="2">
        <v>0.2</v>
      </c>
      <c r="BK2765" s="2">
        <v>1</v>
      </c>
      <c r="BL2765" s="2">
        <v>35.89</v>
      </c>
      <c r="BM2765" s="2">
        <v>5.0199999999999996</v>
      </c>
      <c r="BN2765" s="2">
        <v>40.909999999999997</v>
      </c>
      <c r="BO2765" s="2">
        <v>40.909999999999997</v>
      </c>
      <c r="BQ2765" s="2" t="s">
        <v>142</v>
      </c>
      <c r="BR2765" s="2" t="s">
        <v>103</v>
      </c>
      <c r="BS2765" s="3">
        <v>43089</v>
      </c>
      <c r="BT2765" s="4">
        <v>0.3576388888888889</v>
      </c>
      <c r="BU2765" s="2" t="s">
        <v>205</v>
      </c>
      <c r="BV2765" s="2" t="s">
        <v>85</v>
      </c>
      <c r="BY2765" s="2">
        <v>1200</v>
      </c>
      <c r="CA2765" s="2" t="s">
        <v>453</v>
      </c>
      <c r="CC2765" s="2" t="s">
        <v>450</v>
      </c>
      <c r="CD2765" s="2">
        <v>1709</v>
      </c>
      <c r="CE2765" s="2" t="s">
        <v>120</v>
      </c>
      <c r="CF2765" s="3">
        <v>43090</v>
      </c>
      <c r="CI2765" s="2">
        <v>1</v>
      </c>
      <c r="CJ2765" s="2">
        <v>1</v>
      </c>
      <c r="CK2765" s="2">
        <v>22</v>
      </c>
      <c r="CL2765" s="2" t="s">
        <v>89</v>
      </c>
    </row>
    <row r="2766" spans="1:90">
      <c r="A2766" s="2" t="s">
        <v>71</v>
      </c>
      <c r="B2766" s="2" t="s">
        <v>72</v>
      </c>
      <c r="C2766" s="2" t="s">
        <v>73</v>
      </c>
      <c r="E2766" s="2" t="str">
        <f>"009935791588"</f>
        <v>009935791588</v>
      </c>
      <c r="F2766" s="3">
        <v>43088</v>
      </c>
      <c r="G2766" s="2">
        <v>201806</v>
      </c>
      <c r="H2766" s="2" t="s">
        <v>74</v>
      </c>
      <c r="I2766" s="2" t="s">
        <v>75</v>
      </c>
      <c r="J2766" s="2" t="s">
        <v>97</v>
      </c>
      <c r="K2766" s="2" t="s">
        <v>77</v>
      </c>
      <c r="L2766" s="2" t="s">
        <v>125</v>
      </c>
      <c r="M2766" s="2" t="s">
        <v>126</v>
      </c>
      <c r="N2766" s="2" t="s">
        <v>1956</v>
      </c>
      <c r="O2766" s="2" t="s">
        <v>101</v>
      </c>
      <c r="P2766" s="2" t="str">
        <f>"GIFT                          "</f>
        <v xml:space="preserve">GIFT      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6.43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</v>
      </c>
      <c r="BJ2766" s="2">
        <v>0.2</v>
      </c>
      <c r="BK2766" s="2">
        <v>1</v>
      </c>
      <c r="BL2766" s="2">
        <v>45.93</v>
      </c>
      <c r="BM2766" s="2">
        <v>6.43</v>
      </c>
      <c r="BN2766" s="2">
        <v>52.36</v>
      </c>
      <c r="BO2766" s="2">
        <v>52.36</v>
      </c>
      <c r="BQ2766" s="2" t="s">
        <v>2797</v>
      </c>
      <c r="BR2766" s="2" t="s">
        <v>103</v>
      </c>
      <c r="BS2766" s="3">
        <v>43089</v>
      </c>
      <c r="BT2766" s="4">
        <v>0.3034722222222222</v>
      </c>
      <c r="BU2766" s="2" t="s">
        <v>2798</v>
      </c>
      <c r="BV2766" s="2" t="s">
        <v>85</v>
      </c>
      <c r="BY2766" s="2">
        <v>1200</v>
      </c>
      <c r="CA2766" s="2" t="s">
        <v>1960</v>
      </c>
      <c r="CC2766" s="2" t="s">
        <v>126</v>
      </c>
      <c r="CD2766" s="2">
        <v>4001</v>
      </c>
      <c r="CE2766" s="2" t="s">
        <v>120</v>
      </c>
      <c r="CF2766" s="3">
        <v>43090</v>
      </c>
      <c r="CI2766" s="2">
        <v>1</v>
      </c>
      <c r="CJ2766" s="2">
        <v>1</v>
      </c>
      <c r="CK2766" s="2">
        <v>21</v>
      </c>
      <c r="CL2766" s="2" t="s">
        <v>89</v>
      </c>
    </row>
    <row r="2767" spans="1:90">
      <c r="A2767" s="2" t="s">
        <v>71</v>
      </c>
      <c r="B2767" s="2" t="s">
        <v>72</v>
      </c>
      <c r="C2767" s="2" t="s">
        <v>73</v>
      </c>
      <c r="E2767" s="2" t="str">
        <f>"FES1162596731"</f>
        <v>FES1162596731</v>
      </c>
      <c r="F2767" s="3">
        <v>43088</v>
      </c>
      <c r="G2767" s="2">
        <v>201806</v>
      </c>
      <c r="H2767" s="2" t="s">
        <v>74</v>
      </c>
      <c r="I2767" s="2" t="s">
        <v>75</v>
      </c>
      <c r="J2767" s="2" t="s">
        <v>97</v>
      </c>
      <c r="K2767" s="2" t="s">
        <v>77</v>
      </c>
      <c r="L2767" s="2" t="s">
        <v>136</v>
      </c>
      <c r="M2767" s="2" t="s">
        <v>137</v>
      </c>
      <c r="N2767" s="2" t="s">
        <v>259</v>
      </c>
      <c r="O2767" s="2" t="s">
        <v>101</v>
      </c>
      <c r="P2767" s="2" t="str">
        <f>"2170607262                    "</f>
        <v xml:space="preserve">2170607262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6.43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1</v>
      </c>
      <c r="BJ2767" s="2">
        <v>0.2</v>
      </c>
      <c r="BK2767" s="2">
        <v>1</v>
      </c>
      <c r="BL2767" s="2">
        <v>45.93</v>
      </c>
      <c r="BM2767" s="2">
        <v>6.43</v>
      </c>
      <c r="BN2767" s="2">
        <v>52.36</v>
      </c>
      <c r="BO2767" s="2">
        <v>52.36</v>
      </c>
      <c r="BQ2767" s="2" t="s">
        <v>102</v>
      </c>
      <c r="BR2767" s="2" t="s">
        <v>103</v>
      </c>
      <c r="BS2767" s="3">
        <v>43089</v>
      </c>
      <c r="BT2767" s="4">
        <v>0.35902777777777778</v>
      </c>
      <c r="BU2767" s="2" t="s">
        <v>2784</v>
      </c>
      <c r="BV2767" s="2" t="s">
        <v>85</v>
      </c>
      <c r="BY2767" s="2">
        <v>1200</v>
      </c>
      <c r="CA2767" s="2" t="s">
        <v>261</v>
      </c>
      <c r="CC2767" s="2" t="s">
        <v>137</v>
      </c>
      <c r="CD2767" s="2">
        <v>6001</v>
      </c>
      <c r="CE2767" s="2" t="s">
        <v>120</v>
      </c>
      <c r="CF2767" s="3">
        <v>43090</v>
      </c>
      <c r="CI2767" s="2">
        <v>1</v>
      </c>
      <c r="CJ2767" s="2">
        <v>1</v>
      </c>
      <c r="CK2767" s="2">
        <v>21</v>
      </c>
      <c r="CL2767" s="2" t="s">
        <v>89</v>
      </c>
    </row>
    <row r="2768" spans="1:90">
      <c r="A2768" s="2" t="s">
        <v>71</v>
      </c>
      <c r="B2768" s="2" t="s">
        <v>72</v>
      </c>
      <c r="C2768" s="2" t="s">
        <v>73</v>
      </c>
      <c r="E2768" s="2" t="str">
        <f>"FES1162596740"</f>
        <v>FES1162596740</v>
      </c>
      <c r="F2768" s="3">
        <v>43088</v>
      </c>
      <c r="G2768" s="2">
        <v>201806</v>
      </c>
      <c r="H2768" s="2" t="s">
        <v>74</v>
      </c>
      <c r="I2768" s="2" t="s">
        <v>75</v>
      </c>
      <c r="J2768" s="2" t="s">
        <v>97</v>
      </c>
      <c r="K2768" s="2" t="s">
        <v>77</v>
      </c>
      <c r="L2768" s="2" t="s">
        <v>136</v>
      </c>
      <c r="M2768" s="2" t="s">
        <v>137</v>
      </c>
      <c r="N2768" s="2" t="s">
        <v>138</v>
      </c>
      <c r="O2768" s="2" t="s">
        <v>101</v>
      </c>
      <c r="P2768" s="2" t="str">
        <f>"2170607530                    "</f>
        <v xml:space="preserve">2170607530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6.43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45.93</v>
      </c>
      <c r="BM2768" s="2">
        <v>6.43</v>
      </c>
      <c r="BN2768" s="2">
        <v>52.36</v>
      </c>
      <c r="BO2768" s="2">
        <v>52.36</v>
      </c>
      <c r="BQ2768" s="2" t="s">
        <v>82</v>
      </c>
      <c r="BR2768" s="2" t="s">
        <v>103</v>
      </c>
      <c r="BS2768" s="3">
        <v>43089</v>
      </c>
      <c r="BT2768" s="4">
        <v>0.41666666666666669</v>
      </c>
      <c r="BU2768" s="2" t="s">
        <v>139</v>
      </c>
      <c r="BV2768" s="2" t="s">
        <v>85</v>
      </c>
      <c r="BY2768" s="2">
        <v>1200</v>
      </c>
      <c r="CA2768" s="2" t="s">
        <v>140</v>
      </c>
      <c r="CC2768" s="2" t="s">
        <v>137</v>
      </c>
      <c r="CD2768" s="2">
        <v>6001</v>
      </c>
      <c r="CE2768" s="2" t="s">
        <v>120</v>
      </c>
      <c r="CF2768" s="3">
        <v>43090</v>
      </c>
      <c r="CI2768" s="2">
        <v>1</v>
      </c>
      <c r="CJ2768" s="2">
        <v>1</v>
      </c>
      <c r="CK2768" s="2">
        <v>21</v>
      </c>
      <c r="CL2768" s="2" t="s">
        <v>89</v>
      </c>
    </row>
    <row r="2769" spans="1:90">
      <c r="A2769" s="2" t="s">
        <v>71</v>
      </c>
      <c r="B2769" s="2" t="s">
        <v>72</v>
      </c>
      <c r="C2769" s="2" t="s">
        <v>73</v>
      </c>
      <c r="E2769" s="2" t="str">
        <f>"FES1162596754"</f>
        <v>FES1162596754</v>
      </c>
      <c r="F2769" s="3">
        <v>43088</v>
      </c>
      <c r="G2769" s="2">
        <v>201806</v>
      </c>
      <c r="H2769" s="2" t="s">
        <v>74</v>
      </c>
      <c r="I2769" s="2" t="s">
        <v>75</v>
      </c>
      <c r="J2769" s="2" t="s">
        <v>97</v>
      </c>
      <c r="K2769" s="2" t="s">
        <v>77</v>
      </c>
      <c r="L2769" s="2" t="s">
        <v>136</v>
      </c>
      <c r="M2769" s="2" t="s">
        <v>137</v>
      </c>
      <c r="N2769" s="2" t="s">
        <v>2799</v>
      </c>
      <c r="O2769" s="2" t="s">
        <v>101</v>
      </c>
      <c r="P2769" s="2" t="str">
        <f>"2170608192                    "</f>
        <v xml:space="preserve">2170608192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6.43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0.2</v>
      </c>
      <c r="BK2769" s="2">
        <v>1</v>
      </c>
      <c r="BL2769" s="2">
        <v>45.93</v>
      </c>
      <c r="BM2769" s="2">
        <v>6.43</v>
      </c>
      <c r="BN2769" s="2">
        <v>52.36</v>
      </c>
      <c r="BO2769" s="2">
        <v>52.36</v>
      </c>
      <c r="BR2769" s="2" t="s">
        <v>103</v>
      </c>
      <c r="BS2769" s="3">
        <v>43090</v>
      </c>
      <c r="BT2769" s="4">
        <v>0.41666666666666669</v>
      </c>
      <c r="BU2769" s="2" t="s">
        <v>2800</v>
      </c>
      <c r="BV2769" s="2" t="s">
        <v>89</v>
      </c>
      <c r="BW2769" s="2" t="s">
        <v>313</v>
      </c>
      <c r="BX2769" s="2" t="s">
        <v>314</v>
      </c>
      <c r="BY2769" s="2">
        <v>1200</v>
      </c>
      <c r="CC2769" s="2" t="s">
        <v>137</v>
      </c>
      <c r="CD2769" s="2">
        <v>6001</v>
      </c>
      <c r="CE2769" s="2" t="s">
        <v>120</v>
      </c>
      <c r="CF2769" s="3">
        <v>43096</v>
      </c>
      <c r="CI2769" s="2">
        <v>1</v>
      </c>
      <c r="CJ2769" s="2">
        <v>2</v>
      </c>
      <c r="CK2769" s="2">
        <v>21</v>
      </c>
      <c r="CL2769" s="2" t="s">
        <v>89</v>
      </c>
    </row>
    <row r="2770" spans="1:90">
      <c r="A2770" s="2" t="s">
        <v>71</v>
      </c>
      <c r="B2770" s="2" t="s">
        <v>72</v>
      </c>
      <c r="C2770" s="2" t="s">
        <v>73</v>
      </c>
      <c r="E2770" s="2" t="str">
        <f>"FES1162596720"</f>
        <v>FES1162596720</v>
      </c>
      <c r="F2770" s="3">
        <v>43088</v>
      </c>
      <c r="G2770" s="2">
        <v>201806</v>
      </c>
      <c r="H2770" s="2" t="s">
        <v>74</v>
      </c>
      <c r="I2770" s="2" t="s">
        <v>75</v>
      </c>
      <c r="J2770" s="2" t="s">
        <v>97</v>
      </c>
      <c r="K2770" s="2" t="s">
        <v>77</v>
      </c>
      <c r="L2770" s="2" t="s">
        <v>136</v>
      </c>
      <c r="M2770" s="2" t="s">
        <v>137</v>
      </c>
      <c r="N2770" s="2" t="s">
        <v>333</v>
      </c>
      <c r="O2770" s="2" t="s">
        <v>101</v>
      </c>
      <c r="P2770" s="2" t="str">
        <f>"217060737                     "</f>
        <v xml:space="preserve">217060737 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6.43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</v>
      </c>
      <c r="BJ2770" s="2">
        <v>0.2</v>
      </c>
      <c r="BK2770" s="2">
        <v>1</v>
      </c>
      <c r="BL2770" s="2">
        <v>45.93</v>
      </c>
      <c r="BM2770" s="2">
        <v>6.43</v>
      </c>
      <c r="BN2770" s="2">
        <v>52.36</v>
      </c>
      <c r="BO2770" s="2">
        <v>52.36</v>
      </c>
      <c r="BQ2770" s="2" t="s">
        <v>334</v>
      </c>
      <c r="BR2770" s="2" t="s">
        <v>103</v>
      </c>
      <c r="BS2770" s="3">
        <v>43089</v>
      </c>
      <c r="BT2770" s="4">
        <v>0.30833333333333335</v>
      </c>
      <c r="BU2770" s="2" t="s">
        <v>2801</v>
      </c>
      <c r="BV2770" s="2" t="s">
        <v>85</v>
      </c>
      <c r="BY2770" s="2">
        <v>1200</v>
      </c>
      <c r="CA2770" s="2" t="s">
        <v>140</v>
      </c>
      <c r="CC2770" s="2" t="s">
        <v>137</v>
      </c>
      <c r="CD2770" s="2">
        <v>6012</v>
      </c>
      <c r="CE2770" s="2" t="s">
        <v>120</v>
      </c>
      <c r="CF2770" s="3">
        <v>43089</v>
      </c>
      <c r="CI2770" s="2">
        <v>1</v>
      </c>
      <c r="CJ2770" s="2">
        <v>1</v>
      </c>
      <c r="CK2770" s="2">
        <v>21</v>
      </c>
      <c r="CL2770" s="2" t="s">
        <v>89</v>
      </c>
    </row>
    <row r="2771" spans="1:90">
      <c r="A2771" s="2" t="s">
        <v>71</v>
      </c>
      <c r="B2771" s="2" t="s">
        <v>72</v>
      </c>
      <c r="C2771" s="2" t="s">
        <v>73</v>
      </c>
      <c r="E2771" s="2" t="str">
        <f>"FES1162596639"</f>
        <v>FES1162596639</v>
      </c>
      <c r="F2771" s="3">
        <v>43088</v>
      </c>
      <c r="G2771" s="2">
        <v>201806</v>
      </c>
      <c r="H2771" s="2" t="s">
        <v>74</v>
      </c>
      <c r="I2771" s="2" t="s">
        <v>75</v>
      </c>
      <c r="J2771" s="2" t="s">
        <v>97</v>
      </c>
      <c r="K2771" s="2" t="s">
        <v>77</v>
      </c>
      <c r="L2771" s="2" t="s">
        <v>74</v>
      </c>
      <c r="M2771" s="2" t="s">
        <v>75</v>
      </c>
      <c r="N2771" s="2" t="s">
        <v>2414</v>
      </c>
      <c r="O2771" s="2" t="s">
        <v>101</v>
      </c>
      <c r="P2771" s="2" t="str">
        <f>"2170607792                    "</f>
        <v xml:space="preserve">2170607792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5.03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1</v>
      </c>
      <c r="BJ2771" s="2">
        <v>0.2</v>
      </c>
      <c r="BK2771" s="2">
        <v>1</v>
      </c>
      <c r="BL2771" s="2">
        <v>35.89</v>
      </c>
      <c r="BM2771" s="2">
        <v>5.0199999999999996</v>
      </c>
      <c r="BN2771" s="2">
        <v>40.909999999999997</v>
      </c>
      <c r="BO2771" s="2">
        <v>40.909999999999997</v>
      </c>
      <c r="BQ2771" s="2" t="s">
        <v>102</v>
      </c>
      <c r="BR2771" s="2" t="s">
        <v>103</v>
      </c>
      <c r="BS2771" s="3">
        <v>43089</v>
      </c>
      <c r="BT2771" s="4">
        <v>0.41666666666666669</v>
      </c>
      <c r="BU2771" s="2" t="s">
        <v>1136</v>
      </c>
      <c r="BV2771" s="2" t="s">
        <v>85</v>
      </c>
      <c r="BY2771" s="2">
        <v>1200</v>
      </c>
      <c r="CA2771" s="2" t="s">
        <v>203</v>
      </c>
      <c r="CC2771" s="2" t="s">
        <v>75</v>
      </c>
      <c r="CD2771" s="2">
        <v>1665</v>
      </c>
      <c r="CE2771" s="2" t="s">
        <v>120</v>
      </c>
      <c r="CF2771" s="3">
        <v>43090</v>
      </c>
      <c r="CI2771" s="2">
        <v>1</v>
      </c>
      <c r="CJ2771" s="2">
        <v>1</v>
      </c>
      <c r="CK2771" s="2">
        <v>22</v>
      </c>
      <c r="CL2771" s="2" t="s">
        <v>89</v>
      </c>
    </row>
    <row r="2772" spans="1:90">
      <c r="A2772" s="2" t="s">
        <v>71</v>
      </c>
      <c r="B2772" s="2" t="s">
        <v>72</v>
      </c>
      <c r="C2772" s="2" t="s">
        <v>73</v>
      </c>
      <c r="E2772" s="2" t="str">
        <f>"FES1162596578"</f>
        <v>FES1162596578</v>
      </c>
      <c r="F2772" s="3">
        <v>43088</v>
      </c>
      <c r="G2772" s="2">
        <v>201806</v>
      </c>
      <c r="H2772" s="2" t="s">
        <v>74</v>
      </c>
      <c r="I2772" s="2" t="s">
        <v>75</v>
      </c>
      <c r="J2772" s="2" t="s">
        <v>97</v>
      </c>
      <c r="K2772" s="2" t="s">
        <v>77</v>
      </c>
      <c r="L2772" s="2" t="s">
        <v>238</v>
      </c>
      <c r="M2772" s="2" t="s">
        <v>239</v>
      </c>
      <c r="N2772" s="2" t="s">
        <v>2802</v>
      </c>
      <c r="O2772" s="2" t="s">
        <v>101</v>
      </c>
      <c r="P2772" s="2" t="str">
        <f>"2170600840                    "</f>
        <v xml:space="preserve">2170600840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9.0500000000000007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1</v>
      </c>
      <c r="BJ2772" s="2">
        <v>0.2</v>
      </c>
      <c r="BK2772" s="2">
        <v>1</v>
      </c>
      <c r="BL2772" s="2">
        <v>64.599999999999994</v>
      </c>
      <c r="BM2772" s="2">
        <v>9.0399999999999991</v>
      </c>
      <c r="BN2772" s="2">
        <v>73.64</v>
      </c>
      <c r="BO2772" s="2">
        <v>73.64</v>
      </c>
      <c r="BQ2772" s="2" t="s">
        <v>102</v>
      </c>
      <c r="BR2772" s="2" t="s">
        <v>103</v>
      </c>
      <c r="BS2772" s="3">
        <v>43089</v>
      </c>
      <c r="BT2772" s="4">
        <v>0.40625</v>
      </c>
      <c r="BU2772" s="2" t="s">
        <v>2803</v>
      </c>
      <c r="BV2772" s="2" t="s">
        <v>85</v>
      </c>
      <c r="BY2772" s="2">
        <v>1200</v>
      </c>
      <c r="CA2772" s="2" t="s">
        <v>1339</v>
      </c>
      <c r="CC2772" s="2" t="s">
        <v>239</v>
      </c>
      <c r="CD2772" s="2">
        <v>324</v>
      </c>
      <c r="CE2772" s="2" t="s">
        <v>120</v>
      </c>
      <c r="CF2772" s="3">
        <v>43091</v>
      </c>
      <c r="CI2772" s="2">
        <v>1</v>
      </c>
      <c r="CJ2772" s="2">
        <v>1</v>
      </c>
      <c r="CK2772" s="2">
        <v>24</v>
      </c>
      <c r="CL2772" s="2" t="s">
        <v>89</v>
      </c>
    </row>
    <row r="2773" spans="1:90">
      <c r="A2773" s="2" t="s">
        <v>71</v>
      </c>
      <c r="B2773" s="2" t="s">
        <v>72</v>
      </c>
      <c r="C2773" s="2" t="s">
        <v>73</v>
      </c>
      <c r="E2773" s="2" t="str">
        <f>"FES1162596590"</f>
        <v>FES1162596590</v>
      </c>
      <c r="F2773" s="3">
        <v>43088</v>
      </c>
      <c r="G2773" s="2">
        <v>201806</v>
      </c>
      <c r="H2773" s="2" t="s">
        <v>74</v>
      </c>
      <c r="I2773" s="2" t="s">
        <v>75</v>
      </c>
      <c r="J2773" s="2" t="s">
        <v>97</v>
      </c>
      <c r="K2773" s="2" t="s">
        <v>77</v>
      </c>
      <c r="L2773" s="2" t="s">
        <v>74</v>
      </c>
      <c r="M2773" s="2" t="s">
        <v>75</v>
      </c>
      <c r="N2773" s="2" t="s">
        <v>582</v>
      </c>
      <c r="O2773" s="2" t="s">
        <v>101</v>
      </c>
      <c r="P2773" s="2" t="str">
        <f>"2170605626                    "</f>
        <v xml:space="preserve">2170605626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5.03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1</v>
      </c>
      <c r="BJ2773" s="2">
        <v>0.2</v>
      </c>
      <c r="BK2773" s="2">
        <v>1</v>
      </c>
      <c r="BL2773" s="2">
        <v>35.89</v>
      </c>
      <c r="BM2773" s="2">
        <v>5.0199999999999996</v>
      </c>
      <c r="BN2773" s="2">
        <v>40.909999999999997</v>
      </c>
      <c r="BO2773" s="2">
        <v>40.909999999999997</v>
      </c>
      <c r="BR2773" s="2" t="s">
        <v>103</v>
      </c>
      <c r="BS2773" s="3">
        <v>43089</v>
      </c>
      <c r="BT2773" s="4">
        <v>0.41666666666666669</v>
      </c>
      <c r="BU2773" s="2" t="s">
        <v>583</v>
      </c>
      <c r="BV2773" s="2" t="s">
        <v>85</v>
      </c>
      <c r="BY2773" s="2">
        <v>1200</v>
      </c>
      <c r="CA2773" s="2" t="s">
        <v>203</v>
      </c>
      <c r="CC2773" s="2" t="s">
        <v>75</v>
      </c>
      <c r="CD2773" s="2">
        <v>1666</v>
      </c>
      <c r="CE2773" s="2" t="s">
        <v>120</v>
      </c>
      <c r="CF2773" s="3">
        <v>43090</v>
      </c>
      <c r="CI2773" s="2">
        <v>1</v>
      </c>
      <c r="CJ2773" s="2">
        <v>1</v>
      </c>
      <c r="CK2773" s="2">
        <v>22</v>
      </c>
      <c r="CL2773" s="2" t="s">
        <v>89</v>
      </c>
    </row>
    <row r="2774" spans="1:90">
      <c r="A2774" s="2" t="s">
        <v>71</v>
      </c>
      <c r="B2774" s="2" t="s">
        <v>72</v>
      </c>
      <c r="C2774" s="2" t="s">
        <v>73</v>
      </c>
      <c r="E2774" s="2" t="str">
        <f>"FES1162596752"</f>
        <v>FES1162596752</v>
      </c>
      <c r="F2774" s="3">
        <v>43088</v>
      </c>
      <c r="G2774" s="2">
        <v>201806</v>
      </c>
      <c r="H2774" s="2" t="s">
        <v>74</v>
      </c>
      <c r="I2774" s="2" t="s">
        <v>75</v>
      </c>
      <c r="J2774" s="2" t="s">
        <v>97</v>
      </c>
      <c r="K2774" s="2" t="s">
        <v>77</v>
      </c>
      <c r="L2774" s="2" t="s">
        <v>106</v>
      </c>
      <c r="M2774" s="2" t="s">
        <v>107</v>
      </c>
      <c r="N2774" s="2" t="s">
        <v>2804</v>
      </c>
      <c r="O2774" s="2" t="s">
        <v>101</v>
      </c>
      <c r="P2774" s="2" t="str">
        <f>"21706080181                   "</f>
        <v xml:space="preserve">21706080181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5.03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1</v>
      </c>
      <c r="BJ2774" s="2">
        <v>0.2</v>
      </c>
      <c r="BK2774" s="2">
        <v>1</v>
      </c>
      <c r="BL2774" s="2">
        <v>35.89</v>
      </c>
      <c r="BM2774" s="2">
        <v>5.0199999999999996</v>
      </c>
      <c r="BN2774" s="2">
        <v>40.909999999999997</v>
      </c>
      <c r="BO2774" s="2">
        <v>40.909999999999997</v>
      </c>
      <c r="BQ2774" s="2" t="s">
        <v>2805</v>
      </c>
      <c r="BR2774" s="2" t="s">
        <v>103</v>
      </c>
      <c r="BS2774" s="3">
        <v>43089</v>
      </c>
      <c r="BT2774" s="4">
        <v>0.41666666666666669</v>
      </c>
      <c r="BU2774" s="2" t="s">
        <v>205</v>
      </c>
      <c r="BV2774" s="2" t="s">
        <v>85</v>
      </c>
      <c r="BY2774" s="2">
        <v>1200</v>
      </c>
      <c r="CC2774" s="2" t="s">
        <v>107</v>
      </c>
      <c r="CD2774" s="2">
        <v>2091</v>
      </c>
      <c r="CE2774" s="2" t="s">
        <v>120</v>
      </c>
      <c r="CF2774" s="3">
        <v>43090</v>
      </c>
      <c r="CI2774" s="2">
        <v>1</v>
      </c>
      <c r="CJ2774" s="2">
        <v>1</v>
      </c>
      <c r="CK2774" s="2">
        <v>22</v>
      </c>
      <c r="CL2774" s="2" t="s">
        <v>89</v>
      </c>
    </row>
    <row r="2775" spans="1:90">
      <c r="A2775" s="2" t="s">
        <v>71</v>
      </c>
      <c r="B2775" s="2" t="s">
        <v>72</v>
      </c>
      <c r="C2775" s="2" t="s">
        <v>73</v>
      </c>
      <c r="E2775" s="2" t="str">
        <f>"FES1162596648"</f>
        <v>FES1162596648</v>
      </c>
      <c r="F2775" s="3">
        <v>43088</v>
      </c>
      <c r="G2775" s="2">
        <v>201806</v>
      </c>
      <c r="H2775" s="2" t="s">
        <v>74</v>
      </c>
      <c r="I2775" s="2" t="s">
        <v>75</v>
      </c>
      <c r="J2775" s="2" t="s">
        <v>97</v>
      </c>
      <c r="K2775" s="2" t="s">
        <v>77</v>
      </c>
      <c r="L2775" s="2" t="s">
        <v>158</v>
      </c>
      <c r="M2775" s="2" t="s">
        <v>159</v>
      </c>
      <c r="N2775" s="2" t="s">
        <v>1874</v>
      </c>
      <c r="O2775" s="2" t="s">
        <v>101</v>
      </c>
      <c r="P2775" s="2" t="str">
        <f>"2170608311                    "</f>
        <v xml:space="preserve">2170608311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6.43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1</v>
      </c>
      <c r="BJ2775" s="2">
        <v>0.2</v>
      </c>
      <c r="BK2775" s="2">
        <v>1</v>
      </c>
      <c r="BL2775" s="2">
        <v>45.93</v>
      </c>
      <c r="BM2775" s="2">
        <v>6.43</v>
      </c>
      <c r="BN2775" s="2">
        <v>52.36</v>
      </c>
      <c r="BO2775" s="2">
        <v>52.36</v>
      </c>
      <c r="BR2775" s="2" t="s">
        <v>103</v>
      </c>
      <c r="BS2775" s="3">
        <v>43089</v>
      </c>
      <c r="BT2775" s="4">
        <v>0.40625</v>
      </c>
      <c r="BU2775" s="2" t="s">
        <v>250</v>
      </c>
      <c r="BV2775" s="2" t="s">
        <v>85</v>
      </c>
      <c r="BY2775" s="2">
        <v>1200</v>
      </c>
      <c r="CA2775" s="2" t="s">
        <v>678</v>
      </c>
      <c r="CC2775" s="2" t="s">
        <v>159</v>
      </c>
      <c r="CD2775" s="2">
        <v>184</v>
      </c>
      <c r="CE2775" s="2" t="s">
        <v>120</v>
      </c>
      <c r="CF2775" s="3">
        <v>43089</v>
      </c>
      <c r="CI2775" s="2">
        <v>1</v>
      </c>
      <c r="CJ2775" s="2">
        <v>1</v>
      </c>
      <c r="CK2775" s="2">
        <v>21</v>
      </c>
      <c r="CL2775" s="2" t="s">
        <v>89</v>
      </c>
    </row>
    <row r="2776" spans="1:90">
      <c r="A2776" s="2" t="s">
        <v>71</v>
      </c>
      <c r="B2776" s="2" t="s">
        <v>72</v>
      </c>
      <c r="C2776" s="2" t="s">
        <v>73</v>
      </c>
      <c r="E2776" s="2" t="str">
        <f>"FES1162596555"</f>
        <v>FES1162596555</v>
      </c>
      <c r="F2776" s="3">
        <v>43088</v>
      </c>
      <c r="G2776" s="2">
        <v>201806</v>
      </c>
      <c r="H2776" s="2" t="s">
        <v>74</v>
      </c>
      <c r="I2776" s="2" t="s">
        <v>75</v>
      </c>
      <c r="J2776" s="2" t="s">
        <v>97</v>
      </c>
      <c r="K2776" s="2" t="s">
        <v>77</v>
      </c>
      <c r="L2776" s="2" t="s">
        <v>74</v>
      </c>
      <c r="M2776" s="2" t="s">
        <v>75</v>
      </c>
      <c r="N2776" s="2" t="s">
        <v>503</v>
      </c>
      <c r="O2776" s="2" t="s">
        <v>101</v>
      </c>
      <c r="P2776" s="2" t="str">
        <f>"2170606242                    "</f>
        <v xml:space="preserve">2170606242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5.03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1.8</v>
      </c>
      <c r="BJ2776" s="2">
        <v>7.4</v>
      </c>
      <c r="BK2776" s="2">
        <v>8</v>
      </c>
      <c r="BL2776" s="2">
        <v>35.89</v>
      </c>
      <c r="BM2776" s="2">
        <v>5.0199999999999996</v>
      </c>
      <c r="BN2776" s="2">
        <v>40.909999999999997</v>
      </c>
      <c r="BO2776" s="2">
        <v>40.909999999999997</v>
      </c>
      <c r="BQ2776" s="2" t="s">
        <v>128</v>
      </c>
      <c r="BR2776" s="2" t="s">
        <v>103</v>
      </c>
      <c r="BS2776" s="3">
        <v>43089</v>
      </c>
      <c r="BT2776" s="4">
        <v>0.41666666666666669</v>
      </c>
      <c r="BU2776" s="2" t="s">
        <v>2806</v>
      </c>
      <c r="BV2776" s="2" t="s">
        <v>85</v>
      </c>
      <c r="BY2776" s="2">
        <v>36959.33</v>
      </c>
      <c r="CA2776" s="2" t="s">
        <v>203</v>
      </c>
      <c r="CC2776" s="2" t="s">
        <v>75</v>
      </c>
      <c r="CD2776" s="2">
        <v>1665</v>
      </c>
      <c r="CE2776" s="2" t="s">
        <v>87</v>
      </c>
      <c r="CF2776" s="3">
        <v>43090</v>
      </c>
      <c r="CI2776" s="2">
        <v>1</v>
      </c>
      <c r="CJ2776" s="2">
        <v>1</v>
      </c>
      <c r="CK2776" s="2">
        <v>22</v>
      </c>
      <c r="CL2776" s="2" t="s">
        <v>89</v>
      </c>
    </row>
    <row r="2777" spans="1:90">
      <c r="A2777" s="2" t="s">
        <v>71</v>
      </c>
      <c r="B2777" s="2" t="s">
        <v>72</v>
      </c>
      <c r="C2777" s="2" t="s">
        <v>73</v>
      </c>
      <c r="E2777" s="2" t="str">
        <f>"FES1162596663"</f>
        <v>FES1162596663</v>
      </c>
      <c r="F2777" s="3">
        <v>43088</v>
      </c>
      <c r="G2777" s="2">
        <v>201806</v>
      </c>
      <c r="H2777" s="2" t="s">
        <v>74</v>
      </c>
      <c r="I2777" s="2" t="s">
        <v>75</v>
      </c>
      <c r="J2777" s="2" t="s">
        <v>97</v>
      </c>
      <c r="K2777" s="2" t="s">
        <v>77</v>
      </c>
      <c r="L2777" s="2" t="s">
        <v>106</v>
      </c>
      <c r="M2777" s="2" t="s">
        <v>107</v>
      </c>
      <c r="N2777" s="2" t="s">
        <v>108</v>
      </c>
      <c r="O2777" s="2" t="s">
        <v>101</v>
      </c>
      <c r="P2777" s="2" t="str">
        <f>"2170608074                    "</f>
        <v xml:space="preserve">2170608074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5.03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6</v>
      </c>
      <c r="BJ2777" s="2">
        <v>3.3</v>
      </c>
      <c r="BK2777" s="2">
        <v>6</v>
      </c>
      <c r="BL2777" s="2">
        <v>35.89</v>
      </c>
      <c r="BM2777" s="2">
        <v>5.0199999999999996</v>
      </c>
      <c r="BN2777" s="2">
        <v>40.909999999999997</v>
      </c>
      <c r="BO2777" s="2">
        <v>40.909999999999997</v>
      </c>
      <c r="BQ2777" s="2" t="s">
        <v>82</v>
      </c>
      <c r="BR2777" s="2" t="s">
        <v>103</v>
      </c>
      <c r="BS2777" s="3">
        <v>43089</v>
      </c>
      <c r="BT2777" s="4">
        <v>0.40277777777777773</v>
      </c>
      <c r="BU2777" s="2" t="s">
        <v>1227</v>
      </c>
      <c r="BV2777" s="2" t="s">
        <v>85</v>
      </c>
      <c r="BY2777" s="2">
        <v>16560</v>
      </c>
      <c r="CA2777" s="2" t="s">
        <v>110</v>
      </c>
      <c r="CC2777" s="2" t="s">
        <v>107</v>
      </c>
      <c r="CD2777" s="2">
        <v>2094</v>
      </c>
      <c r="CE2777" s="2" t="s">
        <v>87</v>
      </c>
      <c r="CF2777" s="3">
        <v>43090</v>
      </c>
      <c r="CI2777" s="2">
        <v>1</v>
      </c>
      <c r="CJ2777" s="2">
        <v>1</v>
      </c>
      <c r="CK2777" s="2">
        <v>22</v>
      </c>
      <c r="CL2777" s="2" t="s">
        <v>89</v>
      </c>
    </row>
    <row r="2778" spans="1:90">
      <c r="A2778" s="2" t="s">
        <v>71</v>
      </c>
      <c r="B2778" s="2" t="s">
        <v>72</v>
      </c>
      <c r="C2778" s="2" t="s">
        <v>73</v>
      </c>
      <c r="E2778" s="2" t="str">
        <f>"FES1162596753"</f>
        <v>FES1162596753</v>
      </c>
      <c r="F2778" s="3">
        <v>43088</v>
      </c>
      <c r="G2778" s="2">
        <v>201806</v>
      </c>
      <c r="H2778" s="2" t="s">
        <v>74</v>
      </c>
      <c r="I2778" s="2" t="s">
        <v>75</v>
      </c>
      <c r="J2778" s="2" t="s">
        <v>97</v>
      </c>
      <c r="K2778" s="2" t="s">
        <v>77</v>
      </c>
      <c r="L2778" s="2" t="s">
        <v>759</v>
      </c>
      <c r="M2778" s="2" t="s">
        <v>760</v>
      </c>
      <c r="N2778" s="2" t="s">
        <v>804</v>
      </c>
      <c r="O2778" s="2" t="s">
        <v>101</v>
      </c>
      <c r="P2778" s="2" t="str">
        <f>"2170608033                    "</f>
        <v xml:space="preserve">2170608033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6.43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1</v>
      </c>
      <c r="BJ2778" s="2">
        <v>0.2</v>
      </c>
      <c r="BK2778" s="2">
        <v>1</v>
      </c>
      <c r="BL2778" s="2">
        <v>45.93</v>
      </c>
      <c r="BM2778" s="2">
        <v>6.43</v>
      </c>
      <c r="BN2778" s="2">
        <v>52.36</v>
      </c>
      <c r="BO2778" s="2">
        <v>52.36</v>
      </c>
      <c r="BQ2778" s="2" t="s">
        <v>805</v>
      </c>
      <c r="BR2778" s="2" t="s">
        <v>103</v>
      </c>
      <c r="BS2778" s="3">
        <v>43089</v>
      </c>
      <c r="BT2778" s="4">
        <v>0.37638888888888888</v>
      </c>
      <c r="BU2778" s="2" t="s">
        <v>2576</v>
      </c>
      <c r="BV2778" s="2" t="s">
        <v>85</v>
      </c>
      <c r="BY2778" s="2">
        <v>1200</v>
      </c>
      <c r="CA2778" s="2" t="s">
        <v>578</v>
      </c>
      <c r="CC2778" s="2" t="s">
        <v>760</v>
      </c>
      <c r="CD2778" s="2">
        <v>4026</v>
      </c>
      <c r="CE2778" s="2" t="s">
        <v>120</v>
      </c>
      <c r="CF2778" s="3">
        <v>43090</v>
      </c>
      <c r="CI2778" s="2">
        <v>1</v>
      </c>
      <c r="CJ2778" s="2">
        <v>1</v>
      </c>
      <c r="CK2778" s="2">
        <v>21</v>
      </c>
      <c r="CL2778" s="2" t="s">
        <v>89</v>
      </c>
    </row>
    <row r="2779" spans="1:90">
      <c r="A2779" s="2" t="s">
        <v>71</v>
      </c>
      <c r="B2779" s="2" t="s">
        <v>72</v>
      </c>
      <c r="C2779" s="2" t="s">
        <v>73</v>
      </c>
      <c r="E2779" s="2" t="str">
        <f>"Rfes1162596499"</f>
        <v>Rfes1162596499</v>
      </c>
      <c r="F2779" s="3">
        <v>43088</v>
      </c>
      <c r="G2779" s="2">
        <v>201806</v>
      </c>
      <c r="H2779" s="2" t="s">
        <v>1252</v>
      </c>
      <c r="I2779" s="2" t="s">
        <v>1253</v>
      </c>
      <c r="J2779" s="2" t="s">
        <v>2692</v>
      </c>
      <c r="K2779" s="2" t="s">
        <v>77</v>
      </c>
      <c r="L2779" s="2" t="s">
        <v>74</v>
      </c>
      <c r="M2779" s="2" t="s">
        <v>75</v>
      </c>
      <c r="N2779" s="2" t="s">
        <v>97</v>
      </c>
      <c r="O2779" s="2" t="s">
        <v>101</v>
      </c>
      <c r="P2779" s="2" t="str">
        <f>"21706065900                   "</f>
        <v xml:space="preserve">21706065900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6.43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45.93</v>
      </c>
      <c r="BM2779" s="2">
        <v>6.43</v>
      </c>
      <c r="BN2779" s="2">
        <v>52.36</v>
      </c>
      <c r="BO2779" s="2">
        <v>52.36</v>
      </c>
      <c r="BQ2779" s="2" t="s">
        <v>103</v>
      </c>
      <c r="BR2779" s="2" t="s">
        <v>128</v>
      </c>
      <c r="BS2779" s="3">
        <v>43089</v>
      </c>
      <c r="BT2779" s="4">
        <v>0.34027777777777773</v>
      </c>
      <c r="BU2779" s="2" t="s">
        <v>1686</v>
      </c>
      <c r="BV2779" s="2" t="s">
        <v>85</v>
      </c>
      <c r="BY2779" s="2">
        <v>1200</v>
      </c>
      <c r="CA2779" s="2" t="s">
        <v>366</v>
      </c>
      <c r="CC2779" s="2" t="s">
        <v>75</v>
      </c>
      <c r="CD2779" s="2">
        <v>1600</v>
      </c>
      <c r="CE2779" s="2" t="s">
        <v>120</v>
      </c>
      <c r="CF2779" s="3">
        <v>43089</v>
      </c>
      <c r="CI2779" s="2">
        <v>1</v>
      </c>
      <c r="CJ2779" s="2">
        <v>1</v>
      </c>
      <c r="CK2779" s="2">
        <v>21</v>
      </c>
      <c r="CL2779" s="2" t="s">
        <v>89</v>
      </c>
    </row>
    <row r="2780" spans="1:90">
      <c r="A2780" s="2" t="s">
        <v>71</v>
      </c>
      <c r="B2780" s="2" t="s">
        <v>72</v>
      </c>
      <c r="C2780" s="2" t="s">
        <v>73</v>
      </c>
      <c r="E2780" s="2" t="str">
        <f>"FES1162596836"</f>
        <v>FES1162596836</v>
      </c>
      <c r="F2780" s="3">
        <v>43088</v>
      </c>
      <c r="G2780" s="2">
        <v>201806</v>
      </c>
      <c r="H2780" s="2" t="s">
        <v>74</v>
      </c>
      <c r="I2780" s="2" t="s">
        <v>75</v>
      </c>
      <c r="J2780" s="2" t="s">
        <v>97</v>
      </c>
      <c r="K2780" s="2" t="s">
        <v>77</v>
      </c>
      <c r="L2780" s="2" t="s">
        <v>74</v>
      </c>
      <c r="M2780" s="2" t="s">
        <v>75</v>
      </c>
      <c r="N2780" s="2" t="s">
        <v>1094</v>
      </c>
      <c r="O2780" s="2" t="s">
        <v>101</v>
      </c>
      <c r="P2780" s="2" t="str">
        <f>"2170605325                    "</f>
        <v xml:space="preserve">2170605325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5.03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</v>
      </c>
      <c r="BJ2780" s="2">
        <v>0.2</v>
      </c>
      <c r="BK2780" s="2">
        <v>1</v>
      </c>
      <c r="BL2780" s="2">
        <v>35.89</v>
      </c>
      <c r="BM2780" s="2">
        <v>5.0199999999999996</v>
      </c>
      <c r="BN2780" s="2">
        <v>40.909999999999997</v>
      </c>
      <c r="BO2780" s="2">
        <v>40.909999999999997</v>
      </c>
      <c r="BQ2780" s="2" t="s">
        <v>1247</v>
      </c>
      <c r="BR2780" s="2" t="s">
        <v>103</v>
      </c>
      <c r="BS2780" s="3">
        <v>43089</v>
      </c>
      <c r="BT2780" s="4">
        <v>0.41666666666666669</v>
      </c>
      <c r="BU2780" s="2" t="s">
        <v>1569</v>
      </c>
      <c r="BV2780" s="2" t="s">
        <v>85</v>
      </c>
      <c r="BY2780" s="2">
        <v>1200</v>
      </c>
      <c r="CA2780" s="2" t="s">
        <v>203</v>
      </c>
      <c r="CC2780" s="2" t="s">
        <v>75</v>
      </c>
      <c r="CD2780" s="2">
        <v>1666</v>
      </c>
      <c r="CE2780" s="2" t="s">
        <v>120</v>
      </c>
      <c r="CF2780" s="3">
        <v>43090</v>
      </c>
      <c r="CI2780" s="2">
        <v>1</v>
      </c>
      <c r="CJ2780" s="2">
        <v>1</v>
      </c>
      <c r="CK2780" s="2">
        <v>22</v>
      </c>
      <c r="CL2780" s="2" t="s">
        <v>89</v>
      </c>
    </row>
    <row r="2781" spans="1:90">
      <c r="A2781" s="2" t="s">
        <v>71</v>
      </c>
      <c r="B2781" s="2" t="s">
        <v>72</v>
      </c>
      <c r="C2781" s="2" t="s">
        <v>73</v>
      </c>
      <c r="E2781" s="2" t="str">
        <f>"FES1162596963"</f>
        <v>FES1162596963</v>
      </c>
      <c r="F2781" s="3">
        <v>43088</v>
      </c>
      <c r="G2781" s="2">
        <v>201806</v>
      </c>
      <c r="H2781" s="2" t="s">
        <v>74</v>
      </c>
      <c r="I2781" s="2" t="s">
        <v>75</v>
      </c>
      <c r="J2781" s="2" t="s">
        <v>97</v>
      </c>
      <c r="K2781" s="2" t="s">
        <v>77</v>
      </c>
      <c r="L2781" s="2" t="s">
        <v>262</v>
      </c>
      <c r="M2781" s="2" t="s">
        <v>263</v>
      </c>
      <c r="N2781" s="2" t="s">
        <v>809</v>
      </c>
      <c r="O2781" s="2" t="s">
        <v>101</v>
      </c>
      <c r="P2781" s="2" t="str">
        <f>"2170603607                    "</f>
        <v xml:space="preserve">2170603607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6.43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1.3</v>
      </c>
      <c r="BJ2781" s="2">
        <v>1.2</v>
      </c>
      <c r="BK2781" s="2">
        <v>1.5</v>
      </c>
      <c r="BL2781" s="2">
        <v>45.93</v>
      </c>
      <c r="BM2781" s="2">
        <v>6.43</v>
      </c>
      <c r="BN2781" s="2">
        <v>52.36</v>
      </c>
      <c r="BO2781" s="2">
        <v>52.36</v>
      </c>
      <c r="BQ2781" s="2" t="s">
        <v>102</v>
      </c>
      <c r="BR2781" s="2" t="s">
        <v>103</v>
      </c>
      <c r="BS2781" s="3">
        <v>43088</v>
      </c>
      <c r="BT2781" s="4">
        <v>0.33333333333333331</v>
      </c>
      <c r="BU2781" s="2" t="s">
        <v>2807</v>
      </c>
      <c r="BV2781" s="2" t="s">
        <v>85</v>
      </c>
      <c r="BY2781" s="2">
        <v>5968.37</v>
      </c>
      <c r="CA2781" s="2" t="s">
        <v>293</v>
      </c>
      <c r="CC2781" s="2" t="s">
        <v>263</v>
      </c>
      <c r="CD2781" s="2">
        <v>6229</v>
      </c>
      <c r="CE2781" s="2" t="s">
        <v>95</v>
      </c>
      <c r="CF2781" s="3">
        <v>43090</v>
      </c>
      <c r="CI2781" s="2">
        <v>1</v>
      </c>
      <c r="CJ2781" s="2">
        <v>0</v>
      </c>
      <c r="CK2781" s="2">
        <v>21</v>
      </c>
      <c r="CL2781" s="2" t="s">
        <v>89</v>
      </c>
    </row>
    <row r="2782" spans="1:90">
      <c r="A2782" s="2" t="s">
        <v>71</v>
      </c>
      <c r="B2782" s="2" t="s">
        <v>72</v>
      </c>
      <c r="C2782" s="2" t="s">
        <v>73</v>
      </c>
      <c r="E2782" s="2" t="str">
        <f>"FES1162596966"</f>
        <v>FES1162596966</v>
      </c>
      <c r="F2782" s="3">
        <v>43088</v>
      </c>
      <c r="G2782" s="2">
        <v>201806</v>
      </c>
      <c r="H2782" s="2" t="s">
        <v>74</v>
      </c>
      <c r="I2782" s="2" t="s">
        <v>75</v>
      </c>
      <c r="J2782" s="2" t="s">
        <v>97</v>
      </c>
      <c r="K2782" s="2" t="s">
        <v>77</v>
      </c>
      <c r="L2782" s="2" t="s">
        <v>168</v>
      </c>
      <c r="M2782" s="2" t="s">
        <v>169</v>
      </c>
      <c r="N2782" s="2" t="s">
        <v>170</v>
      </c>
      <c r="O2782" s="2" t="s">
        <v>101</v>
      </c>
      <c r="P2782" s="2" t="str">
        <f>"21706063739                   "</f>
        <v xml:space="preserve">21706063739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8.0399999999999991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2.4</v>
      </c>
      <c r="BJ2782" s="2">
        <v>1.3</v>
      </c>
      <c r="BK2782" s="2">
        <v>2.5</v>
      </c>
      <c r="BL2782" s="2">
        <v>57.41</v>
      </c>
      <c r="BM2782" s="2">
        <v>8.0399999999999991</v>
      </c>
      <c r="BN2782" s="2">
        <v>65.45</v>
      </c>
      <c r="BO2782" s="2">
        <v>65.45</v>
      </c>
      <c r="BQ2782" s="2" t="s">
        <v>128</v>
      </c>
      <c r="BR2782" s="2" t="s">
        <v>103</v>
      </c>
      <c r="BS2782" s="3">
        <v>43089</v>
      </c>
      <c r="BT2782" s="4">
        <v>0.34722222222222227</v>
      </c>
      <c r="BU2782" s="2" t="s">
        <v>171</v>
      </c>
      <c r="BV2782" s="2" t="s">
        <v>85</v>
      </c>
      <c r="BY2782" s="2">
        <v>6281.19</v>
      </c>
      <c r="CA2782" s="2" t="s">
        <v>172</v>
      </c>
      <c r="CC2782" s="2" t="s">
        <v>169</v>
      </c>
      <c r="CD2782" s="2">
        <v>3610</v>
      </c>
      <c r="CE2782" s="2" t="s">
        <v>95</v>
      </c>
      <c r="CF2782" s="3">
        <v>43090</v>
      </c>
      <c r="CI2782" s="2">
        <v>1</v>
      </c>
      <c r="CJ2782" s="2">
        <v>1</v>
      </c>
      <c r="CK2782" s="2">
        <v>21</v>
      </c>
      <c r="CL2782" s="2" t="s">
        <v>89</v>
      </c>
    </row>
    <row r="2783" spans="1:90">
      <c r="A2783" s="2" t="s">
        <v>71</v>
      </c>
      <c r="B2783" s="2" t="s">
        <v>72</v>
      </c>
      <c r="C2783" s="2" t="s">
        <v>73</v>
      </c>
      <c r="E2783" s="2" t="str">
        <f>"FES1162596984"</f>
        <v>FES1162596984</v>
      </c>
      <c r="F2783" s="3">
        <v>43088</v>
      </c>
      <c r="G2783" s="2">
        <v>201806</v>
      </c>
      <c r="H2783" s="2" t="s">
        <v>74</v>
      </c>
      <c r="I2783" s="2" t="s">
        <v>75</v>
      </c>
      <c r="J2783" s="2" t="s">
        <v>97</v>
      </c>
      <c r="K2783" s="2" t="s">
        <v>77</v>
      </c>
      <c r="L2783" s="2" t="s">
        <v>125</v>
      </c>
      <c r="M2783" s="2" t="s">
        <v>126</v>
      </c>
      <c r="N2783" s="2" t="s">
        <v>2808</v>
      </c>
      <c r="O2783" s="2" t="s">
        <v>101</v>
      </c>
      <c r="P2783" s="2" t="str">
        <f>"2170608515                    "</f>
        <v xml:space="preserve">2170608515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51.45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16</v>
      </c>
      <c r="BJ2783" s="2">
        <v>9.1</v>
      </c>
      <c r="BK2783" s="2">
        <v>16</v>
      </c>
      <c r="BL2783" s="2">
        <v>367.31</v>
      </c>
      <c r="BM2783" s="2">
        <v>51.42</v>
      </c>
      <c r="BN2783" s="2">
        <v>418.73</v>
      </c>
      <c r="BO2783" s="2">
        <v>418.73</v>
      </c>
      <c r="BQ2783" s="2" t="s">
        <v>128</v>
      </c>
      <c r="BR2783" s="2" t="s">
        <v>103</v>
      </c>
      <c r="BS2783" s="3">
        <v>43089</v>
      </c>
      <c r="BT2783" s="4">
        <v>0.38194444444444442</v>
      </c>
      <c r="BU2783" s="2" t="s">
        <v>2809</v>
      </c>
      <c r="BV2783" s="2" t="s">
        <v>85</v>
      </c>
      <c r="BY2783" s="2">
        <v>45632</v>
      </c>
      <c r="CA2783" s="2" t="s">
        <v>1313</v>
      </c>
      <c r="CC2783" s="2" t="s">
        <v>126</v>
      </c>
      <c r="CD2783" s="2">
        <v>4001</v>
      </c>
      <c r="CE2783" s="2" t="s">
        <v>95</v>
      </c>
      <c r="CF2783" s="3">
        <v>43090</v>
      </c>
      <c r="CI2783" s="2">
        <v>1</v>
      </c>
      <c r="CJ2783" s="2">
        <v>1</v>
      </c>
      <c r="CK2783" s="2">
        <v>21</v>
      </c>
      <c r="CL2783" s="2" t="s">
        <v>89</v>
      </c>
    </row>
    <row r="2784" spans="1:90">
      <c r="A2784" s="2" t="s">
        <v>71</v>
      </c>
      <c r="B2784" s="2" t="s">
        <v>72</v>
      </c>
      <c r="C2784" s="2" t="s">
        <v>73</v>
      </c>
      <c r="E2784" s="2" t="str">
        <f>"FES1162597004"</f>
        <v>FES1162597004</v>
      </c>
      <c r="F2784" s="3">
        <v>43088</v>
      </c>
      <c r="G2784" s="2">
        <v>201806</v>
      </c>
      <c r="H2784" s="2" t="s">
        <v>74</v>
      </c>
      <c r="I2784" s="2" t="s">
        <v>75</v>
      </c>
      <c r="J2784" s="2" t="s">
        <v>97</v>
      </c>
      <c r="K2784" s="2" t="s">
        <v>77</v>
      </c>
      <c r="L2784" s="2" t="s">
        <v>125</v>
      </c>
      <c r="M2784" s="2" t="s">
        <v>126</v>
      </c>
      <c r="N2784" s="2" t="s">
        <v>2810</v>
      </c>
      <c r="O2784" s="2" t="s">
        <v>101</v>
      </c>
      <c r="P2784" s="2" t="str">
        <f>"2170608520                    "</f>
        <v xml:space="preserve">2170608520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32.159999999999997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4</v>
      </c>
      <c r="BJ2784" s="2">
        <v>9.6</v>
      </c>
      <c r="BK2784" s="2">
        <v>10</v>
      </c>
      <c r="BL2784" s="2">
        <v>229.58</v>
      </c>
      <c r="BM2784" s="2">
        <v>32.14</v>
      </c>
      <c r="BN2784" s="2">
        <v>261.72000000000003</v>
      </c>
      <c r="BO2784" s="2">
        <v>261.72000000000003</v>
      </c>
      <c r="BQ2784" s="2" t="s">
        <v>187</v>
      </c>
      <c r="BR2784" s="2" t="s">
        <v>103</v>
      </c>
      <c r="BS2784" s="3">
        <v>43089</v>
      </c>
      <c r="BT2784" s="4">
        <v>0.38263888888888892</v>
      </c>
      <c r="BU2784" s="2" t="s">
        <v>2811</v>
      </c>
      <c r="BV2784" s="2" t="s">
        <v>85</v>
      </c>
      <c r="BY2784" s="2">
        <v>47996</v>
      </c>
      <c r="CA2784" s="2" t="s">
        <v>578</v>
      </c>
      <c r="CC2784" s="2" t="s">
        <v>126</v>
      </c>
      <c r="CD2784" s="2">
        <v>4052</v>
      </c>
      <c r="CE2784" s="2" t="s">
        <v>87</v>
      </c>
      <c r="CF2784" s="3">
        <v>43090</v>
      </c>
      <c r="CI2784" s="2">
        <v>1</v>
      </c>
      <c r="CJ2784" s="2">
        <v>1</v>
      </c>
      <c r="CK2784" s="2">
        <v>21</v>
      </c>
      <c r="CL2784" s="2" t="s">
        <v>89</v>
      </c>
    </row>
    <row r="2785" spans="1:90">
      <c r="A2785" s="2" t="s">
        <v>71</v>
      </c>
      <c r="B2785" s="2" t="s">
        <v>72</v>
      </c>
      <c r="C2785" s="2" t="s">
        <v>73</v>
      </c>
      <c r="E2785" s="2" t="str">
        <f>"FES1162597010"</f>
        <v>FES1162597010</v>
      </c>
      <c r="F2785" s="3">
        <v>43088</v>
      </c>
      <c r="G2785" s="2">
        <v>201806</v>
      </c>
      <c r="H2785" s="2" t="s">
        <v>74</v>
      </c>
      <c r="I2785" s="2" t="s">
        <v>75</v>
      </c>
      <c r="J2785" s="2" t="s">
        <v>97</v>
      </c>
      <c r="K2785" s="2" t="s">
        <v>77</v>
      </c>
      <c r="L2785" s="2" t="s">
        <v>1051</v>
      </c>
      <c r="M2785" s="2" t="s">
        <v>1052</v>
      </c>
      <c r="N2785" s="2" t="s">
        <v>1053</v>
      </c>
      <c r="O2785" s="2" t="s">
        <v>101</v>
      </c>
      <c r="P2785" s="2" t="str">
        <f>"2170608530                    "</f>
        <v xml:space="preserve">2170608530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54.69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4.0999999999999996</v>
      </c>
      <c r="BJ2785" s="2">
        <v>9.1999999999999993</v>
      </c>
      <c r="BK2785" s="2">
        <v>9.5</v>
      </c>
      <c r="BL2785" s="2">
        <v>390.42</v>
      </c>
      <c r="BM2785" s="2">
        <v>54.66</v>
      </c>
      <c r="BN2785" s="2">
        <v>445.08</v>
      </c>
      <c r="BO2785" s="2">
        <v>445.08</v>
      </c>
      <c r="BQ2785" s="2" t="s">
        <v>82</v>
      </c>
      <c r="BR2785" s="2" t="s">
        <v>103</v>
      </c>
      <c r="BS2785" s="3">
        <v>43089</v>
      </c>
      <c r="BT2785" s="4">
        <v>0.51388888888888895</v>
      </c>
      <c r="BU2785" s="2" t="s">
        <v>1054</v>
      </c>
      <c r="BV2785" s="2" t="s">
        <v>85</v>
      </c>
      <c r="BY2785" s="2">
        <v>46137</v>
      </c>
      <c r="CA2785" s="2" t="s">
        <v>2812</v>
      </c>
      <c r="CC2785" s="2" t="s">
        <v>1052</v>
      </c>
      <c r="CD2785" s="2">
        <v>3370</v>
      </c>
      <c r="CE2785" s="2" t="s">
        <v>95</v>
      </c>
      <c r="CF2785" s="3">
        <v>43096</v>
      </c>
      <c r="CI2785" s="2">
        <v>3</v>
      </c>
      <c r="CJ2785" s="2">
        <v>1</v>
      </c>
      <c r="CK2785" s="2">
        <v>23</v>
      </c>
      <c r="CL2785" s="2" t="s">
        <v>89</v>
      </c>
    </row>
    <row r="2786" spans="1:90">
      <c r="A2786" s="2" t="s">
        <v>71</v>
      </c>
      <c r="B2786" s="2" t="s">
        <v>72</v>
      </c>
      <c r="C2786" s="2" t="s">
        <v>73</v>
      </c>
      <c r="E2786" s="2" t="str">
        <f>"FES1162596957"</f>
        <v>FES1162596957</v>
      </c>
      <c r="F2786" s="3">
        <v>43088</v>
      </c>
      <c r="G2786" s="2">
        <v>201806</v>
      </c>
      <c r="H2786" s="2" t="s">
        <v>74</v>
      </c>
      <c r="I2786" s="2" t="s">
        <v>75</v>
      </c>
      <c r="J2786" s="2" t="s">
        <v>97</v>
      </c>
      <c r="K2786" s="2" t="s">
        <v>77</v>
      </c>
      <c r="L2786" s="2" t="s">
        <v>136</v>
      </c>
      <c r="M2786" s="2" t="s">
        <v>137</v>
      </c>
      <c r="N2786" s="2" t="s">
        <v>138</v>
      </c>
      <c r="O2786" s="2" t="s">
        <v>101</v>
      </c>
      <c r="P2786" s="2" t="str">
        <f>"21706096791                   "</f>
        <v xml:space="preserve">21706096791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33.770000000000003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5.0999999999999996</v>
      </c>
      <c r="BJ2786" s="2">
        <v>10.1</v>
      </c>
      <c r="BK2786" s="2">
        <v>10.5</v>
      </c>
      <c r="BL2786" s="2">
        <v>241.06</v>
      </c>
      <c r="BM2786" s="2">
        <v>33.75</v>
      </c>
      <c r="BN2786" s="2">
        <v>274.81</v>
      </c>
      <c r="BO2786" s="2">
        <v>274.81</v>
      </c>
      <c r="BQ2786" s="2" t="s">
        <v>82</v>
      </c>
      <c r="BR2786" s="2" t="s">
        <v>103</v>
      </c>
      <c r="BS2786" s="3">
        <v>43089</v>
      </c>
      <c r="BT2786" s="4">
        <v>0.41666666666666669</v>
      </c>
      <c r="BU2786" s="2" t="s">
        <v>139</v>
      </c>
      <c r="BV2786" s="2" t="s">
        <v>85</v>
      </c>
      <c r="BY2786" s="2">
        <v>50388.4</v>
      </c>
      <c r="CA2786" s="2" t="s">
        <v>140</v>
      </c>
      <c r="CC2786" s="2" t="s">
        <v>137</v>
      </c>
      <c r="CD2786" s="2">
        <v>6001</v>
      </c>
      <c r="CE2786" s="2" t="s">
        <v>87</v>
      </c>
      <c r="CF2786" s="3">
        <v>43090</v>
      </c>
      <c r="CI2786" s="2">
        <v>1</v>
      </c>
      <c r="CJ2786" s="2">
        <v>1</v>
      </c>
      <c r="CK2786" s="2">
        <v>21</v>
      </c>
      <c r="CL2786" s="2" t="s">
        <v>89</v>
      </c>
    </row>
    <row r="2787" spans="1:90">
      <c r="A2787" s="2" t="s">
        <v>71</v>
      </c>
      <c r="B2787" s="2" t="s">
        <v>72</v>
      </c>
      <c r="C2787" s="2" t="s">
        <v>73</v>
      </c>
      <c r="E2787" s="2" t="str">
        <f>"FES1162596961"</f>
        <v>FES1162596961</v>
      </c>
      <c r="F2787" s="3">
        <v>43088</v>
      </c>
      <c r="G2787" s="2">
        <v>201806</v>
      </c>
      <c r="H2787" s="2" t="s">
        <v>74</v>
      </c>
      <c r="I2787" s="2" t="s">
        <v>75</v>
      </c>
      <c r="J2787" s="2" t="s">
        <v>97</v>
      </c>
      <c r="K2787" s="2" t="s">
        <v>77</v>
      </c>
      <c r="L2787" s="2" t="s">
        <v>136</v>
      </c>
      <c r="M2787" s="2" t="s">
        <v>137</v>
      </c>
      <c r="N2787" s="2" t="s">
        <v>138</v>
      </c>
      <c r="O2787" s="2" t="s">
        <v>101</v>
      </c>
      <c r="P2787" s="2" t="str">
        <f>"2170602462                    "</f>
        <v xml:space="preserve">2170602462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12.87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1.4</v>
      </c>
      <c r="BJ2787" s="2">
        <v>3.9</v>
      </c>
      <c r="BK2787" s="2">
        <v>4</v>
      </c>
      <c r="BL2787" s="2">
        <v>91.85</v>
      </c>
      <c r="BM2787" s="2">
        <v>12.86</v>
      </c>
      <c r="BN2787" s="2">
        <v>104.71</v>
      </c>
      <c r="BO2787" s="2">
        <v>104.71</v>
      </c>
      <c r="BQ2787" s="2" t="s">
        <v>82</v>
      </c>
      <c r="BR2787" s="2" t="s">
        <v>103</v>
      </c>
      <c r="BS2787" s="3">
        <v>43089</v>
      </c>
      <c r="BT2787" s="4">
        <v>0.41666666666666669</v>
      </c>
      <c r="BU2787" s="2" t="s">
        <v>139</v>
      </c>
      <c r="BV2787" s="2" t="s">
        <v>85</v>
      </c>
      <c r="BY2787" s="2">
        <v>19285.57</v>
      </c>
      <c r="CA2787" s="2" t="s">
        <v>140</v>
      </c>
      <c r="CC2787" s="2" t="s">
        <v>137</v>
      </c>
      <c r="CD2787" s="2">
        <v>6001</v>
      </c>
      <c r="CE2787" s="2" t="s">
        <v>87</v>
      </c>
      <c r="CF2787" s="3">
        <v>43090</v>
      </c>
      <c r="CI2787" s="2">
        <v>1</v>
      </c>
      <c r="CJ2787" s="2">
        <v>1</v>
      </c>
      <c r="CK2787" s="2">
        <v>21</v>
      </c>
      <c r="CL2787" s="2" t="s">
        <v>89</v>
      </c>
    </row>
    <row r="2788" spans="1:90">
      <c r="A2788" s="2" t="s">
        <v>71</v>
      </c>
      <c r="B2788" s="2" t="s">
        <v>72</v>
      </c>
      <c r="C2788" s="2" t="s">
        <v>73</v>
      </c>
      <c r="E2788" s="2" t="str">
        <f>"FES1162596840"</f>
        <v>FES1162596840</v>
      </c>
      <c r="F2788" s="3">
        <v>43088</v>
      </c>
      <c r="G2788" s="2">
        <v>201806</v>
      </c>
      <c r="H2788" s="2" t="s">
        <v>74</v>
      </c>
      <c r="I2788" s="2" t="s">
        <v>75</v>
      </c>
      <c r="J2788" s="2" t="s">
        <v>97</v>
      </c>
      <c r="K2788" s="2" t="s">
        <v>77</v>
      </c>
      <c r="L2788" s="2" t="s">
        <v>115</v>
      </c>
      <c r="M2788" s="2" t="s">
        <v>116</v>
      </c>
      <c r="N2788" s="2" t="s">
        <v>633</v>
      </c>
      <c r="O2788" s="2" t="s">
        <v>101</v>
      </c>
      <c r="P2788" s="2" t="str">
        <f>"2170605498                    "</f>
        <v xml:space="preserve">2170605498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5.03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1</v>
      </c>
      <c r="BJ2788" s="2">
        <v>0.2</v>
      </c>
      <c r="BK2788" s="2">
        <v>1</v>
      </c>
      <c r="BL2788" s="2">
        <v>35.89</v>
      </c>
      <c r="BM2788" s="2">
        <v>5.0199999999999996</v>
      </c>
      <c r="BN2788" s="2">
        <v>40.909999999999997</v>
      </c>
      <c r="BO2788" s="2">
        <v>40.909999999999997</v>
      </c>
      <c r="BQ2788" s="2" t="s">
        <v>634</v>
      </c>
      <c r="BR2788" s="2" t="s">
        <v>103</v>
      </c>
      <c r="BS2788" s="3">
        <v>43089</v>
      </c>
      <c r="BT2788" s="4">
        <v>0.33194444444444443</v>
      </c>
      <c r="BU2788" s="2" t="s">
        <v>635</v>
      </c>
      <c r="BV2788" s="2" t="s">
        <v>85</v>
      </c>
      <c r="BY2788" s="2">
        <v>1200</v>
      </c>
      <c r="CA2788" s="2" t="s">
        <v>386</v>
      </c>
      <c r="CC2788" s="2" t="s">
        <v>116</v>
      </c>
      <c r="CD2788" s="2">
        <v>1459</v>
      </c>
      <c r="CE2788" s="2" t="s">
        <v>120</v>
      </c>
      <c r="CF2788" s="3">
        <v>43090</v>
      </c>
      <c r="CI2788" s="2">
        <v>1</v>
      </c>
      <c r="CJ2788" s="2">
        <v>1</v>
      </c>
      <c r="CK2788" s="2">
        <v>22</v>
      </c>
      <c r="CL2788" s="2" t="s">
        <v>89</v>
      </c>
    </row>
    <row r="2789" spans="1:90">
      <c r="A2789" s="2" t="s">
        <v>71</v>
      </c>
      <c r="B2789" s="2" t="s">
        <v>72</v>
      </c>
      <c r="C2789" s="2" t="s">
        <v>73</v>
      </c>
      <c r="E2789" s="2" t="str">
        <f>"FES1162596971"</f>
        <v>FES1162596971</v>
      </c>
      <c r="F2789" s="3">
        <v>43088</v>
      </c>
      <c r="G2789" s="2">
        <v>201806</v>
      </c>
      <c r="H2789" s="2" t="s">
        <v>74</v>
      </c>
      <c r="I2789" s="2" t="s">
        <v>75</v>
      </c>
      <c r="J2789" s="2" t="s">
        <v>97</v>
      </c>
      <c r="K2789" s="2" t="s">
        <v>77</v>
      </c>
      <c r="L2789" s="2" t="s">
        <v>136</v>
      </c>
      <c r="M2789" s="2" t="s">
        <v>137</v>
      </c>
      <c r="N2789" s="2" t="s">
        <v>138</v>
      </c>
      <c r="O2789" s="2" t="s">
        <v>101</v>
      </c>
      <c r="P2789" s="2" t="str">
        <f>"2170604362                    "</f>
        <v xml:space="preserve">2170604362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59.49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3.3</v>
      </c>
      <c r="BJ2789" s="2">
        <v>18.100000000000001</v>
      </c>
      <c r="BK2789" s="2">
        <v>18.5</v>
      </c>
      <c r="BL2789" s="2">
        <v>424.7</v>
      </c>
      <c r="BM2789" s="2">
        <v>59.46</v>
      </c>
      <c r="BN2789" s="2">
        <v>484.16</v>
      </c>
      <c r="BO2789" s="2">
        <v>484.16</v>
      </c>
      <c r="BQ2789" s="2" t="s">
        <v>82</v>
      </c>
      <c r="BR2789" s="2" t="s">
        <v>103</v>
      </c>
      <c r="BS2789" s="3">
        <v>43089</v>
      </c>
      <c r="BT2789" s="4">
        <v>0.41666666666666669</v>
      </c>
      <c r="BU2789" s="2" t="s">
        <v>139</v>
      </c>
      <c r="BV2789" s="2" t="s">
        <v>85</v>
      </c>
      <c r="BY2789" s="2">
        <v>90286.25</v>
      </c>
      <c r="CA2789" s="2" t="s">
        <v>140</v>
      </c>
      <c r="CC2789" s="2" t="s">
        <v>137</v>
      </c>
      <c r="CD2789" s="2">
        <v>6001</v>
      </c>
      <c r="CE2789" s="2" t="s">
        <v>95</v>
      </c>
      <c r="CF2789" s="3">
        <v>43090</v>
      </c>
      <c r="CI2789" s="2">
        <v>1</v>
      </c>
      <c r="CJ2789" s="2">
        <v>1</v>
      </c>
      <c r="CK2789" s="2">
        <v>21</v>
      </c>
      <c r="CL2789" s="2" t="s">
        <v>89</v>
      </c>
    </row>
    <row r="2790" spans="1:90">
      <c r="A2790" s="2" t="s">
        <v>71</v>
      </c>
      <c r="B2790" s="2" t="s">
        <v>72</v>
      </c>
      <c r="C2790" s="2" t="s">
        <v>73</v>
      </c>
      <c r="E2790" s="2" t="str">
        <f>"FES1162596959"</f>
        <v>FES1162596959</v>
      </c>
      <c r="F2790" s="3">
        <v>43088</v>
      </c>
      <c r="G2790" s="2">
        <v>201806</v>
      </c>
      <c r="H2790" s="2" t="s">
        <v>74</v>
      </c>
      <c r="I2790" s="2" t="s">
        <v>75</v>
      </c>
      <c r="J2790" s="2" t="s">
        <v>97</v>
      </c>
      <c r="K2790" s="2" t="s">
        <v>77</v>
      </c>
      <c r="L2790" s="2" t="s">
        <v>136</v>
      </c>
      <c r="M2790" s="2" t="s">
        <v>137</v>
      </c>
      <c r="N2790" s="2" t="s">
        <v>138</v>
      </c>
      <c r="O2790" s="2" t="s">
        <v>101</v>
      </c>
      <c r="P2790" s="2" t="str">
        <f>"21706098086                   "</f>
        <v xml:space="preserve">21706098086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32.159999999999997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4.0999999999999996</v>
      </c>
      <c r="BJ2790" s="2">
        <v>9.6999999999999993</v>
      </c>
      <c r="BK2790" s="2">
        <v>10</v>
      </c>
      <c r="BL2790" s="2">
        <v>229.58</v>
      </c>
      <c r="BM2790" s="2">
        <v>32.14</v>
      </c>
      <c r="BN2790" s="2">
        <v>261.72000000000003</v>
      </c>
      <c r="BO2790" s="2">
        <v>261.72000000000003</v>
      </c>
      <c r="BQ2790" s="2" t="s">
        <v>82</v>
      </c>
      <c r="BR2790" s="2" t="s">
        <v>103</v>
      </c>
      <c r="BS2790" s="3">
        <v>43089</v>
      </c>
      <c r="BT2790" s="4">
        <v>0.41666666666666669</v>
      </c>
      <c r="BU2790" s="2" t="s">
        <v>139</v>
      </c>
      <c r="BV2790" s="2" t="s">
        <v>85</v>
      </c>
      <c r="BY2790" s="2">
        <v>48355.16</v>
      </c>
      <c r="CA2790" s="2" t="s">
        <v>140</v>
      </c>
      <c r="CC2790" s="2" t="s">
        <v>137</v>
      </c>
      <c r="CD2790" s="2">
        <v>6001</v>
      </c>
      <c r="CE2790" s="2" t="s">
        <v>87</v>
      </c>
      <c r="CF2790" s="3">
        <v>43090</v>
      </c>
      <c r="CI2790" s="2">
        <v>1</v>
      </c>
      <c r="CJ2790" s="2">
        <v>1</v>
      </c>
      <c r="CK2790" s="2">
        <v>21</v>
      </c>
      <c r="CL2790" s="2" t="s">
        <v>89</v>
      </c>
    </row>
    <row r="2791" spans="1:90">
      <c r="A2791" s="2" t="s">
        <v>71</v>
      </c>
      <c r="B2791" s="2" t="s">
        <v>72</v>
      </c>
      <c r="C2791" s="2" t="s">
        <v>73</v>
      </c>
      <c r="E2791" s="2" t="str">
        <f>"FES1162596844"</f>
        <v>FES1162596844</v>
      </c>
      <c r="F2791" s="3">
        <v>43088</v>
      </c>
      <c r="G2791" s="2">
        <v>201806</v>
      </c>
      <c r="H2791" s="2" t="s">
        <v>74</v>
      </c>
      <c r="I2791" s="2" t="s">
        <v>75</v>
      </c>
      <c r="J2791" s="2" t="s">
        <v>97</v>
      </c>
      <c r="K2791" s="2" t="s">
        <v>77</v>
      </c>
      <c r="L2791" s="2" t="s">
        <v>125</v>
      </c>
      <c r="M2791" s="2" t="s">
        <v>126</v>
      </c>
      <c r="N2791" s="2" t="s">
        <v>514</v>
      </c>
      <c r="O2791" s="2" t="s">
        <v>101</v>
      </c>
      <c r="P2791" s="2" t="str">
        <f>"2170605544                    "</f>
        <v xml:space="preserve">2170605544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6.43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</v>
      </c>
      <c r="BJ2791" s="2">
        <v>0.2</v>
      </c>
      <c r="BK2791" s="2">
        <v>1</v>
      </c>
      <c r="BL2791" s="2">
        <v>45.93</v>
      </c>
      <c r="BM2791" s="2">
        <v>6.43</v>
      </c>
      <c r="BN2791" s="2">
        <v>52.36</v>
      </c>
      <c r="BO2791" s="2">
        <v>52.36</v>
      </c>
      <c r="BQ2791" s="2" t="s">
        <v>515</v>
      </c>
      <c r="BR2791" s="2" t="s">
        <v>103</v>
      </c>
      <c r="BS2791" s="3">
        <v>43089</v>
      </c>
      <c r="BT2791" s="4">
        <v>0.29444444444444445</v>
      </c>
      <c r="BU2791" s="2" t="s">
        <v>2813</v>
      </c>
      <c r="BV2791" s="2" t="s">
        <v>85</v>
      </c>
      <c r="BY2791" s="2">
        <v>1200</v>
      </c>
      <c r="CA2791" s="2" t="s">
        <v>507</v>
      </c>
      <c r="CC2791" s="2" t="s">
        <v>126</v>
      </c>
      <c r="CD2791" s="2">
        <v>4001</v>
      </c>
      <c r="CE2791" s="2" t="s">
        <v>120</v>
      </c>
      <c r="CF2791" s="3">
        <v>43090</v>
      </c>
      <c r="CI2791" s="2">
        <v>1</v>
      </c>
      <c r="CJ2791" s="2">
        <v>1</v>
      </c>
      <c r="CK2791" s="2">
        <v>21</v>
      </c>
      <c r="CL2791" s="2" t="s">
        <v>89</v>
      </c>
    </row>
    <row r="2792" spans="1:90">
      <c r="A2792" s="2" t="s">
        <v>71</v>
      </c>
      <c r="B2792" s="2" t="s">
        <v>72</v>
      </c>
      <c r="C2792" s="2" t="s">
        <v>73</v>
      </c>
      <c r="E2792" s="2" t="str">
        <f>"FES1162597030"</f>
        <v>FES1162597030</v>
      </c>
      <c r="F2792" s="3">
        <v>43088</v>
      </c>
      <c r="G2792" s="2">
        <v>201806</v>
      </c>
      <c r="H2792" s="2" t="s">
        <v>74</v>
      </c>
      <c r="I2792" s="2" t="s">
        <v>75</v>
      </c>
      <c r="J2792" s="2" t="s">
        <v>97</v>
      </c>
      <c r="K2792" s="2" t="s">
        <v>77</v>
      </c>
      <c r="L2792" s="2" t="s">
        <v>759</v>
      </c>
      <c r="M2792" s="2" t="s">
        <v>760</v>
      </c>
      <c r="N2792" s="2" t="s">
        <v>2070</v>
      </c>
      <c r="O2792" s="2" t="s">
        <v>101</v>
      </c>
      <c r="P2792" s="2" t="str">
        <f>"2170606774                    "</f>
        <v xml:space="preserve">2170606774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6.43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1</v>
      </c>
      <c r="BJ2792" s="2">
        <v>0.2</v>
      </c>
      <c r="BK2792" s="2">
        <v>1</v>
      </c>
      <c r="BL2792" s="2">
        <v>45.93</v>
      </c>
      <c r="BM2792" s="2">
        <v>6.43</v>
      </c>
      <c r="BN2792" s="2">
        <v>52.36</v>
      </c>
      <c r="BO2792" s="2">
        <v>52.36</v>
      </c>
      <c r="BQ2792" s="2" t="s">
        <v>2814</v>
      </c>
      <c r="BR2792" s="2" t="s">
        <v>103</v>
      </c>
      <c r="BS2792" s="3">
        <v>43089</v>
      </c>
      <c r="BT2792" s="4">
        <v>0.39027777777777778</v>
      </c>
      <c r="BU2792" s="2" t="s">
        <v>2815</v>
      </c>
      <c r="BV2792" s="2" t="s">
        <v>85</v>
      </c>
      <c r="BY2792" s="2">
        <v>1200</v>
      </c>
      <c r="CA2792" s="2" t="s">
        <v>578</v>
      </c>
      <c r="CC2792" s="2" t="s">
        <v>760</v>
      </c>
      <c r="CD2792" s="2">
        <v>4026</v>
      </c>
      <c r="CE2792" s="2" t="s">
        <v>120</v>
      </c>
      <c r="CF2792" s="3">
        <v>43090</v>
      </c>
      <c r="CI2792" s="2">
        <v>1</v>
      </c>
      <c r="CJ2792" s="2">
        <v>1</v>
      </c>
      <c r="CK2792" s="2">
        <v>21</v>
      </c>
      <c r="CL2792" s="2" t="s">
        <v>89</v>
      </c>
    </row>
    <row r="2793" spans="1:90">
      <c r="A2793" s="2" t="s">
        <v>71</v>
      </c>
      <c r="B2793" s="2" t="s">
        <v>72</v>
      </c>
      <c r="C2793" s="2" t="s">
        <v>73</v>
      </c>
      <c r="E2793" s="2" t="str">
        <f>"FES1162596950"</f>
        <v>FES1162596950</v>
      </c>
      <c r="F2793" s="3">
        <v>43088</v>
      </c>
      <c r="G2793" s="2">
        <v>201806</v>
      </c>
      <c r="H2793" s="2" t="s">
        <v>74</v>
      </c>
      <c r="I2793" s="2" t="s">
        <v>75</v>
      </c>
      <c r="J2793" s="2" t="s">
        <v>97</v>
      </c>
      <c r="K2793" s="2" t="s">
        <v>77</v>
      </c>
      <c r="L2793" s="2" t="s">
        <v>1021</v>
      </c>
      <c r="M2793" s="2" t="s">
        <v>1022</v>
      </c>
      <c r="N2793" s="2" t="s">
        <v>1101</v>
      </c>
      <c r="O2793" s="2" t="s">
        <v>101</v>
      </c>
      <c r="P2793" s="2" t="str">
        <f>"2170608500                    "</f>
        <v xml:space="preserve">2170608500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12.47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1</v>
      </c>
      <c r="BJ2793" s="2">
        <v>0.2</v>
      </c>
      <c r="BK2793" s="2">
        <v>1</v>
      </c>
      <c r="BL2793" s="2">
        <v>89</v>
      </c>
      <c r="BM2793" s="2">
        <v>12.46</v>
      </c>
      <c r="BN2793" s="2">
        <v>101.46</v>
      </c>
      <c r="BO2793" s="2">
        <v>101.46</v>
      </c>
      <c r="BQ2793" s="2" t="s">
        <v>82</v>
      </c>
      <c r="BR2793" s="2" t="s">
        <v>103</v>
      </c>
      <c r="BS2793" s="3">
        <v>43089</v>
      </c>
      <c r="BT2793" s="4">
        <v>0.45347222222222222</v>
      </c>
      <c r="BU2793" s="2" t="s">
        <v>2816</v>
      </c>
      <c r="BV2793" s="2" t="s">
        <v>85</v>
      </c>
      <c r="BY2793" s="2">
        <v>1200</v>
      </c>
      <c r="CA2793" s="2" t="s">
        <v>1103</v>
      </c>
      <c r="CC2793" s="2" t="s">
        <v>1022</v>
      </c>
      <c r="CD2793" s="2">
        <v>9880</v>
      </c>
      <c r="CE2793" s="2" t="s">
        <v>120</v>
      </c>
      <c r="CF2793" s="3">
        <v>43096</v>
      </c>
      <c r="CI2793" s="2">
        <v>1</v>
      </c>
      <c r="CJ2793" s="2">
        <v>1</v>
      </c>
      <c r="CK2793" s="2">
        <v>23</v>
      </c>
      <c r="CL2793" s="2" t="s">
        <v>89</v>
      </c>
    </row>
    <row r="2794" spans="1:90">
      <c r="A2794" s="2" t="s">
        <v>71</v>
      </c>
      <c r="B2794" s="2" t="s">
        <v>72</v>
      </c>
      <c r="C2794" s="2" t="s">
        <v>73</v>
      </c>
      <c r="E2794" s="2" t="str">
        <f>"FES1162596943"</f>
        <v>FES1162596943</v>
      </c>
      <c r="F2794" s="3">
        <v>43088</v>
      </c>
      <c r="G2794" s="2">
        <v>201806</v>
      </c>
      <c r="H2794" s="2" t="s">
        <v>74</v>
      </c>
      <c r="I2794" s="2" t="s">
        <v>75</v>
      </c>
      <c r="J2794" s="2" t="s">
        <v>97</v>
      </c>
      <c r="K2794" s="2" t="s">
        <v>77</v>
      </c>
      <c r="L2794" s="2" t="s">
        <v>98</v>
      </c>
      <c r="M2794" s="2" t="s">
        <v>99</v>
      </c>
      <c r="N2794" s="2" t="s">
        <v>1365</v>
      </c>
      <c r="O2794" s="2" t="s">
        <v>101</v>
      </c>
      <c r="P2794" s="2" t="str">
        <f>"2170608486                    "</f>
        <v xml:space="preserve">2170608486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6.43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1</v>
      </c>
      <c r="BJ2794" s="2">
        <v>0.2</v>
      </c>
      <c r="BK2794" s="2">
        <v>1</v>
      </c>
      <c r="BL2794" s="2">
        <v>45.93</v>
      </c>
      <c r="BM2794" s="2">
        <v>6.43</v>
      </c>
      <c r="BN2794" s="2">
        <v>52.36</v>
      </c>
      <c r="BO2794" s="2">
        <v>52.36</v>
      </c>
      <c r="BQ2794" s="2" t="s">
        <v>128</v>
      </c>
      <c r="BR2794" s="2" t="s">
        <v>103</v>
      </c>
      <c r="BS2794" s="3">
        <v>43090</v>
      </c>
      <c r="BT2794" s="4">
        <v>0.38541666666666669</v>
      </c>
      <c r="BU2794" s="2" t="s">
        <v>2345</v>
      </c>
      <c r="BV2794" s="2" t="s">
        <v>89</v>
      </c>
      <c r="BW2794" s="2" t="s">
        <v>149</v>
      </c>
      <c r="BX2794" s="2" t="s">
        <v>1390</v>
      </c>
      <c r="BY2794" s="2">
        <v>1200</v>
      </c>
      <c r="CA2794" s="2" t="s">
        <v>497</v>
      </c>
      <c r="CC2794" s="2" t="s">
        <v>99</v>
      </c>
      <c r="CD2794" s="2">
        <v>3201</v>
      </c>
      <c r="CE2794" s="2" t="s">
        <v>120</v>
      </c>
      <c r="CF2794" s="3">
        <v>43091</v>
      </c>
      <c r="CI2794" s="2">
        <v>1</v>
      </c>
      <c r="CJ2794" s="2">
        <v>2</v>
      </c>
      <c r="CK2794" s="2">
        <v>21</v>
      </c>
      <c r="CL2794" s="2" t="s">
        <v>89</v>
      </c>
    </row>
    <row r="2795" spans="1:90">
      <c r="A2795" s="2" t="s">
        <v>71</v>
      </c>
      <c r="B2795" s="2" t="s">
        <v>72</v>
      </c>
      <c r="C2795" s="2" t="s">
        <v>73</v>
      </c>
      <c r="E2795" s="2" t="str">
        <f>"FES1162597011"</f>
        <v>FES1162597011</v>
      </c>
      <c r="F2795" s="3">
        <v>43088</v>
      </c>
      <c r="G2795" s="2">
        <v>201806</v>
      </c>
      <c r="H2795" s="2" t="s">
        <v>74</v>
      </c>
      <c r="I2795" s="2" t="s">
        <v>75</v>
      </c>
      <c r="J2795" s="2" t="s">
        <v>97</v>
      </c>
      <c r="K2795" s="2" t="s">
        <v>77</v>
      </c>
      <c r="L2795" s="2" t="s">
        <v>173</v>
      </c>
      <c r="M2795" s="2" t="s">
        <v>174</v>
      </c>
      <c r="N2795" s="2" t="s">
        <v>876</v>
      </c>
      <c r="O2795" s="2" t="s">
        <v>101</v>
      </c>
      <c r="P2795" s="2" t="str">
        <f>"2170608531                    "</f>
        <v xml:space="preserve">2170608531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16.079999999999998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3</v>
      </c>
      <c r="BJ2795" s="2">
        <v>4.9000000000000004</v>
      </c>
      <c r="BK2795" s="2">
        <v>5</v>
      </c>
      <c r="BL2795" s="2">
        <v>114.8</v>
      </c>
      <c r="BM2795" s="2">
        <v>16.07</v>
      </c>
      <c r="BN2795" s="2">
        <v>130.87</v>
      </c>
      <c r="BO2795" s="2">
        <v>130.87</v>
      </c>
      <c r="BQ2795" s="2" t="s">
        <v>128</v>
      </c>
      <c r="BR2795" s="2" t="s">
        <v>103</v>
      </c>
      <c r="BS2795" s="3">
        <v>43089</v>
      </c>
      <c r="BT2795" s="4">
        <v>0.4055555555555555</v>
      </c>
      <c r="BU2795" s="2" t="s">
        <v>877</v>
      </c>
      <c r="BV2795" s="2" t="s">
        <v>85</v>
      </c>
      <c r="BY2795" s="2">
        <v>24420</v>
      </c>
      <c r="CA2795" s="2" t="s">
        <v>1682</v>
      </c>
      <c r="CC2795" s="2" t="s">
        <v>174</v>
      </c>
      <c r="CD2795" s="2">
        <v>7441</v>
      </c>
      <c r="CE2795" s="2" t="s">
        <v>87</v>
      </c>
      <c r="CF2795" s="3">
        <v>43090</v>
      </c>
      <c r="CI2795" s="2">
        <v>1</v>
      </c>
      <c r="CJ2795" s="2">
        <v>1</v>
      </c>
      <c r="CK2795" s="2">
        <v>21</v>
      </c>
      <c r="CL2795" s="2" t="s">
        <v>89</v>
      </c>
    </row>
    <row r="2796" spans="1:90">
      <c r="A2796" s="2" t="s">
        <v>71</v>
      </c>
      <c r="B2796" s="2" t="s">
        <v>72</v>
      </c>
      <c r="C2796" s="2" t="s">
        <v>73</v>
      </c>
      <c r="E2796" s="2" t="str">
        <f>"FES1162596863"</f>
        <v>FES1162596863</v>
      </c>
      <c r="F2796" s="3">
        <v>43088</v>
      </c>
      <c r="G2796" s="2">
        <v>201806</v>
      </c>
      <c r="H2796" s="2" t="s">
        <v>74</v>
      </c>
      <c r="I2796" s="2" t="s">
        <v>75</v>
      </c>
      <c r="J2796" s="2" t="s">
        <v>97</v>
      </c>
      <c r="K2796" s="2" t="s">
        <v>77</v>
      </c>
      <c r="L2796" s="2" t="s">
        <v>162</v>
      </c>
      <c r="M2796" s="2" t="s">
        <v>163</v>
      </c>
      <c r="N2796" s="2" t="s">
        <v>1224</v>
      </c>
      <c r="O2796" s="2" t="s">
        <v>101</v>
      </c>
      <c r="P2796" s="2" t="str">
        <f>"2170605703                    "</f>
        <v xml:space="preserve">2170605703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5.03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4</v>
      </c>
      <c r="BJ2796" s="2">
        <v>1.5</v>
      </c>
      <c r="BK2796" s="2">
        <v>4</v>
      </c>
      <c r="BL2796" s="2">
        <v>35.89</v>
      </c>
      <c r="BM2796" s="2">
        <v>5.0199999999999996</v>
      </c>
      <c r="BN2796" s="2">
        <v>40.909999999999997</v>
      </c>
      <c r="BO2796" s="2">
        <v>40.909999999999997</v>
      </c>
      <c r="BQ2796" s="2" t="s">
        <v>1316</v>
      </c>
      <c r="BR2796" s="2" t="s">
        <v>103</v>
      </c>
      <c r="BS2796" s="3">
        <v>43089</v>
      </c>
      <c r="BT2796" s="4">
        <v>0.41666666666666669</v>
      </c>
      <c r="BU2796" s="2" t="s">
        <v>2817</v>
      </c>
      <c r="BV2796" s="2" t="s">
        <v>85</v>
      </c>
      <c r="BY2796" s="2">
        <v>7560</v>
      </c>
      <c r="CA2796" s="2" t="s">
        <v>1226</v>
      </c>
      <c r="CC2796" s="2" t="s">
        <v>163</v>
      </c>
      <c r="CD2796" s="2">
        <v>1451</v>
      </c>
      <c r="CE2796" s="2" t="s">
        <v>87</v>
      </c>
      <c r="CF2796" s="3">
        <v>43090</v>
      </c>
      <c r="CI2796" s="2">
        <v>1</v>
      </c>
      <c r="CJ2796" s="2">
        <v>1</v>
      </c>
      <c r="CK2796" s="2">
        <v>22</v>
      </c>
      <c r="CL2796" s="2" t="s">
        <v>89</v>
      </c>
    </row>
    <row r="2797" spans="1:90">
      <c r="A2797" s="2" t="s">
        <v>71</v>
      </c>
      <c r="B2797" s="2" t="s">
        <v>72</v>
      </c>
      <c r="C2797" s="2" t="s">
        <v>73</v>
      </c>
      <c r="E2797" s="2" t="str">
        <f>"FES1162597007"</f>
        <v>FES1162597007</v>
      </c>
      <c r="F2797" s="3">
        <v>43088</v>
      </c>
      <c r="G2797" s="2">
        <v>201806</v>
      </c>
      <c r="H2797" s="2" t="s">
        <v>74</v>
      </c>
      <c r="I2797" s="2" t="s">
        <v>75</v>
      </c>
      <c r="J2797" s="2" t="s">
        <v>97</v>
      </c>
      <c r="K2797" s="2" t="s">
        <v>77</v>
      </c>
      <c r="L2797" s="2" t="s">
        <v>173</v>
      </c>
      <c r="M2797" s="2" t="s">
        <v>174</v>
      </c>
      <c r="N2797" s="2" t="s">
        <v>876</v>
      </c>
      <c r="O2797" s="2" t="s">
        <v>101</v>
      </c>
      <c r="P2797" s="2" t="str">
        <f>"2170608527                    "</f>
        <v xml:space="preserve">2170608527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6.43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1</v>
      </c>
      <c r="BJ2797" s="2">
        <v>0.2</v>
      </c>
      <c r="BK2797" s="2">
        <v>1</v>
      </c>
      <c r="BL2797" s="2">
        <v>45.93</v>
      </c>
      <c r="BM2797" s="2">
        <v>6.43</v>
      </c>
      <c r="BN2797" s="2">
        <v>52.36</v>
      </c>
      <c r="BO2797" s="2">
        <v>52.36</v>
      </c>
      <c r="BQ2797" s="2" t="s">
        <v>128</v>
      </c>
      <c r="BR2797" s="2" t="s">
        <v>103</v>
      </c>
      <c r="BS2797" s="3">
        <v>43089</v>
      </c>
      <c r="BT2797" s="4">
        <v>0.4055555555555555</v>
      </c>
      <c r="BU2797" s="2" t="s">
        <v>877</v>
      </c>
      <c r="BV2797" s="2" t="s">
        <v>85</v>
      </c>
      <c r="BY2797" s="2">
        <v>1200</v>
      </c>
      <c r="CA2797" s="2" t="s">
        <v>1682</v>
      </c>
      <c r="CC2797" s="2" t="s">
        <v>174</v>
      </c>
      <c r="CD2797" s="2">
        <v>7441</v>
      </c>
      <c r="CE2797" s="2" t="s">
        <v>120</v>
      </c>
      <c r="CF2797" s="3">
        <v>43090</v>
      </c>
      <c r="CI2797" s="2">
        <v>1</v>
      </c>
      <c r="CJ2797" s="2">
        <v>1</v>
      </c>
      <c r="CK2797" s="2">
        <v>21</v>
      </c>
      <c r="CL2797" s="2" t="s">
        <v>89</v>
      </c>
    </row>
    <row r="2798" spans="1:90">
      <c r="A2798" s="2" t="s">
        <v>71</v>
      </c>
      <c r="B2798" s="2" t="s">
        <v>72</v>
      </c>
      <c r="C2798" s="2" t="s">
        <v>73</v>
      </c>
      <c r="E2798" s="2" t="str">
        <f>"FES1162596981"</f>
        <v>FES1162596981</v>
      </c>
      <c r="F2798" s="3">
        <v>43088</v>
      </c>
      <c r="G2798" s="2">
        <v>201806</v>
      </c>
      <c r="H2798" s="2" t="s">
        <v>74</v>
      </c>
      <c r="I2798" s="2" t="s">
        <v>75</v>
      </c>
      <c r="J2798" s="2" t="s">
        <v>97</v>
      </c>
      <c r="K2798" s="2" t="s">
        <v>77</v>
      </c>
      <c r="L2798" s="2" t="s">
        <v>173</v>
      </c>
      <c r="M2798" s="2" t="s">
        <v>174</v>
      </c>
      <c r="N2798" s="2" t="s">
        <v>175</v>
      </c>
      <c r="O2798" s="2" t="s">
        <v>101</v>
      </c>
      <c r="P2798" s="2" t="str">
        <f>"21706206812                   "</f>
        <v xml:space="preserve">21706206812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6.43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</v>
      </c>
      <c r="BJ2798" s="2">
        <v>0.2</v>
      </c>
      <c r="BK2798" s="2">
        <v>1</v>
      </c>
      <c r="BL2798" s="2">
        <v>45.93</v>
      </c>
      <c r="BM2798" s="2">
        <v>6.43</v>
      </c>
      <c r="BN2798" s="2">
        <v>52.36</v>
      </c>
      <c r="BO2798" s="2">
        <v>52.36</v>
      </c>
      <c r="BQ2798" s="2" t="s">
        <v>102</v>
      </c>
      <c r="BR2798" s="2" t="s">
        <v>103</v>
      </c>
      <c r="BS2798" s="3">
        <v>43089</v>
      </c>
      <c r="BT2798" s="4">
        <v>0.39652777777777781</v>
      </c>
      <c r="BU2798" s="2" t="s">
        <v>176</v>
      </c>
      <c r="BV2798" s="2" t="s">
        <v>85</v>
      </c>
      <c r="BY2798" s="2">
        <v>1200</v>
      </c>
      <c r="CA2798" s="2" t="s">
        <v>177</v>
      </c>
      <c r="CC2798" s="2" t="s">
        <v>174</v>
      </c>
      <c r="CD2798" s="2">
        <v>7405</v>
      </c>
      <c r="CE2798" s="2" t="s">
        <v>120</v>
      </c>
      <c r="CF2798" s="3">
        <v>43090</v>
      </c>
      <c r="CI2798" s="2">
        <v>1</v>
      </c>
      <c r="CJ2798" s="2">
        <v>1</v>
      </c>
      <c r="CK2798" s="2">
        <v>21</v>
      </c>
      <c r="CL2798" s="2" t="s">
        <v>89</v>
      </c>
    </row>
    <row r="2799" spans="1:90">
      <c r="A2799" s="2" t="s">
        <v>71</v>
      </c>
      <c r="B2799" s="2" t="s">
        <v>72</v>
      </c>
      <c r="C2799" s="2" t="s">
        <v>73</v>
      </c>
      <c r="E2799" s="2" t="str">
        <f>"FES1162597009"</f>
        <v>FES1162597009</v>
      </c>
      <c r="F2799" s="3">
        <v>43088</v>
      </c>
      <c r="G2799" s="2">
        <v>201806</v>
      </c>
      <c r="H2799" s="2" t="s">
        <v>74</v>
      </c>
      <c r="I2799" s="2" t="s">
        <v>75</v>
      </c>
      <c r="J2799" s="2" t="s">
        <v>97</v>
      </c>
      <c r="K2799" s="2" t="s">
        <v>77</v>
      </c>
      <c r="L2799" s="2" t="s">
        <v>173</v>
      </c>
      <c r="M2799" s="2" t="s">
        <v>174</v>
      </c>
      <c r="N2799" s="2" t="s">
        <v>876</v>
      </c>
      <c r="O2799" s="2" t="s">
        <v>101</v>
      </c>
      <c r="P2799" s="2" t="str">
        <f>"2170608592                    "</f>
        <v xml:space="preserve">2170608592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6.43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1</v>
      </c>
      <c r="BJ2799" s="2">
        <v>0.2</v>
      </c>
      <c r="BK2799" s="2">
        <v>1</v>
      </c>
      <c r="BL2799" s="2">
        <v>45.93</v>
      </c>
      <c r="BM2799" s="2">
        <v>6.43</v>
      </c>
      <c r="BN2799" s="2">
        <v>52.36</v>
      </c>
      <c r="BO2799" s="2">
        <v>52.36</v>
      </c>
      <c r="BQ2799" s="2" t="s">
        <v>128</v>
      </c>
      <c r="BR2799" s="2" t="s">
        <v>103</v>
      </c>
      <c r="BS2799" s="3">
        <v>43089</v>
      </c>
      <c r="BT2799" s="4">
        <v>0.4055555555555555</v>
      </c>
      <c r="BU2799" s="2" t="s">
        <v>877</v>
      </c>
      <c r="BV2799" s="2" t="s">
        <v>85</v>
      </c>
      <c r="BY2799" s="2">
        <v>1200</v>
      </c>
      <c r="CA2799" s="2" t="s">
        <v>1682</v>
      </c>
      <c r="CC2799" s="2" t="s">
        <v>174</v>
      </c>
      <c r="CD2799" s="2">
        <v>7441</v>
      </c>
      <c r="CE2799" s="2" t="s">
        <v>120</v>
      </c>
      <c r="CF2799" s="3">
        <v>43090</v>
      </c>
      <c r="CI2799" s="2">
        <v>1</v>
      </c>
      <c r="CJ2799" s="2">
        <v>1</v>
      </c>
      <c r="CK2799" s="2">
        <v>21</v>
      </c>
      <c r="CL2799" s="2" t="s">
        <v>89</v>
      </c>
    </row>
    <row r="2800" spans="1:90">
      <c r="A2800" s="2" t="s">
        <v>71</v>
      </c>
      <c r="B2800" s="2" t="s">
        <v>72</v>
      </c>
      <c r="C2800" s="2" t="s">
        <v>73</v>
      </c>
      <c r="E2800" s="2" t="str">
        <f>"FES1162596847"</f>
        <v>FES1162596847</v>
      </c>
      <c r="F2800" s="3">
        <v>43088</v>
      </c>
      <c r="G2800" s="2">
        <v>201806</v>
      </c>
      <c r="H2800" s="2" t="s">
        <v>74</v>
      </c>
      <c r="I2800" s="2" t="s">
        <v>75</v>
      </c>
      <c r="J2800" s="2" t="s">
        <v>97</v>
      </c>
      <c r="K2800" s="2" t="s">
        <v>77</v>
      </c>
      <c r="L2800" s="2" t="s">
        <v>253</v>
      </c>
      <c r="M2800" s="2" t="s">
        <v>254</v>
      </c>
      <c r="N2800" s="2" t="s">
        <v>704</v>
      </c>
      <c r="O2800" s="2" t="s">
        <v>101</v>
      </c>
      <c r="P2800" s="2" t="str">
        <f>"2170605572                    "</f>
        <v xml:space="preserve">2170605572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6.43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1</v>
      </c>
      <c r="BJ2800" s="2">
        <v>0.2</v>
      </c>
      <c r="BK2800" s="2">
        <v>1</v>
      </c>
      <c r="BL2800" s="2">
        <v>45.93</v>
      </c>
      <c r="BM2800" s="2">
        <v>6.43</v>
      </c>
      <c r="BN2800" s="2">
        <v>52.36</v>
      </c>
      <c r="BO2800" s="2">
        <v>52.36</v>
      </c>
      <c r="BQ2800" s="2" t="s">
        <v>82</v>
      </c>
      <c r="BR2800" s="2" t="s">
        <v>103</v>
      </c>
      <c r="BS2800" s="3">
        <v>43089</v>
      </c>
      <c r="BT2800" s="4">
        <v>0.55902777777777779</v>
      </c>
      <c r="BU2800" s="2" t="s">
        <v>2818</v>
      </c>
      <c r="BV2800" s="2" t="s">
        <v>89</v>
      </c>
      <c r="BY2800" s="2">
        <v>1200</v>
      </c>
      <c r="CC2800" s="2" t="s">
        <v>254</v>
      </c>
      <c r="CD2800" s="2">
        <v>1900</v>
      </c>
      <c r="CE2800" s="2" t="s">
        <v>120</v>
      </c>
      <c r="CF2800" s="3">
        <v>43090</v>
      </c>
      <c r="CI2800" s="2">
        <v>1</v>
      </c>
      <c r="CJ2800" s="2">
        <v>1</v>
      </c>
      <c r="CK2800" s="2">
        <v>21</v>
      </c>
      <c r="CL2800" s="2" t="s">
        <v>89</v>
      </c>
    </row>
    <row r="2801" spans="1:90">
      <c r="A2801" s="2" t="s">
        <v>71</v>
      </c>
      <c r="B2801" s="2" t="s">
        <v>72</v>
      </c>
      <c r="C2801" s="2" t="s">
        <v>73</v>
      </c>
      <c r="E2801" s="2" t="str">
        <f>"FES1162597019"</f>
        <v>FES1162597019</v>
      </c>
      <c r="F2801" s="3">
        <v>43088</v>
      </c>
      <c r="G2801" s="2">
        <v>201806</v>
      </c>
      <c r="H2801" s="2" t="s">
        <v>74</v>
      </c>
      <c r="I2801" s="2" t="s">
        <v>75</v>
      </c>
      <c r="J2801" s="2" t="s">
        <v>97</v>
      </c>
      <c r="K2801" s="2" t="s">
        <v>77</v>
      </c>
      <c r="L2801" s="2" t="s">
        <v>125</v>
      </c>
      <c r="M2801" s="2" t="s">
        <v>126</v>
      </c>
      <c r="N2801" s="2" t="s">
        <v>1034</v>
      </c>
      <c r="O2801" s="2" t="s">
        <v>101</v>
      </c>
      <c r="P2801" s="2" t="str">
        <f>"2170608534                    "</f>
        <v xml:space="preserve">2170608534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6.43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1</v>
      </c>
      <c r="BJ2801" s="2">
        <v>0.2</v>
      </c>
      <c r="BK2801" s="2">
        <v>1</v>
      </c>
      <c r="BL2801" s="2">
        <v>45.93</v>
      </c>
      <c r="BM2801" s="2">
        <v>6.43</v>
      </c>
      <c r="BN2801" s="2">
        <v>52.36</v>
      </c>
      <c r="BO2801" s="2">
        <v>52.36</v>
      </c>
      <c r="BQ2801" s="2" t="s">
        <v>128</v>
      </c>
      <c r="BR2801" s="2" t="s">
        <v>103</v>
      </c>
      <c r="BS2801" s="3">
        <v>43091</v>
      </c>
      <c r="BT2801" s="4">
        <v>0.41666666666666669</v>
      </c>
      <c r="BU2801" s="2" t="s">
        <v>301</v>
      </c>
      <c r="BV2801" s="2" t="s">
        <v>89</v>
      </c>
      <c r="BW2801" s="2" t="s">
        <v>149</v>
      </c>
      <c r="BX2801" s="2" t="s">
        <v>1390</v>
      </c>
      <c r="BY2801" s="2">
        <v>1200</v>
      </c>
      <c r="CC2801" s="2" t="s">
        <v>126</v>
      </c>
      <c r="CD2801" s="2">
        <v>4001</v>
      </c>
      <c r="CE2801" s="2" t="s">
        <v>120</v>
      </c>
      <c r="CF2801" s="3">
        <v>43096</v>
      </c>
      <c r="CI2801" s="2">
        <v>1</v>
      </c>
      <c r="CJ2801" s="2">
        <v>3</v>
      </c>
      <c r="CK2801" s="2">
        <v>21</v>
      </c>
      <c r="CL2801" s="2" t="s">
        <v>89</v>
      </c>
    </row>
    <row r="2802" spans="1:90">
      <c r="A2802" s="2" t="s">
        <v>71</v>
      </c>
      <c r="B2802" s="2" t="s">
        <v>72</v>
      </c>
      <c r="C2802" s="2" t="s">
        <v>73</v>
      </c>
      <c r="E2802" s="2" t="str">
        <f>"FES1162596937"</f>
        <v>FES1162596937</v>
      </c>
      <c r="F2802" s="3">
        <v>43088</v>
      </c>
      <c r="G2802" s="2">
        <v>201806</v>
      </c>
      <c r="H2802" s="2" t="s">
        <v>74</v>
      </c>
      <c r="I2802" s="2" t="s">
        <v>75</v>
      </c>
      <c r="J2802" s="2" t="s">
        <v>97</v>
      </c>
      <c r="K2802" s="2" t="s">
        <v>77</v>
      </c>
      <c r="L2802" s="2" t="s">
        <v>74</v>
      </c>
      <c r="M2802" s="2" t="s">
        <v>75</v>
      </c>
      <c r="N2802" s="2" t="s">
        <v>204</v>
      </c>
      <c r="O2802" s="2" t="s">
        <v>101</v>
      </c>
      <c r="P2802" s="2" t="str">
        <f>"2170608473                    "</f>
        <v xml:space="preserve">2170608473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5.03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1</v>
      </c>
      <c r="BJ2802" s="2">
        <v>0.2</v>
      </c>
      <c r="BK2802" s="2">
        <v>1</v>
      </c>
      <c r="BL2802" s="2">
        <v>35.89</v>
      </c>
      <c r="BM2802" s="2">
        <v>5.0199999999999996</v>
      </c>
      <c r="BN2802" s="2">
        <v>40.909999999999997</v>
      </c>
      <c r="BO2802" s="2">
        <v>40.909999999999997</v>
      </c>
      <c r="BQ2802" s="2" t="s">
        <v>102</v>
      </c>
      <c r="BR2802" s="2" t="s">
        <v>103</v>
      </c>
      <c r="BS2802" s="3">
        <v>43089</v>
      </c>
      <c r="BT2802" s="4">
        <v>0.32291666666666669</v>
      </c>
      <c r="BU2802" s="2" t="s">
        <v>2819</v>
      </c>
      <c r="BV2802" s="2" t="s">
        <v>85</v>
      </c>
      <c r="BY2802" s="2">
        <v>1200</v>
      </c>
      <c r="CA2802" s="2" t="s">
        <v>206</v>
      </c>
      <c r="CC2802" s="2" t="s">
        <v>75</v>
      </c>
      <c r="CD2802" s="2">
        <v>1645</v>
      </c>
      <c r="CE2802" s="2" t="s">
        <v>120</v>
      </c>
      <c r="CF2802" s="3">
        <v>43090</v>
      </c>
      <c r="CI2802" s="2">
        <v>1</v>
      </c>
      <c r="CJ2802" s="2">
        <v>1</v>
      </c>
      <c r="CK2802" s="2">
        <v>22</v>
      </c>
      <c r="CL2802" s="2" t="s">
        <v>89</v>
      </c>
    </row>
    <row r="2803" spans="1:90">
      <c r="A2803" s="2" t="s">
        <v>71</v>
      </c>
      <c r="B2803" s="2" t="s">
        <v>72</v>
      </c>
      <c r="C2803" s="2" t="s">
        <v>73</v>
      </c>
      <c r="E2803" s="2" t="str">
        <f>"FES1162596822"</f>
        <v>FES1162596822</v>
      </c>
      <c r="F2803" s="3">
        <v>43088</v>
      </c>
      <c r="G2803" s="2">
        <v>201806</v>
      </c>
      <c r="H2803" s="2" t="s">
        <v>74</v>
      </c>
      <c r="I2803" s="2" t="s">
        <v>75</v>
      </c>
      <c r="J2803" s="2" t="s">
        <v>97</v>
      </c>
      <c r="K2803" s="2" t="s">
        <v>77</v>
      </c>
      <c r="L2803" s="2" t="s">
        <v>115</v>
      </c>
      <c r="M2803" s="2" t="s">
        <v>116</v>
      </c>
      <c r="N2803" s="2" t="s">
        <v>1113</v>
      </c>
      <c r="O2803" s="2" t="s">
        <v>101</v>
      </c>
      <c r="P2803" s="2" t="str">
        <f>"2170602282                    "</f>
        <v xml:space="preserve">2170602282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5.03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1</v>
      </c>
      <c r="BJ2803" s="2">
        <v>0.2</v>
      </c>
      <c r="BK2803" s="2">
        <v>1</v>
      </c>
      <c r="BL2803" s="2">
        <v>35.89</v>
      </c>
      <c r="BM2803" s="2">
        <v>5.0199999999999996</v>
      </c>
      <c r="BN2803" s="2">
        <v>40.909999999999997</v>
      </c>
      <c r="BO2803" s="2">
        <v>40.909999999999997</v>
      </c>
      <c r="BQ2803" s="2" t="s">
        <v>102</v>
      </c>
      <c r="BR2803" s="2" t="s">
        <v>103</v>
      </c>
      <c r="BS2803" s="3">
        <v>43089</v>
      </c>
      <c r="BT2803" s="4">
        <v>0.4375</v>
      </c>
      <c r="BU2803" s="2" t="s">
        <v>2820</v>
      </c>
      <c r="BV2803" s="2" t="s">
        <v>85</v>
      </c>
      <c r="BY2803" s="2">
        <v>1200</v>
      </c>
      <c r="CC2803" s="2" t="s">
        <v>116</v>
      </c>
      <c r="CD2803" s="2">
        <v>1460</v>
      </c>
      <c r="CE2803" s="2" t="s">
        <v>120</v>
      </c>
      <c r="CF2803" s="3">
        <v>43090</v>
      </c>
      <c r="CI2803" s="2">
        <v>1</v>
      </c>
      <c r="CJ2803" s="2">
        <v>1</v>
      </c>
      <c r="CK2803" s="2">
        <v>22</v>
      </c>
      <c r="CL2803" s="2" t="s">
        <v>89</v>
      </c>
    </row>
    <row r="2804" spans="1:90">
      <c r="A2804" s="2" t="s">
        <v>71</v>
      </c>
      <c r="B2804" s="2" t="s">
        <v>72</v>
      </c>
      <c r="C2804" s="2" t="s">
        <v>73</v>
      </c>
      <c r="E2804" s="2" t="str">
        <f>"FES1162596922"</f>
        <v>FES1162596922</v>
      </c>
      <c r="F2804" s="3">
        <v>43088</v>
      </c>
      <c r="G2804" s="2">
        <v>201806</v>
      </c>
      <c r="H2804" s="2" t="s">
        <v>74</v>
      </c>
      <c r="I2804" s="2" t="s">
        <v>75</v>
      </c>
      <c r="J2804" s="2" t="s">
        <v>97</v>
      </c>
      <c r="K2804" s="2" t="s">
        <v>77</v>
      </c>
      <c r="L2804" s="2" t="s">
        <v>74</v>
      </c>
      <c r="M2804" s="2" t="s">
        <v>75</v>
      </c>
      <c r="N2804" s="2" t="s">
        <v>204</v>
      </c>
      <c r="O2804" s="2" t="s">
        <v>101</v>
      </c>
      <c r="P2804" s="2" t="str">
        <f>"2170608451                    "</f>
        <v xml:space="preserve">2170608451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5.03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0.2</v>
      </c>
      <c r="BK2804" s="2">
        <v>1</v>
      </c>
      <c r="BL2804" s="2">
        <v>35.89</v>
      </c>
      <c r="BM2804" s="2">
        <v>5.0199999999999996</v>
      </c>
      <c r="BN2804" s="2">
        <v>40.909999999999997</v>
      </c>
      <c r="BO2804" s="2">
        <v>40.909999999999997</v>
      </c>
      <c r="BQ2804" s="2" t="s">
        <v>102</v>
      </c>
      <c r="BR2804" s="2" t="s">
        <v>103</v>
      </c>
      <c r="BS2804" s="3">
        <v>43089</v>
      </c>
      <c r="BT2804" s="4">
        <v>0.32291666666666669</v>
      </c>
      <c r="BU2804" s="2" t="s">
        <v>2788</v>
      </c>
      <c r="BV2804" s="2" t="s">
        <v>85</v>
      </c>
      <c r="BY2804" s="2">
        <v>1200</v>
      </c>
      <c r="CA2804" s="2" t="s">
        <v>206</v>
      </c>
      <c r="CC2804" s="2" t="s">
        <v>75</v>
      </c>
      <c r="CD2804" s="2">
        <v>1645</v>
      </c>
      <c r="CE2804" s="2" t="s">
        <v>120</v>
      </c>
      <c r="CF2804" s="3">
        <v>43090</v>
      </c>
      <c r="CI2804" s="2">
        <v>1</v>
      </c>
      <c r="CJ2804" s="2">
        <v>1</v>
      </c>
      <c r="CK2804" s="2">
        <v>22</v>
      </c>
      <c r="CL2804" s="2" t="s">
        <v>89</v>
      </c>
    </row>
    <row r="2805" spans="1:90">
      <c r="A2805" s="2" t="s">
        <v>71</v>
      </c>
      <c r="B2805" s="2" t="s">
        <v>72</v>
      </c>
      <c r="C2805" s="2" t="s">
        <v>73</v>
      </c>
      <c r="E2805" s="2" t="str">
        <f>"FES1162595884"</f>
        <v>FES1162595884</v>
      </c>
      <c r="F2805" s="3">
        <v>43088</v>
      </c>
      <c r="G2805" s="2">
        <v>201806</v>
      </c>
      <c r="H2805" s="2" t="s">
        <v>74</v>
      </c>
      <c r="I2805" s="2" t="s">
        <v>75</v>
      </c>
      <c r="J2805" s="2" t="s">
        <v>97</v>
      </c>
      <c r="K2805" s="2" t="s">
        <v>77</v>
      </c>
      <c r="L2805" s="2" t="s">
        <v>115</v>
      </c>
      <c r="M2805" s="2" t="s">
        <v>116</v>
      </c>
      <c r="N2805" s="2" t="s">
        <v>1065</v>
      </c>
      <c r="O2805" s="2" t="s">
        <v>101</v>
      </c>
      <c r="P2805" s="2" t="str">
        <f>"2170606728                    "</f>
        <v xml:space="preserve">2170606728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5.03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</v>
      </c>
      <c r="BJ2805" s="2">
        <v>0.2</v>
      </c>
      <c r="BK2805" s="2">
        <v>1</v>
      </c>
      <c r="BL2805" s="2">
        <v>35.89</v>
      </c>
      <c r="BM2805" s="2">
        <v>5.0199999999999996</v>
      </c>
      <c r="BN2805" s="2">
        <v>40.909999999999997</v>
      </c>
      <c r="BO2805" s="2">
        <v>40.909999999999997</v>
      </c>
      <c r="BQ2805" s="2" t="s">
        <v>1066</v>
      </c>
      <c r="BR2805" s="2" t="s">
        <v>103</v>
      </c>
      <c r="BS2805" s="3">
        <v>43089</v>
      </c>
      <c r="BT2805" s="4">
        <v>0.35000000000000003</v>
      </c>
      <c r="BU2805" s="2" t="s">
        <v>2821</v>
      </c>
      <c r="BV2805" s="2" t="s">
        <v>85</v>
      </c>
      <c r="BY2805" s="2">
        <v>1200</v>
      </c>
      <c r="CA2805" s="2" t="s">
        <v>386</v>
      </c>
      <c r="CC2805" s="2" t="s">
        <v>116</v>
      </c>
      <c r="CD2805" s="2">
        <v>1459</v>
      </c>
      <c r="CE2805" s="2" t="s">
        <v>120</v>
      </c>
      <c r="CF2805" s="3">
        <v>43090</v>
      </c>
      <c r="CI2805" s="2">
        <v>1</v>
      </c>
      <c r="CJ2805" s="2">
        <v>1</v>
      </c>
      <c r="CK2805" s="2">
        <v>22</v>
      </c>
      <c r="CL2805" s="2" t="s">
        <v>89</v>
      </c>
    </row>
    <row r="2806" spans="1:90">
      <c r="A2806" s="2" t="s">
        <v>71</v>
      </c>
      <c r="B2806" s="2" t="s">
        <v>72</v>
      </c>
      <c r="C2806" s="2" t="s">
        <v>73</v>
      </c>
      <c r="E2806" s="2" t="str">
        <f>"FES1162595275"</f>
        <v>FES1162595275</v>
      </c>
      <c r="F2806" s="3">
        <v>43088</v>
      </c>
      <c r="G2806" s="2">
        <v>201806</v>
      </c>
      <c r="H2806" s="2" t="s">
        <v>74</v>
      </c>
      <c r="I2806" s="2" t="s">
        <v>75</v>
      </c>
      <c r="J2806" s="2" t="s">
        <v>97</v>
      </c>
      <c r="K2806" s="2" t="s">
        <v>77</v>
      </c>
      <c r="L2806" s="2" t="s">
        <v>115</v>
      </c>
      <c r="M2806" s="2" t="s">
        <v>116</v>
      </c>
      <c r="N2806" s="2" t="s">
        <v>2822</v>
      </c>
      <c r="O2806" s="2" t="s">
        <v>101</v>
      </c>
      <c r="P2806" s="2" t="str">
        <f>"2170606510                    "</f>
        <v xml:space="preserve">2170606510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5.03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</v>
      </c>
      <c r="BJ2806" s="2">
        <v>0.2</v>
      </c>
      <c r="BK2806" s="2">
        <v>1</v>
      </c>
      <c r="BL2806" s="2">
        <v>35.89</v>
      </c>
      <c r="BM2806" s="2">
        <v>5.0199999999999996</v>
      </c>
      <c r="BN2806" s="2">
        <v>40.909999999999997</v>
      </c>
      <c r="BO2806" s="2">
        <v>40.909999999999997</v>
      </c>
      <c r="BQ2806" s="2" t="s">
        <v>102</v>
      </c>
      <c r="BR2806" s="2" t="s">
        <v>103</v>
      </c>
      <c r="BS2806" s="3">
        <v>43090</v>
      </c>
      <c r="BT2806" s="4">
        <v>0.41666666666666669</v>
      </c>
      <c r="BU2806" s="2" t="s">
        <v>275</v>
      </c>
      <c r="BV2806" s="2" t="s">
        <v>89</v>
      </c>
      <c r="BW2806" s="2" t="s">
        <v>149</v>
      </c>
      <c r="BX2806" s="2" t="s">
        <v>157</v>
      </c>
      <c r="BY2806" s="2">
        <v>1200</v>
      </c>
      <c r="CC2806" s="2" t="s">
        <v>116</v>
      </c>
      <c r="CD2806" s="2">
        <v>1459</v>
      </c>
      <c r="CE2806" s="2" t="s">
        <v>120</v>
      </c>
      <c r="CF2806" s="3">
        <v>43091</v>
      </c>
      <c r="CI2806" s="2">
        <v>1</v>
      </c>
      <c r="CJ2806" s="2">
        <v>2</v>
      </c>
      <c r="CK2806" s="2">
        <v>22</v>
      </c>
      <c r="CL2806" s="2" t="s">
        <v>89</v>
      </c>
    </row>
    <row r="2807" spans="1:90">
      <c r="A2807" s="2" t="s">
        <v>71</v>
      </c>
      <c r="B2807" s="2" t="s">
        <v>72</v>
      </c>
      <c r="C2807" s="2" t="s">
        <v>73</v>
      </c>
      <c r="E2807" s="2" t="str">
        <f>"FES1162596841"</f>
        <v>FES1162596841</v>
      </c>
      <c r="F2807" s="3">
        <v>43088</v>
      </c>
      <c r="G2807" s="2">
        <v>201806</v>
      </c>
      <c r="H2807" s="2" t="s">
        <v>74</v>
      </c>
      <c r="I2807" s="2" t="s">
        <v>75</v>
      </c>
      <c r="J2807" s="2" t="s">
        <v>97</v>
      </c>
      <c r="K2807" s="2" t="s">
        <v>77</v>
      </c>
      <c r="L2807" s="2" t="s">
        <v>106</v>
      </c>
      <c r="M2807" s="2" t="s">
        <v>107</v>
      </c>
      <c r="N2807" s="2" t="s">
        <v>2823</v>
      </c>
      <c r="O2807" s="2" t="s">
        <v>101</v>
      </c>
      <c r="P2807" s="2" t="str">
        <f>"2170605500                    "</f>
        <v xml:space="preserve">2170605500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5.03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</v>
      </c>
      <c r="BJ2807" s="2">
        <v>0.2</v>
      </c>
      <c r="BK2807" s="2">
        <v>1</v>
      </c>
      <c r="BL2807" s="2">
        <v>35.89</v>
      </c>
      <c r="BM2807" s="2">
        <v>5.0199999999999996</v>
      </c>
      <c r="BN2807" s="2">
        <v>40.909999999999997</v>
      </c>
      <c r="BO2807" s="2">
        <v>40.909999999999997</v>
      </c>
      <c r="BQ2807" s="2" t="s">
        <v>2824</v>
      </c>
      <c r="BR2807" s="2" t="s">
        <v>103</v>
      </c>
      <c r="BS2807" s="3">
        <v>43089</v>
      </c>
      <c r="BT2807" s="4">
        <v>0.36458333333333331</v>
      </c>
      <c r="BU2807" s="2" t="s">
        <v>2825</v>
      </c>
      <c r="BV2807" s="2" t="s">
        <v>85</v>
      </c>
      <c r="BY2807" s="2">
        <v>1200</v>
      </c>
      <c r="CA2807" s="2" t="s">
        <v>110</v>
      </c>
      <c r="CC2807" s="2" t="s">
        <v>107</v>
      </c>
      <c r="CD2807" s="2">
        <v>2094</v>
      </c>
      <c r="CE2807" s="2" t="s">
        <v>120</v>
      </c>
      <c r="CF2807" s="3">
        <v>43090</v>
      </c>
      <c r="CI2807" s="2">
        <v>1</v>
      </c>
      <c r="CJ2807" s="2">
        <v>1</v>
      </c>
      <c r="CK2807" s="2">
        <v>22</v>
      </c>
      <c r="CL2807" s="2" t="s">
        <v>89</v>
      </c>
    </row>
    <row r="2808" spans="1:90">
      <c r="A2808" s="2" t="s">
        <v>71</v>
      </c>
      <c r="B2808" s="2" t="s">
        <v>72</v>
      </c>
      <c r="C2808" s="2" t="s">
        <v>73</v>
      </c>
      <c r="E2808" s="2" t="str">
        <f>"FES1162596872"</f>
        <v>FES1162596872</v>
      </c>
      <c r="F2808" s="3">
        <v>43088</v>
      </c>
      <c r="G2808" s="2">
        <v>201806</v>
      </c>
      <c r="H2808" s="2" t="s">
        <v>74</v>
      </c>
      <c r="I2808" s="2" t="s">
        <v>75</v>
      </c>
      <c r="J2808" s="2" t="s">
        <v>97</v>
      </c>
      <c r="K2808" s="2" t="s">
        <v>77</v>
      </c>
      <c r="L2808" s="2" t="s">
        <v>422</v>
      </c>
      <c r="M2808" s="2" t="s">
        <v>423</v>
      </c>
      <c r="N2808" s="2" t="s">
        <v>424</v>
      </c>
      <c r="O2808" s="2" t="s">
        <v>101</v>
      </c>
      <c r="P2808" s="2" t="str">
        <f>"2170605793                    "</f>
        <v xml:space="preserve">2170605793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5.03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</v>
      </c>
      <c r="BJ2808" s="2">
        <v>0.2</v>
      </c>
      <c r="BK2808" s="2">
        <v>1</v>
      </c>
      <c r="BL2808" s="2">
        <v>35.89</v>
      </c>
      <c r="BM2808" s="2">
        <v>5.0199999999999996</v>
      </c>
      <c r="BN2808" s="2">
        <v>40.909999999999997</v>
      </c>
      <c r="BO2808" s="2">
        <v>40.909999999999997</v>
      </c>
      <c r="BQ2808" s="2" t="s">
        <v>102</v>
      </c>
      <c r="BR2808" s="2" t="s">
        <v>103</v>
      </c>
      <c r="BS2808" s="3">
        <v>43089</v>
      </c>
      <c r="BT2808" s="4">
        <v>0.40277777777777773</v>
      </c>
      <c r="BU2808" s="2" t="s">
        <v>2826</v>
      </c>
      <c r="BV2808" s="2" t="s">
        <v>85</v>
      </c>
      <c r="BY2808" s="2">
        <v>1200</v>
      </c>
      <c r="CA2808" s="2" t="s">
        <v>426</v>
      </c>
      <c r="CC2808" s="2" t="s">
        <v>423</v>
      </c>
      <c r="CD2808" s="2">
        <v>1540</v>
      </c>
      <c r="CE2808" s="2" t="s">
        <v>120</v>
      </c>
      <c r="CF2808" s="3">
        <v>43089</v>
      </c>
      <c r="CI2808" s="2">
        <v>1</v>
      </c>
      <c r="CJ2808" s="2">
        <v>1</v>
      </c>
      <c r="CK2808" s="2">
        <v>22</v>
      </c>
      <c r="CL2808" s="2" t="s">
        <v>89</v>
      </c>
    </row>
    <row r="2809" spans="1:90">
      <c r="A2809" s="2" t="s">
        <v>71</v>
      </c>
      <c r="B2809" s="2" t="s">
        <v>72</v>
      </c>
      <c r="C2809" s="2" t="s">
        <v>73</v>
      </c>
      <c r="E2809" s="2" t="str">
        <f>"FES1162596970"</f>
        <v>FES1162596970</v>
      </c>
      <c r="F2809" s="3">
        <v>43088</v>
      </c>
      <c r="G2809" s="2">
        <v>201806</v>
      </c>
      <c r="H2809" s="2" t="s">
        <v>74</v>
      </c>
      <c r="I2809" s="2" t="s">
        <v>75</v>
      </c>
      <c r="J2809" s="2" t="s">
        <v>97</v>
      </c>
      <c r="K2809" s="2" t="s">
        <v>77</v>
      </c>
      <c r="L2809" s="2" t="s">
        <v>212</v>
      </c>
      <c r="M2809" s="2" t="s">
        <v>212</v>
      </c>
      <c r="N2809" s="2" t="s">
        <v>213</v>
      </c>
      <c r="O2809" s="2" t="s">
        <v>101</v>
      </c>
      <c r="P2809" s="2" t="str">
        <f>"2170604221                    "</f>
        <v xml:space="preserve">2170604221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14.47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2.1</v>
      </c>
      <c r="BJ2809" s="2">
        <v>4.0999999999999996</v>
      </c>
      <c r="BK2809" s="2">
        <v>4.5</v>
      </c>
      <c r="BL2809" s="2">
        <v>103.32</v>
      </c>
      <c r="BM2809" s="2">
        <v>14.46</v>
      </c>
      <c r="BN2809" s="2">
        <v>117.78</v>
      </c>
      <c r="BO2809" s="2">
        <v>117.78</v>
      </c>
      <c r="BQ2809" s="2" t="s">
        <v>102</v>
      </c>
      <c r="BR2809" s="2" t="s">
        <v>103</v>
      </c>
      <c r="BS2809" s="3">
        <v>43089</v>
      </c>
      <c r="BT2809" s="4">
        <v>0.52777777777777779</v>
      </c>
      <c r="BU2809" s="2" t="s">
        <v>2757</v>
      </c>
      <c r="BV2809" s="2" t="s">
        <v>85</v>
      </c>
      <c r="BY2809" s="2">
        <v>20259.72</v>
      </c>
      <c r="CC2809" s="2" t="s">
        <v>212</v>
      </c>
      <c r="CD2809" s="2">
        <v>7646</v>
      </c>
      <c r="CE2809" s="2" t="s">
        <v>87</v>
      </c>
      <c r="CF2809" s="3">
        <v>43090</v>
      </c>
      <c r="CI2809" s="2">
        <v>1</v>
      </c>
      <c r="CJ2809" s="2">
        <v>1</v>
      </c>
      <c r="CK2809" s="2">
        <v>21</v>
      </c>
      <c r="CL2809" s="2" t="s">
        <v>89</v>
      </c>
    </row>
    <row r="2810" spans="1:90">
      <c r="A2810" s="2" t="s">
        <v>71</v>
      </c>
      <c r="B2810" s="2" t="s">
        <v>72</v>
      </c>
      <c r="C2810" s="2" t="s">
        <v>73</v>
      </c>
      <c r="E2810" s="2" t="str">
        <f>"FES1162595775"</f>
        <v>FES1162595775</v>
      </c>
      <c r="F2810" s="3">
        <v>43088</v>
      </c>
      <c r="G2810" s="2">
        <v>201806</v>
      </c>
      <c r="H2810" s="2" t="s">
        <v>74</v>
      </c>
      <c r="I2810" s="2" t="s">
        <v>75</v>
      </c>
      <c r="J2810" s="2" t="s">
        <v>97</v>
      </c>
      <c r="K2810" s="2" t="s">
        <v>77</v>
      </c>
      <c r="L2810" s="2" t="s">
        <v>521</v>
      </c>
      <c r="M2810" s="2" t="s">
        <v>522</v>
      </c>
      <c r="N2810" s="2" t="s">
        <v>523</v>
      </c>
      <c r="O2810" s="2" t="s">
        <v>101</v>
      </c>
      <c r="P2810" s="2" t="str">
        <f>"2170607592                    "</f>
        <v xml:space="preserve">2170607592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6.43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1.3</v>
      </c>
      <c r="BJ2810" s="2">
        <v>1.4</v>
      </c>
      <c r="BK2810" s="2">
        <v>1.5</v>
      </c>
      <c r="BL2810" s="2">
        <v>45.93</v>
      </c>
      <c r="BM2810" s="2">
        <v>6.43</v>
      </c>
      <c r="BN2810" s="2">
        <v>52.36</v>
      </c>
      <c r="BO2810" s="2">
        <v>52.36</v>
      </c>
      <c r="BQ2810" s="2" t="s">
        <v>102</v>
      </c>
      <c r="BR2810" s="2" t="s">
        <v>103</v>
      </c>
      <c r="BS2810" s="3">
        <v>43089</v>
      </c>
      <c r="BT2810" s="4">
        <v>0.43055555555555558</v>
      </c>
      <c r="BU2810" s="2" t="s">
        <v>524</v>
      </c>
      <c r="BV2810" s="2" t="s">
        <v>85</v>
      </c>
      <c r="BY2810" s="2">
        <v>6982.57</v>
      </c>
      <c r="CA2810" s="2" t="s">
        <v>525</v>
      </c>
      <c r="CC2810" s="2" t="s">
        <v>522</v>
      </c>
      <c r="CD2810" s="2">
        <v>6536</v>
      </c>
      <c r="CE2810" s="2" t="s">
        <v>95</v>
      </c>
      <c r="CF2810" s="3">
        <v>43091</v>
      </c>
      <c r="CI2810" s="2">
        <v>1</v>
      </c>
      <c r="CJ2810" s="2">
        <v>1</v>
      </c>
      <c r="CK2810" s="2">
        <v>21</v>
      </c>
      <c r="CL2810" s="2" t="s">
        <v>89</v>
      </c>
    </row>
    <row r="2811" spans="1:90">
      <c r="A2811" s="2" t="s">
        <v>71</v>
      </c>
      <c r="B2811" s="2" t="s">
        <v>72</v>
      </c>
      <c r="C2811" s="2" t="s">
        <v>73</v>
      </c>
      <c r="E2811" s="2" t="str">
        <f>"FES1162597003"</f>
        <v>FES1162597003</v>
      </c>
      <c r="F2811" s="3">
        <v>43088</v>
      </c>
      <c r="G2811" s="2">
        <v>201806</v>
      </c>
      <c r="H2811" s="2" t="s">
        <v>74</v>
      </c>
      <c r="I2811" s="2" t="s">
        <v>75</v>
      </c>
      <c r="J2811" s="2" t="s">
        <v>97</v>
      </c>
      <c r="K2811" s="2" t="s">
        <v>77</v>
      </c>
      <c r="L2811" s="2" t="s">
        <v>173</v>
      </c>
      <c r="M2811" s="2" t="s">
        <v>174</v>
      </c>
      <c r="N2811" s="2" t="s">
        <v>1939</v>
      </c>
      <c r="O2811" s="2" t="s">
        <v>101</v>
      </c>
      <c r="P2811" s="2" t="str">
        <f>"2170608521                    "</f>
        <v xml:space="preserve">2170608521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6.43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1</v>
      </c>
      <c r="BJ2811" s="2">
        <v>0.2</v>
      </c>
      <c r="BK2811" s="2">
        <v>1</v>
      </c>
      <c r="BL2811" s="2">
        <v>45.93</v>
      </c>
      <c r="BM2811" s="2">
        <v>6.43</v>
      </c>
      <c r="BN2811" s="2">
        <v>52.36</v>
      </c>
      <c r="BO2811" s="2">
        <v>52.36</v>
      </c>
      <c r="BQ2811" s="2" t="s">
        <v>102</v>
      </c>
      <c r="BR2811" s="2" t="s">
        <v>103</v>
      </c>
      <c r="BS2811" s="3">
        <v>43089</v>
      </c>
      <c r="BT2811" s="4">
        <v>0.54791666666666672</v>
      </c>
      <c r="BU2811" s="2" t="s">
        <v>1940</v>
      </c>
      <c r="BV2811" s="2" t="s">
        <v>85</v>
      </c>
      <c r="BY2811" s="2">
        <v>1200</v>
      </c>
      <c r="CA2811" s="2" t="s">
        <v>216</v>
      </c>
      <c r="CC2811" s="2" t="s">
        <v>174</v>
      </c>
      <c r="CD2811" s="2">
        <v>7945</v>
      </c>
      <c r="CE2811" s="2" t="s">
        <v>120</v>
      </c>
      <c r="CF2811" s="3">
        <v>43090</v>
      </c>
      <c r="CI2811" s="2">
        <v>1</v>
      </c>
      <c r="CJ2811" s="2">
        <v>1</v>
      </c>
      <c r="CK2811" s="2">
        <v>21</v>
      </c>
      <c r="CL2811" s="2" t="s">
        <v>89</v>
      </c>
    </row>
    <row r="2812" spans="1:90">
      <c r="A2812" s="2" t="s">
        <v>71</v>
      </c>
      <c r="B2812" s="2" t="s">
        <v>72</v>
      </c>
      <c r="C2812" s="2" t="s">
        <v>73</v>
      </c>
      <c r="E2812" s="2" t="str">
        <f>"FES1162596954"</f>
        <v>FES1162596954</v>
      </c>
      <c r="F2812" s="3">
        <v>43088</v>
      </c>
      <c r="G2812" s="2">
        <v>201806</v>
      </c>
      <c r="H2812" s="2" t="s">
        <v>74</v>
      </c>
      <c r="I2812" s="2" t="s">
        <v>75</v>
      </c>
      <c r="J2812" s="2" t="s">
        <v>97</v>
      </c>
      <c r="K2812" s="2" t="s">
        <v>77</v>
      </c>
      <c r="L2812" s="2" t="s">
        <v>173</v>
      </c>
      <c r="M2812" s="2" t="s">
        <v>174</v>
      </c>
      <c r="N2812" s="2" t="s">
        <v>2108</v>
      </c>
      <c r="O2812" s="2" t="s">
        <v>101</v>
      </c>
      <c r="P2812" s="2" t="str">
        <f>"217060503                     "</f>
        <v xml:space="preserve">217060503 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6.43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1</v>
      </c>
      <c r="BJ2812" s="2">
        <v>0.2</v>
      </c>
      <c r="BK2812" s="2">
        <v>1</v>
      </c>
      <c r="BL2812" s="2">
        <v>45.93</v>
      </c>
      <c r="BM2812" s="2">
        <v>6.43</v>
      </c>
      <c r="BN2812" s="2">
        <v>52.36</v>
      </c>
      <c r="BO2812" s="2">
        <v>52.36</v>
      </c>
      <c r="BQ2812" s="2" t="s">
        <v>128</v>
      </c>
      <c r="BR2812" s="2" t="s">
        <v>103</v>
      </c>
      <c r="BS2812" s="3">
        <v>43090</v>
      </c>
      <c r="BT2812" s="4">
        <v>0.39583333333333331</v>
      </c>
      <c r="BU2812" s="2" t="s">
        <v>2827</v>
      </c>
      <c r="BV2812" s="2" t="s">
        <v>89</v>
      </c>
      <c r="BW2812" s="2" t="s">
        <v>471</v>
      </c>
      <c r="BX2812" s="2" t="s">
        <v>246</v>
      </c>
      <c r="BY2812" s="2">
        <v>1200</v>
      </c>
      <c r="CA2812" s="2" t="s">
        <v>293</v>
      </c>
      <c r="CC2812" s="2" t="s">
        <v>174</v>
      </c>
      <c r="CD2812" s="2">
        <v>7764</v>
      </c>
      <c r="CE2812" s="2" t="s">
        <v>120</v>
      </c>
      <c r="CF2812" s="3">
        <v>43091</v>
      </c>
      <c r="CI2812" s="2">
        <v>1</v>
      </c>
      <c r="CJ2812" s="2">
        <v>2</v>
      </c>
      <c r="CK2812" s="2">
        <v>21</v>
      </c>
      <c r="CL2812" s="2" t="s">
        <v>89</v>
      </c>
    </row>
    <row r="2813" spans="1:90">
      <c r="A2813" s="2" t="s">
        <v>71</v>
      </c>
      <c r="B2813" s="2" t="s">
        <v>72</v>
      </c>
      <c r="C2813" s="2" t="s">
        <v>73</v>
      </c>
      <c r="E2813" s="2" t="str">
        <f>"FES1162596829"</f>
        <v>FES1162596829</v>
      </c>
      <c r="F2813" s="3">
        <v>43088</v>
      </c>
      <c r="G2813" s="2">
        <v>201806</v>
      </c>
      <c r="H2813" s="2" t="s">
        <v>74</v>
      </c>
      <c r="I2813" s="2" t="s">
        <v>75</v>
      </c>
      <c r="J2813" s="2" t="s">
        <v>97</v>
      </c>
      <c r="K2813" s="2" t="s">
        <v>77</v>
      </c>
      <c r="L2813" s="2" t="s">
        <v>74</v>
      </c>
      <c r="M2813" s="2" t="s">
        <v>75</v>
      </c>
      <c r="N2813" s="2" t="s">
        <v>1719</v>
      </c>
      <c r="O2813" s="2" t="s">
        <v>101</v>
      </c>
      <c r="P2813" s="2" t="str">
        <f>"2170604550                    "</f>
        <v xml:space="preserve">2170604550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5.03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4.4000000000000004</v>
      </c>
      <c r="BJ2813" s="2">
        <v>3.5</v>
      </c>
      <c r="BK2813" s="2">
        <v>5</v>
      </c>
      <c r="BL2813" s="2">
        <v>35.89</v>
      </c>
      <c r="BM2813" s="2">
        <v>5.0199999999999996</v>
      </c>
      <c r="BN2813" s="2">
        <v>40.909999999999997</v>
      </c>
      <c r="BO2813" s="2">
        <v>40.909999999999997</v>
      </c>
      <c r="BQ2813" s="2" t="s">
        <v>2828</v>
      </c>
      <c r="BR2813" s="2" t="s">
        <v>103</v>
      </c>
      <c r="BS2813" s="3">
        <v>43089</v>
      </c>
      <c r="BT2813" s="4">
        <v>0.34166666666666662</v>
      </c>
      <c r="BU2813" s="2" t="s">
        <v>863</v>
      </c>
      <c r="BV2813" s="2" t="s">
        <v>85</v>
      </c>
      <c r="BY2813" s="2">
        <v>17596.21</v>
      </c>
      <c r="CC2813" s="2" t="s">
        <v>75</v>
      </c>
      <c r="CD2813" s="2">
        <v>1609</v>
      </c>
      <c r="CE2813" s="2" t="s">
        <v>95</v>
      </c>
      <c r="CF2813" s="3">
        <v>43090</v>
      </c>
      <c r="CI2813" s="2">
        <v>1</v>
      </c>
      <c r="CJ2813" s="2">
        <v>1</v>
      </c>
      <c r="CK2813" s="2">
        <v>22</v>
      </c>
      <c r="CL2813" s="2" t="s">
        <v>89</v>
      </c>
    </row>
    <row r="2814" spans="1:90">
      <c r="A2814" s="2" t="s">
        <v>71</v>
      </c>
      <c r="B2814" s="2" t="s">
        <v>72</v>
      </c>
      <c r="C2814" s="2" t="s">
        <v>73</v>
      </c>
      <c r="E2814" s="2" t="str">
        <f>"FES1162596982"</f>
        <v>FES1162596982</v>
      </c>
      <c r="F2814" s="3">
        <v>43088</v>
      </c>
      <c r="G2814" s="2">
        <v>201806</v>
      </c>
      <c r="H2814" s="2" t="s">
        <v>74</v>
      </c>
      <c r="I2814" s="2" t="s">
        <v>75</v>
      </c>
      <c r="J2814" s="2" t="s">
        <v>97</v>
      </c>
      <c r="K2814" s="2" t="s">
        <v>77</v>
      </c>
      <c r="L2814" s="2" t="s">
        <v>212</v>
      </c>
      <c r="M2814" s="2" t="s">
        <v>212</v>
      </c>
      <c r="N2814" s="2" t="s">
        <v>213</v>
      </c>
      <c r="O2814" s="2" t="s">
        <v>101</v>
      </c>
      <c r="P2814" s="2" t="str">
        <f>"2170608513                    "</f>
        <v xml:space="preserve">2170608513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6.43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1</v>
      </c>
      <c r="BJ2814" s="2">
        <v>0.2</v>
      </c>
      <c r="BK2814" s="2">
        <v>1</v>
      </c>
      <c r="BL2814" s="2">
        <v>45.93</v>
      </c>
      <c r="BM2814" s="2">
        <v>6.43</v>
      </c>
      <c r="BN2814" s="2">
        <v>52.36</v>
      </c>
      <c r="BO2814" s="2">
        <v>52.36</v>
      </c>
      <c r="BQ2814" s="2" t="s">
        <v>102</v>
      </c>
      <c r="BR2814" s="2" t="s">
        <v>103</v>
      </c>
      <c r="BS2814" s="3">
        <v>43089</v>
      </c>
      <c r="BT2814" s="4">
        <v>0.52777777777777779</v>
      </c>
      <c r="BU2814" s="2" t="s">
        <v>2757</v>
      </c>
      <c r="BV2814" s="2" t="s">
        <v>85</v>
      </c>
      <c r="BY2814" s="2">
        <v>1200</v>
      </c>
      <c r="CC2814" s="2" t="s">
        <v>212</v>
      </c>
      <c r="CD2814" s="2">
        <v>7646</v>
      </c>
      <c r="CE2814" s="2" t="s">
        <v>120</v>
      </c>
      <c r="CF2814" s="3">
        <v>43090</v>
      </c>
      <c r="CI2814" s="2">
        <v>1</v>
      </c>
      <c r="CJ2814" s="2">
        <v>1</v>
      </c>
      <c r="CK2814" s="2">
        <v>21</v>
      </c>
      <c r="CL2814" s="2" t="s">
        <v>89</v>
      </c>
    </row>
    <row r="2815" spans="1:90">
      <c r="A2815" s="2" t="s">
        <v>71</v>
      </c>
      <c r="B2815" s="2" t="s">
        <v>72</v>
      </c>
      <c r="C2815" s="2" t="s">
        <v>73</v>
      </c>
      <c r="E2815" s="2" t="str">
        <f>"FES1162597001"</f>
        <v>FES1162597001</v>
      </c>
      <c r="F2815" s="3">
        <v>43088</v>
      </c>
      <c r="G2815" s="2">
        <v>201806</v>
      </c>
      <c r="H2815" s="2" t="s">
        <v>74</v>
      </c>
      <c r="I2815" s="2" t="s">
        <v>75</v>
      </c>
      <c r="J2815" s="2" t="s">
        <v>97</v>
      </c>
      <c r="K2815" s="2" t="s">
        <v>77</v>
      </c>
      <c r="L2815" s="2" t="s">
        <v>173</v>
      </c>
      <c r="M2815" s="2" t="s">
        <v>174</v>
      </c>
      <c r="N2815" s="2" t="s">
        <v>433</v>
      </c>
      <c r="O2815" s="2" t="s">
        <v>101</v>
      </c>
      <c r="P2815" s="2" t="str">
        <f>"2170608509                    "</f>
        <v xml:space="preserve">2170608509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6.43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1</v>
      </c>
      <c r="BJ2815" s="2">
        <v>0.2</v>
      </c>
      <c r="BK2815" s="2">
        <v>1</v>
      </c>
      <c r="BL2815" s="2">
        <v>45.93</v>
      </c>
      <c r="BM2815" s="2">
        <v>6.43</v>
      </c>
      <c r="BN2815" s="2">
        <v>52.36</v>
      </c>
      <c r="BO2815" s="2">
        <v>52.36</v>
      </c>
      <c r="BQ2815" s="2" t="s">
        <v>102</v>
      </c>
      <c r="BR2815" s="2" t="s">
        <v>103</v>
      </c>
      <c r="BS2815" s="3">
        <v>43089</v>
      </c>
      <c r="BT2815" s="4">
        <v>0.46111111111111108</v>
      </c>
      <c r="BU2815" s="2" t="s">
        <v>2791</v>
      </c>
      <c r="BV2815" s="2" t="s">
        <v>89</v>
      </c>
      <c r="BW2815" s="2" t="s">
        <v>313</v>
      </c>
      <c r="BX2815" s="2" t="s">
        <v>368</v>
      </c>
      <c r="BY2815" s="2">
        <v>1200</v>
      </c>
      <c r="CA2815" s="2" t="s">
        <v>177</v>
      </c>
      <c r="CC2815" s="2" t="s">
        <v>174</v>
      </c>
      <c r="CD2815" s="2">
        <v>7441</v>
      </c>
      <c r="CE2815" s="2" t="s">
        <v>120</v>
      </c>
      <c r="CF2815" s="3">
        <v>43090</v>
      </c>
      <c r="CI2815" s="2">
        <v>1</v>
      </c>
      <c r="CJ2815" s="2">
        <v>1</v>
      </c>
      <c r="CK2815" s="2">
        <v>21</v>
      </c>
      <c r="CL2815" s="2" t="s">
        <v>89</v>
      </c>
    </row>
    <row r="2816" spans="1:90">
      <c r="A2816" s="2" t="s">
        <v>71</v>
      </c>
      <c r="B2816" s="2" t="s">
        <v>72</v>
      </c>
      <c r="C2816" s="2" t="s">
        <v>73</v>
      </c>
      <c r="E2816" s="2" t="str">
        <f>"FES1162597036"</f>
        <v>FES1162597036</v>
      </c>
      <c r="F2816" s="3">
        <v>43088</v>
      </c>
      <c r="G2816" s="2">
        <v>201806</v>
      </c>
      <c r="H2816" s="2" t="s">
        <v>74</v>
      </c>
      <c r="I2816" s="2" t="s">
        <v>75</v>
      </c>
      <c r="J2816" s="2" t="s">
        <v>97</v>
      </c>
      <c r="K2816" s="2" t="s">
        <v>77</v>
      </c>
      <c r="L2816" s="2" t="s">
        <v>173</v>
      </c>
      <c r="M2816" s="2" t="s">
        <v>174</v>
      </c>
      <c r="N2816" s="2" t="s">
        <v>349</v>
      </c>
      <c r="O2816" s="2" t="s">
        <v>101</v>
      </c>
      <c r="P2816" s="2" t="str">
        <f>"2170608161                    "</f>
        <v xml:space="preserve">2170608161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6.43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0.9</v>
      </c>
      <c r="BJ2816" s="2">
        <v>0.9</v>
      </c>
      <c r="BK2816" s="2">
        <v>1</v>
      </c>
      <c r="BL2816" s="2">
        <v>45.93</v>
      </c>
      <c r="BM2816" s="2">
        <v>6.43</v>
      </c>
      <c r="BN2816" s="2">
        <v>52.36</v>
      </c>
      <c r="BO2816" s="2">
        <v>52.36</v>
      </c>
      <c r="BQ2816" s="2" t="s">
        <v>879</v>
      </c>
      <c r="BR2816" s="2" t="s">
        <v>103</v>
      </c>
      <c r="BS2816" s="3">
        <v>43089</v>
      </c>
      <c r="BT2816" s="4">
        <v>0.41666666666666669</v>
      </c>
      <c r="BU2816" s="2" t="s">
        <v>1036</v>
      </c>
      <c r="BV2816" s="2" t="s">
        <v>85</v>
      </c>
      <c r="BY2816" s="2">
        <v>4729.7299999999996</v>
      </c>
      <c r="CA2816" s="2" t="s">
        <v>1713</v>
      </c>
      <c r="CC2816" s="2" t="s">
        <v>174</v>
      </c>
      <c r="CD2816" s="2">
        <v>7800</v>
      </c>
      <c r="CE2816" s="2" t="s">
        <v>87</v>
      </c>
      <c r="CF2816" s="3">
        <v>43090</v>
      </c>
      <c r="CI2816" s="2">
        <v>1</v>
      </c>
      <c r="CJ2816" s="2">
        <v>1</v>
      </c>
      <c r="CK2816" s="2">
        <v>21</v>
      </c>
      <c r="CL2816" s="2" t="s">
        <v>89</v>
      </c>
    </row>
    <row r="2817" spans="1:90">
      <c r="A2817" s="2" t="s">
        <v>71</v>
      </c>
      <c r="B2817" s="2" t="s">
        <v>72</v>
      </c>
      <c r="C2817" s="2" t="s">
        <v>73</v>
      </c>
      <c r="E2817" s="2" t="str">
        <f>"FES1162597037"</f>
        <v>FES1162597037</v>
      </c>
      <c r="F2817" s="3">
        <v>43088</v>
      </c>
      <c r="G2817" s="2">
        <v>201806</v>
      </c>
      <c r="H2817" s="2" t="s">
        <v>74</v>
      </c>
      <c r="I2817" s="2" t="s">
        <v>75</v>
      </c>
      <c r="J2817" s="2" t="s">
        <v>97</v>
      </c>
      <c r="K2817" s="2" t="s">
        <v>77</v>
      </c>
      <c r="L2817" s="2" t="s">
        <v>173</v>
      </c>
      <c r="M2817" s="2" t="s">
        <v>174</v>
      </c>
      <c r="N2817" s="2" t="s">
        <v>232</v>
      </c>
      <c r="O2817" s="2" t="s">
        <v>101</v>
      </c>
      <c r="P2817" s="2" t="str">
        <f>"2170608280                    "</f>
        <v xml:space="preserve">2170608280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28.94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9</v>
      </c>
      <c r="BJ2817" s="2">
        <v>3.3</v>
      </c>
      <c r="BK2817" s="2">
        <v>9</v>
      </c>
      <c r="BL2817" s="2">
        <v>206.62</v>
      </c>
      <c r="BM2817" s="2">
        <v>28.93</v>
      </c>
      <c r="BN2817" s="2">
        <v>235.55</v>
      </c>
      <c r="BO2817" s="2">
        <v>235.55</v>
      </c>
      <c r="BQ2817" s="2" t="s">
        <v>102</v>
      </c>
      <c r="BR2817" s="2" t="s">
        <v>103</v>
      </c>
      <c r="BS2817" s="3">
        <v>43089</v>
      </c>
      <c r="BT2817" s="4">
        <v>0.3923611111111111</v>
      </c>
      <c r="BU2817" s="2" t="s">
        <v>1748</v>
      </c>
      <c r="BV2817" s="2" t="s">
        <v>85</v>
      </c>
      <c r="BY2817" s="2">
        <v>16438.21</v>
      </c>
      <c r="CA2817" s="2" t="s">
        <v>234</v>
      </c>
      <c r="CC2817" s="2" t="s">
        <v>174</v>
      </c>
      <c r="CD2817" s="2">
        <v>7530</v>
      </c>
      <c r="CE2817" s="2" t="s">
        <v>95</v>
      </c>
      <c r="CF2817" s="3">
        <v>43090</v>
      </c>
      <c r="CI2817" s="2">
        <v>1</v>
      </c>
      <c r="CJ2817" s="2">
        <v>1</v>
      </c>
      <c r="CK2817" s="2">
        <v>21</v>
      </c>
      <c r="CL2817" s="2" t="s">
        <v>89</v>
      </c>
    </row>
    <row r="2818" spans="1:90">
      <c r="A2818" s="2" t="s">
        <v>71</v>
      </c>
      <c r="B2818" s="2" t="s">
        <v>72</v>
      </c>
      <c r="C2818" s="2" t="s">
        <v>73</v>
      </c>
      <c r="E2818" s="2" t="str">
        <f>"FES1162596814"</f>
        <v>FES1162596814</v>
      </c>
      <c r="F2818" s="3">
        <v>43088</v>
      </c>
      <c r="G2818" s="2">
        <v>201806</v>
      </c>
      <c r="H2818" s="2" t="s">
        <v>74</v>
      </c>
      <c r="I2818" s="2" t="s">
        <v>75</v>
      </c>
      <c r="J2818" s="2" t="s">
        <v>97</v>
      </c>
      <c r="K2818" s="2" t="s">
        <v>77</v>
      </c>
      <c r="L2818" s="2" t="s">
        <v>152</v>
      </c>
      <c r="M2818" s="2" t="s">
        <v>153</v>
      </c>
      <c r="N2818" s="2" t="s">
        <v>2829</v>
      </c>
      <c r="O2818" s="2" t="s">
        <v>101</v>
      </c>
      <c r="P2818" s="2" t="str">
        <f>"2170608840                    "</f>
        <v xml:space="preserve">2170608840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5.03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4</v>
      </c>
      <c r="BJ2818" s="2">
        <v>0.7</v>
      </c>
      <c r="BK2818" s="2">
        <v>4</v>
      </c>
      <c r="BL2818" s="2">
        <v>35.89</v>
      </c>
      <c r="BM2818" s="2">
        <v>5.0199999999999996</v>
      </c>
      <c r="BN2818" s="2">
        <v>40.909999999999997</v>
      </c>
      <c r="BO2818" s="2">
        <v>40.909999999999997</v>
      </c>
      <c r="BR2818" s="2" t="s">
        <v>103</v>
      </c>
      <c r="BS2818" s="3">
        <v>43089</v>
      </c>
      <c r="BT2818" s="4">
        <v>0.46388888888888885</v>
      </c>
      <c r="BU2818" s="2" t="s">
        <v>1999</v>
      </c>
      <c r="BV2818" s="2" t="s">
        <v>89</v>
      </c>
      <c r="BW2818" s="2" t="s">
        <v>156</v>
      </c>
      <c r="BX2818" s="2" t="s">
        <v>157</v>
      </c>
      <c r="BY2818" s="2">
        <v>3640</v>
      </c>
      <c r="CA2818" s="2" t="s">
        <v>439</v>
      </c>
      <c r="CC2818" s="2" t="s">
        <v>153</v>
      </c>
      <c r="CD2818" s="2">
        <v>1401</v>
      </c>
      <c r="CE2818" s="2" t="s">
        <v>87</v>
      </c>
      <c r="CF2818" s="3">
        <v>43090</v>
      </c>
      <c r="CI2818" s="2">
        <v>1</v>
      </c>
      <c r="CJ2818" s="2">
        <v>1</v>
      </c>
      <c r="CK2818" s="2">
        <v>22</v>
      </c>
      <c r="CL2818" s="2" t="s">
        <v>89</v>
      </c>
    </row>
    <row r="2819" spans="1:90">
      <c r="A2819" s="2" t="s">
        <v>71</v>
      </c>
      <c r="B2819" s="2" t="s">
        <v>72</v>
      </c>
      <c r="C2819" s="2" t="s">
        <v>73</v>
      </c>
      <c r="E2819" s="2" t="str">
        <f>"FES1162597008"</f>
        <v>FES1162597008</v>
      </c>
      <c r="F2819" s="3">
        <v>43088</v>
      </c>
      <c r="G2819" s="2">
        <v>201806</v>
      </c>
      <c r="H2819" s="2" t="s">
        <v>74</v>
      </c>
      <c r="I2819" s="2" t="s">
        <v>75</v>
      </c>
      <c r="J2819" s="2" t="s">
        <v>97</v>
      </c>
      <c r="K2819" s="2" t="s">
        <v>77</v>
      </c>
      <c r="L2819" s="2" t="s">
        <v>173</v>
      </c>
      <c r="M2819" s="2" t="s">
        <v>174</v>
      </c>
      <c r="N2819" s="2" t="s">
        <v>1188</v>
      </c>
      <c r="O2819" s="2" t="s">
        <v>101</v>
      </c>
      <c r="P2819" s="2" t="str">
        <f>"2170608528                    "</f>
        <v xml:space="preserve">2170608528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6.43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1</v>
      </c>
      <c r="BJ2819" s="2">
        <v>0.2</v>
      </c>
      <c r="BK2819" s="2">
        <v>1</v>
      </c>
      <c r="BL2819" s="2">
        <v>45.93</v>
      </c>
      <c r="BM2819" s="2">
        <v>6.43</v>
      </c>
      <c r="BN2819" s="2">
        <v>52.36</v>
      </c>
      <c r="BO2819" s="2">
        <v>52.36</v>
      </c>
      <c r="BQ2819" s="2" t="s">
        <v>128</v>
      </c>
      <c r="BR2819" s="2" t="s">
        <v>103</v>
      </c>
      <c r="BS2819" s="3">
        <v>43089</v>
      </c>
      <c r="BT2819" s="4">
        <v>0.55833333333333335</v>
      </c>
      <c r="BU2819" s="2" t="s">
        <v>2050</v>
      </c>
      <c r="BV2819" s="2" t="s">
        <v>89</v>
      </c>
      <c r="BW2819" s="2" t="s">
        <v>313</v>
      </c>
      <c r="BX2819" s="2" t="s">
        <v>368</v>
      </c>
      <c r="BY2819" s="2">
        <v>1200</v>
      </c>
      <c r="CA2819" s="2" t="s">
        <v>1713</v>
      </c>
      <c r="CC2819" s="2" t="s">
        <v>174</v>
      </c>
      <c r="CD2819" s="2">
        <v>7800</v>
      </c>
      <c r="CE2819" s="2" t="s">
        <v>120</v>
      </c>
      <c r="CF2819" s="3">
        <v>43090</v>
      </c>
      <c r="CI2819" s="2">
        <v>1</v>
      </c>
      <c r="CJ2819" s="2">
        <v>1</v>
      </c>
      <c r="CK2819" s="2">
        <v>21</v>
      </c>
      <c r="CL2819" s="2" t="s">
        <v>89</v>
      </c>
    </row>
    <row r="2820" spans="1:90">
      <c r="A2820" s="2" t="s">
        <v>71</v>
      </c>
      <c r="B2820" s="2" t="s">
        <v>72</v>
      </c>
      <c r="C2820" s="2" t="s">
        <v>73</v>
      </c>
      <c r="E2820" s="2" t="str">
        <f>"FES1162597016"</f>
        <v>FES1162597016</v>
      </c>
      <c r="F2820" s="3">
        <v>43088</v>
      </c>
      <c r="G2820" s="2">
        <v>201806</v>
      </c>
      <c r="H2820" s="2" t="s">
        <v>74</v>
      </c>
      <c r="I2820" s="2" t="s">
        <v>75</v>
      </c>
      <c r="J2820" s="2" t="s">
        <v>97</v>
      </c>
      <c r="K2820" s="2" t="s">
        <v>77</v>
      </c>
      <c r="L2820" s="2" t="s">
        <v>168</v>
      </c>
      <c r="M2820" s="2" t="s">
        <v>169</v>
      </c>
      <c r="N2820" s="2" t="s">
        <v>764</v>
      </c>
      <c r="O2820" s="2" t="s">
        <v>101</v>
      </c>
      <c r="P2820" s="2" t="str">
        <f>"2170605401                    "</f>
        <v xml:space="preserve">2170605401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6.43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0.5</v>
      </c>
      <c r="BJ2820" s="2">
        <v>1.3</v>
      </c>
      <c r="BK2820" s="2">
        <v>1.5</v>
      </c>
      <c r="BL2820" s="2">
        <v>45.93</v>
      </c>
      <c r="BM2820" s="2">
        <v>6.43</v>
      </c>
      <c r="BN2820" s="2">
        <v>52.36</v>
      </c>
      <c r="BO2820" s="2">
        <v>52.36</v>
      </c>
      <c r="BQ2820" s="2" t="s">
        <v>765</v>
      </c>
      <c r="BR2820" s="2" t="s">
        <v>103</v>
      </c>
      <c r="BS2820" s="3">
        <v>43089</v>
      </c>
      <c r="BT2820" s="4">
        <v>0.36944444444444446</v>
      </c>
      <c r="BU2820" s="2" t="s">
        <v>2830</v>
      </c>
      <c r="BV2820" s="2" t="s">
        <v>85</v>
      </c>
      <c r="BY2820" s="2">
        <v>6281.86</v>
      </c>
      <c r="CA2820" s="2" t="s">
        <v>220</v>
      </c>
      <c r="CC2820" s="2" t="s">
        <v>169</v>
      </c>
      <c r="CD2820" s="2">
        <v>3610</v>
      </c>
      <c r="CE2820" s="2" t="s">
        <v>95</v>
      </c>
      <c r="CF2820" s="3">
        <v>43090</v>
      </c>
      <c r="CI2820" s="2">
        <v>1</v>
      </c>
      <c r="CJ2820" s="2">
        <v>1</v>
      </c>
      <c r="CK2820" s="2">
        <v>21</v>
      </c>
      <c r="CL2820" s="2" t="s">
        <v>89</v>
      </c>
    </row>
    <row r="2821" spans="1:90">
      <c r="A2821" s="2" t="s">
        <v>71</v>
      </c>
      <c r="B2821" s="2" t="s">
        <v>72</v>
      </c>
      <c r="C2821" s="2" t="s">
        <v>73</v>
      </c>
      <c r="E2821" s="2" t="str">
        <f>"FES1162596862"</f>
        <v>FES1162596862</v>
      </c>
      <c r="F2821" s="3">
        <v>43088</v>
      </c>
      <c r="G2821" s="2">
        <v>201806</v>
      </c>
      <c r="H2821" s="2" t="s">
        <v>74</v>
      </c>
      <c r="I2821" s="2" t="s">
        <v>75</v>
      </c>
      <c r="J2821" s="2" t="s">
        <v>97</v>
      </c>
      <c r="K2821" s="2" t="s">
        <v>77</v>
      </c>
      <c r="L2821" s="2" t="s">
        <v>106</v>
      </c>
      <c r="M2821" s="2" t="s">
        <v>107</v>
      </c>
      <c r="N2821" s="2" t="s">
        <v>108</v>
      </c>
      <c r="O2821" s="2" t="s">
        <v>101</v>
      </c>
      <c r="P2821" s="2" t="str">
        <f>"2170605695                    "</f>
        <v xml:space="preserve">2170605695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5.03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3.6</v>
      </c>
      <c r="BJ2821" s="2">
        <v>3.4</v>
      </c>
      <c r="BK2821" s="2">
        <v>4</v>
      </c>
      <c r="BL2821" s="2">
        <v>35.89</v>
      </c>
      <c r="BM2821" s="2">
        <v>5.0199999999999996</v>
      </c>
      <c r="BN2821" s="2">
        <v>40.909999999999997</v>
      </c>
      <c r="BO2821" s="2">
        <v>40.909999999999997</v>
      </c>
      <c r="BQ2821" s="2" t="s">
        <v>82</v>
      </c>
      <c r="BR2821" s="2" t="s">
        <v>103</v>
      </c>
      <c r="BS2821" s="3">
        <v>43089</v>
      </c>
      <c r="BT2821" s="4">
        <v>0.40277777777777773</v>
      </c>
      <c r="BU2821" s="2" t="s">
        <v>1227</v>
      </c>
      <c r="BV2821" s="2" t="s">
        <v>85</v>
      </c>
      <c r="BY2821" s="2">
        <v>16808.72</v>
      </c>
      <c r="CA2821" s="2" t="s">
        <v>110</v>
      </c>
      <c r="CC2821" s="2" t="s">
        <v>107</v>
      </c>
      <c r="CD2821" s="2">
        <v>2094</v>
      </c>
      <c r="CE2821" s="2" t="s">
        <v>95</v>
      </c>
      <c r="CF2821" s="3">
        <v>43090</v>
      </c>
      <c r="CI2821" s="2">
        <v>1</v>
      </c>
      <c r="CJ2821" s="2">
        <v>1</v>
      </c>
      <c r="CK2821" s="2">
        <v>22</v>
      </c>
      <c r="CL2821" s="2" t="s">
        <v>89</v>
      </c>
    </row>
    <row r="2822" spans="1:90">
      <c r="A2822" s="2" t="s">
        <v>71</v>
      </c>
      <c r="B2822" s="2" t="s">
        <v>72</v>
      </c>
      <c r="C2822" s="2" t="s">
        <v>73</v>
      </c>
      <c r="E2822" s="2" t="str">
        <f>"FES1162597022"</f>
        <v>FES1162597022</v>
      </c>
      <c r="F2822" s="3">
        <v>43088</v>
      </c>
      <c r="G2822" s="2">
        <v>201806</v>
      </c>
      <c r="H2822" s="2" t="s">
        <v>74</v>
      </c>
      <c r="I2822" s="2" t="s">
        <v>75</v>
      </c>
      <c r="J2822" s="2" t="s">
        <v>97</v>
      </c>
      <c r="K2822" s="2" t="s">
        <v>77</v>
      </c>
      <c r="L2822" s="2" t="s">
        <v>173</v>
      </c>
      <c r="M2822" s="2" t="s">
        <v>174</v>
      </c>
      <c r="N2822" s="2" t="s">
        <v>376</v>
      </c>
      <c r="O2822" s="2" t="s">
        <v>101</v>
      </c>
      <c r="P2822" s="2" t="str">
        <f>"2170601772                    "</f>
        <v xml:space="preserve">2170601772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48.24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15</v>
      </c>
      <c r="BJ2822" s="2">
        <v>12.3</v>
      </c>
      <c r="BK2822" s="2">
        <v>15</v>
      </c>
      <c r="BL2822" s="2">
        <v>344.36</v>
      </c>
      <c r="BM2822" s="2">
        <v>48.21</v>
      </c>
      <c r="BN2822" s="2">
        <v>392.57</v>
      </c>
      <c r="BO2822" s="2">
        <v>392.57</v>
      </c>
      <c r="BQ2822" s="2" t="s">
        <v>102</v>
      </c>
      <c r="BR2822" s="2" t="s">
        <v>103</v>
      </c>
      <c r="BS2822" s="3">
        <v>43089</v>
      </c>
      <c r="BT2822" s="4">
        <v>0.4548611111111111</v>
      </c>
      <c r="BU2822" s="2" t="s">
        <v>2796</v>
      </c>
      <c r="BV2822" s="2" t="s">
        <v>85</v>
      </c>
      <c r="BY2822" s="2">
        <v>61408</v>
      </c>
      <c r="CA2822" s="2" t="s">
        <v>378</v>
      </c>
      <c r="CC2822" s="2" t="s">
        <v>174</v>
      </c>
      <c r="CD2822" s="2">
        <v>7490</v>
      </c>
      <c r="CE2822" s="2" t="s">
        <v>1004</v>
      </c>
      <c r="CF2822" s="3">
        <v>43090</v>
      </c>
      <c r="CI2822" s="2">
        <v>1</v>
      </c>
      <c r="CJ2822" s="2">
        <v>1</v>
      </c>
      <c r="CK2822" s="2">
        <v>21</v>
      </c>
      <c r="CL2822" s="2" t="s">
        <v>89</v>
      </c>
    </row>
    <row r="2823" spans="1:90">
      <c r="A2823" s="2" t="s">
        <v>71</v>
      </c>
      <c r="B2823" s="2" t="s">
        <v>72</v>
      </c>
      <c r="C2823" s="2" t="s">
        <v>73</v>
      </c>
      <c r="E2823" s="2" t="str">
        <f>"FES1162596991"</f>
        <v>FES1162596991</v>
      </c>
      <c r="F2823" s="3">
        <v>43088</v>
      </c>
      <c r="G2823" s="2">
        <v>201806</v>
      </c>
      <c r="H2823" s="2" t="s">
        <v>74</v>
      </c>
      <c r="I2823" s="2" t="s">
        <v>75</v>
      </c>
      <c r="J2823" s="2" t="s">
        <v>97</v>
      </c>
      <c r="K2823" s="2" t="s">
        <v>77</v>
      </c>
      <c r="L2823" s="2" t="s">
        <v>125</v>
      </c>
      <c r="M2823" s="2" t="s">
        <v>126</v>
      </c>
      <c r="N2823" s="2" t="s">
        <v>127</v>
      </c>
      <c r="O2823" s="2" t="s">
        <v>101</v>
      </c>
      <c r="P2823" s="2" t="str">
        <f>"2170608229                    "</f>
        <v xml:space="preserve">2170608229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35.380000000000003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11</v>
      </c>
      <c r="BJ2823" s="2">
        <v>4.3</v>
      </c>
      <c r="BK2823" s="2">
        <v>11</v>
      </c>
      <c r="BL2823" s="2">
        <v>252.54</v>
      </c>
      <c r="BM2823" s="2">
        <v>35.36</v>
      </c>
      <c r="BN2823" s="2">
        <v>287.89999999999998</v>
      </c>
      <c r="BO2823" s="2">
        <v>287.89999999999998</v>
      </c>
      <c r="BQ2823" s="2">
        <v>1162596991</v>
      </c>
      <c r="BR2823" s="2" t="s">
        <v>103</v>
      </c>
      <c r="BS2823" s="3">
        <v>43089</v>
      </c>
      <c r="BT2823" s="4">
        <v>0.41666666666666669</v>
      </c>
      <c r="BU2823" s="2" t="s">
        <v>114</v>
      </c>
      <c r="BV2823" s="2" t="s">
        <v>85</v>
      </c>
      <c r="BY2823" s="2">
        <v>21600</v>
      </c>
      <c r="CC2823" s="2" t="s">
        <v>126</v>
      </c>
      <c r="CD2823" s="2">
        <v>4001</v>
      </c>
      <c r="CE2823" s="2" t="s">
        <v>87</v>
      </c>
      <c r="CF2823" s="3">
        <v>43090</v>
      </c>
      <c r="CI2823" s="2">
        <v>1</v>
      </c>
      <c r="CJ2823" s="2">
        <v>1</v>
      </c>
      <c r="CK2823" s="2">
        <v>21</v>
      </c>
      <c r="CL2823" s="2" t="s">
        <v>89</v>
      </c>
    </row>
    <row r="2824" spans="1:90">
      <c r="A2824" s="2" t="s">
        <v>71</v>
      </c>
      <c r="B2824" s="2" t="s">
        <v>72</v>
      </c>
      <c r="C2824" s="2" t="s">
        <v>73</v>
      </c>
      <c r="E2824" s="2" t="str">
        <f>"FES1162596968"</f>
        <v>FES1162596968</v>
      </c>
      <c r="F2824" s="3">
        <v>43088</v>
      </c>
      <c r="G2824" s="2">
        <v>201806</v>
      </c>
      <c r="H2824" s="2" t="s">
        <v>74</v>
      </c>
      <c r="I2824" s="2" t="s">
        <v>75</v>
      </c>
      <c r="J2824" s="2" t="s">
        <v>97</v>
      </c>
      <c r="K2824" s="2" t="s">
        <v>77</v>
      </c>
      <c r="L2824" s="2" t="s">
        <v>173</v>
      </c>
      <c r="M2824" s="2" t="s">
        <v>174</v>
      </c>
      <c r="N2824" s="2" t="s">
        <v>1387</v>
      </c>
      <c r="O2824" s="2" t="s">
        <v>101</v>
      </c>
      <c r="P2824" s="2" t="str">
        <f>"2170604043                    "</f>
        <v xml:space="preserve">2170604043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25.73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5.9</v>
      </c>
      <c r="BJ2824" s="2">
        <v>7.7</v>
      </c>
      <c r="BK2824" s="2">
        <v>8</v>
      </c>
      <c r="BL2824" s="2">
        <v>183.67</v>
      </c>
      <c r="BM2824" s="2">
        <v>25.71</v>
      </c>
      <c r="BN2824" s="2">
        <v>209.38</v>
      </c>
      <c r="BO2824" s="2">
        <v>209.38</v>
      </c>
      <c r="BQ2824" s="2" t="s">
        <v>82</v>
      </c>
      <c r="BR2824" s="2" t="s">
        <v>103</v>
      </c>
      <c r="BS2824" s="3">
        <v>43089</v>
      </c>
      <c r="BT2824" s="4">
        <v>0.41736111111111113</v>
      </c>
      <c r="BU2824" s="2" t="s">
        <v>2831</v>
      </c>
      <c r="BV2824" s="2" t="s">
        <v>85</v>
      </c>
      <c r="BY2824" s="2">
        <v>38368.51</v>
      </c>
      <c r="CA2824" s="2" t="s">
        <v>1389</v>
      </c>
      <c r="CC2824" s="2" t="s">
        <v>174</v>
      </c>
      <c r="CD2824" s="2">
        <v>7460</v>
      </c>
      <c r="CE2824" s="2" t="s">
        <v>87</v>
      </c>
      <c r="CF2824" s="3">
        <v>43090</v>
      </c>
      <c r="CI2824" s="2">
        <v>1</v>
      </c>
      <c r="CJ2824" s="2">
        <v>1</v>
      </c>
      <c r="CK2824" s="2">
        <v>21</v>
      </c>
      <c r="CL2824" s="2" t="s">
        <v>89</v>
      </c>
    </row>
    <row r="2825" spans="1:90">
      <c r="A2825" s="2" t="s">
        <v>71</v>
      </c>
      <c r="B2825" s="2" t="s">
        <v>72</v>
      </c>
      <c r="C2825" s="2" t="s">
        <v>73</v>
      </c>
      <c r="E2825" s="2" t="str">
        <f>"FES1162596856"</f>
        <v>FES1162596856</v>
      </c>
      <c r="F2825" s="3">
        <v>43088</v>
      </c>
      <c r="G2825" s="2">
        <v>201806</v>
      </c>
      <c r="H2825" s="2" t="s">
        <v>74</v>
      </c>
      <c r="I2825" s="2" t="s">
        <v>75</v>
      </c>
      <c r="J2825" s="2" t="s">
        <v>97</v>
      </c>
      <c r="K2825" s="2" t="s">
        <v>77</v>
      </c>
      <c r="L2825" s="2" t="s">
        <v>136</v>
      </c>
      <c r="M2825" s="2" t="s">
        <v>137</v>
      </c>
      <c r="N2825" s="2" t="s">
        <v>662</v>
      </c>
      <c r="O2825" s="2" t="s">
        <v>101</v>
      </c>
      <c r="P2825" s="2" t="str">
        <f>"2170605665                    "</f>
        <v xml:space="preserve">2170605665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11.26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3.1</v>
      </c>
      <c r="BJ2825" s="2">
        <v>1.3</v>
      </c>
      <c r="BK2825" s="2">
        <v>3.5</v>
      </c>
      <c r="BL2825" s="2">
        <v>80.37</v>
      </c>
      <c r="BM2825" s="2">
        <v>11.25</v>
      </c>
      <c r="BN2825" s="2">
        <v>91.62</v>
      </c>
      <c r="BO2825" s="2">
        <v>91.62</v>
      </c>
      <c r="BQ2825" s="2" t="s">
        <v>128</v>
      </c>
      <c r="BR2825" s="2" t="s">
        <v>103</v>
      </c>
      <c r="BS2825" s="3">
        <v>43089</v>
      </c>
      <c r="BT2825" s="4">
        <v>0.45833333333333331</v>
      </c>
      <c r="BU2825" s="2" t="s">
        <v>2832</v>
      </c>
      <c r="BV2825" s="2" t="s">
        <v>89</v>
      </c>
      <c r="BW2825" s="2" t="s">
        <v>313</v>
      </c>
      <c r="BX2825" s="2" t="s">
        <v>314</v>
      </c>
      <c r="BY2825" s="2">
        <v>6309.83</v>
      </c>
      <c r="CA2825" s="2" t="s">
        <v>1050</v>
      </c>
      <c r="CC2825" s="2" t="s">
        <v>137</v>
      </c>
      <c r="CD2825" s="2">
        <v>6012</v>
      </c>
      <c r="CE2825" s="2" t="s">
        <v>87</v>
      </c>
      <c r="CF2825" s="3">
        <v>43090</v>
      </c>
      <c r="CI2825" s="2">
        <v>1</v>
      </c>
      <c r="CJ2825" s="2">
        <v>1</v>
      </c>
      <c r="CK2825" s="2">
        <v>21</v>
      </c>
      <c r="CL2825" s="2" t="s">
        <v>89</v>
      </c>
    </row>
    <row r="2826" spans="1:90">
      <c r="A2826" s="2" t="s">
        <v>71</v>
      </c>
      <c r="B2826" s="2" t="s">
        <v>72</v>
      </c>
      <c r="C2826" s="2" t="s">
        <v>73</v>
      </c>
      <c r="E2826" s="2" t="str">
        <f>"FES1162596839"</f>
        <v>FES1162596839</v>
      </c>
      <c r="F2826" s="3">
        <v>43088</v>
      </c>
      <c r="G2826" s="2">
        <v>201806</v>
      </c>
      <c r="H2826" s="2" t="s">
        <v>74</v>
      </c>
      <c r="I2826" s="2" t="s">
        <v>75</v>
      </c>
      <c r="J2826" s="2" t="s">
        <v>97</v>
      </c>
      <c r="K2826" s="2" t="s">
        <v>77</v>
      </c>
      <c r="L2826" s="2" t="s">
        <v>262</v>
      </c>
      <c r="M2826" s="2" t="s">
        <v>263</v>
      </c>
      <c r="N2826" s="2" t="s">
        <v>264</v>
      </c>
      <c r="O2826" s="2" t="s">
        <v>101</v>
      </c>
      <c r="P2826" s="2" t="str">
        <f>"2170605485                    "</f>
        <v xml:space="preserve">2170605485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6.43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1</v>
      </c>
      <c r="BJ2826" s="2">
        <v>0.2</v>
      </c>
      <c r="BK2826" s="2">
        <v>1</v>
      </c>
      <c r="BL2826" s="2">
        <v>45.93</v>
      </c>
      <c r="BM2826" s="2">
        <v>6.43</v>
      </c>
      <c r="BN2826" s="2">
        <v>52.36</v>
      </c>
      <c r="BO2826" s="2">
        <v>52.36</v>
      </c>
      <c r="BQ2826" s="2" t="s">
        <v>102</v>
      </c>
      <c r="BR2826" s="2" t="s">
        <v>103</v>
      </c>
      <c r="BS2826" s="3">
        <v>43089</v>
      </c>
      <c r="BT2826" s="4">
        <v>0.45833333333333331</v>
      </c>
      <c r="BU2826" s="2" t="s">
        <v>2833</v>
      </c>
      <c r="BV2826" s="2" t="s">
        <v>89</v>
      </c>
      <c r="BW2826" s="2" t="s">
        <v>313</v>
      </c>
      <c r="BX2826" s="2" t="s">
        <v>314</v>
      </c>
      <c r="BY2826" s="2">
        <v>1200</v>
      </c>
      <c r="CA2826" s="2" t="s">
        <v>1050</v>
      </c>
      <c r="CC2826" s="2" t="s">
        <v>263</v>
      </c>
      <c r="CD2826" s="2">
        <v>6230</v>
      </c>
      <c r="CE2826" s="2" t="s">
        <v>120</v>
      </c>
      <c r="CF2826" s="3">
        <v>43090</v>
      </c>
      <c r="CI2826" s="2">
        <v>1</v>
      </c>
      <c r="CJ2826" s="2">
        <v>1</v>
      </c>
      <c r="CK2826" s="2">
        <v>21</v>
      </c>
      <c r="CL2826" s="2" t="s">
        <v>89</v>
      </c>
    </row>
    <row r="2827" spans="1:90">
      <c r="A2827" s="2" t="s">
        <v>71</v>
      </c>
      <c r="B2827" s="2" t="s">
        <v>72</v>
      </c>
      <c r="C2827" s="2" t="s">
        <v>73</v>
      </c>
      <c r="E2827" s="2" t="str">
        <f>"FES1162596811"</f>
        <v>FES1162596811</v>
      </c>
      <c r="F2827" s="3">
        <v>43088</v>
      </c>
      <c r="G2827" s="2">
        <v>201806</v>
      </c>
      <c r="H2827" s="2" t="s">
        <v>74</v>
      </c>
      <c r="I2827" s="2" t="s">
        <v>75</v>
      </c>
      <c r="J2827" s="2" t="s">
        <v>97</v>
      </c>
      <c r="K2827" s="2" t="s">
        <v>77</v>
      </c>
      <c r="L2827" s="2" t="s">
        <v>2834</v>
      </c>
      <c r="M2827" s="2" t="s">
        <v>2835</v>
      </c>
      <c r="N2827" s="2" t="s">
        <v>2836</v>
      </c>
      <c r="O2827" s="2" t="s">
        <v>101</v>
      </c>
      <c r="P2827" s="2" t="str">
        <f>"2170608429                    "</f>
        <v xml:space="preserve">2170608429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12.47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1</v>
      </c>
      <c r="BJ2827" s="2">
        <v>0.2</v>
      </c>
      <c r="BK2827" s="2">
        <v>1</v>
      </c>
      <c r="BL2827" s="2">
        <v>89</v>
      </c>
      <c r="BM2827" s="2">
        <v>12.46</v>
      </c>
      <c r="BN2827" s="2">
        <v>101.46</v>
      </c>
      <c r="BO2827" s="2">
        <v>101.46</v>
      </c>
      <c r="BQ2827" s="2" t="s">
        <v>1467</v>
      </c>
      <c r="BR2827" s="2" t="s">
        <v>103</v>
      </c>
      <c r="BS2827" s="2" t="s">
        <v>185</v>
      </c>
      <c r="BY2827" s="2">
        <v>1200</v>
      </c>
      <c r="CC2827" s="2" t="s">
        <v>2835</v>
      </c>
      <c r="CD2827" s="2">
        <v>6309</v>
      </c>
      <c r="CE2827" s="2" t="s">
        <v>120</v>
      </c>
      <c r="CI2827" s="2">
        <v>4</v>
      </c>
      <c r="CJ2827" s="2" t="s">
        <v>185</v>
      </c>
      <c r="CK2827" s="2">
        <v>23</v>
      </c>
      <c r="CL2827" s="2" t="s">
        <v>89</v>
      </c>
    </row>
    <row r="2828" spans="1:90">
      <c r="A2828" s="2" t="s">
        <v>71</v>
      </c>
      <c r="B2828" s="2" t="s">
        <v>72</v>
      </c>
      <c r="C2828" s="2" t="s">
        <v>73</v>
      </c>
      <c r="E2828" s="2" t="str">
        <f>"FES1162596877"</f>
        <v>FES1162596877</v>
      </c>
      <c r="F2828" s="3">
        <v>43088</v>
      </c>
      <c r="G2828" s="2">
        <v>201806</v>
      </c>
      <c r="H2828" s="2" t="s">
        <v>74</v>
      </c>
      <c r="I2828" s="2" t="s">
        <v>75</v>
      </c>
      <c r="J2828" s="2" t="s">
        <v>97</v>
      </c>
      <c r="K2828" s="2" t="s">
        <v>77</v>
      </c>
      <c r="L2828" s="2" t="s">
        <v>136</v>
      </c>
      <c r="M2828" s="2" t="s">
        <v>137</v>
      </c>
      <c r="N2828" s="2" t="s">
        <v>138</v>
      </c>
      <c r="O2828" s="2" t="s">
        <v>101</v>
      </c>
      <c r="P2828" s="2" t="str">
        <f>"2170605832                    "</f>
        <v xml:space="preserve">2170605832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6.43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</v>
      </c>
      <c r="BJ2828" s="2">
        <v>0.2</v>
      </c>
      <c r="BK2828" s="2">
        <v>1</v>
      </c>
      <c r="BL2828" s="2">
        <v>45.93</v>
      </c>
      <c r="BM2828" s="2">
        <v>6.43</v>
      </c>
      <c r="BN2828" s="2">
        <v>52.36</v>
      </c>
      <c r="BO2828" s="2">
        <v>52.36</v>
      </c>
      <c r="BQ2828" s="2" t="s">
        <v>82</v>
      </c>
      <c r="BR2828" s="2" t="s">
        <v>103</v>
      </c>
      <c r="BS2828" s="3">
        <v>43089</v>
      </c>
      <c r="BT2828" s="4">
        <v>0.41666666666666669</v>
      </c>
      <c r="BU2828" s="2" t="s">
        <v>139</v>
      </c>
      <c r="BV2828" s="2" t="s">
        <v>85</v>
      </c>
      <c r="BY2828" s="2">
        <v>1200</v>
      </c>
      <c r="CA2828" s="2" t="s">
        <v>140</v>
      </c>
      <c r="CC2828" s="2" t="s">
        <v>137</v>
      </c>
      <c r="CD2828" s="2">
        <v>6001</v>
      </c>
      <c r="CE2828" s="2" t="s">
        <v>120</v>
      </c>
      <c r="CF2828" s="3">
        <v>43090</v>
      </c>
      <c r="CI2828" s="2">
        <v>1</v>
      </c>
      <c r="CJ2828" s="2">
        <v>1</v>
      </c>
      <c r="CK2828" s="2">
        <v>21</v>
      </c>
      <c r="CL2828" s="2" t="s">
        <v>89</v>
      </c>
    </row>
    <row r="2829" spans="1:90">
      <c r="A2829" s="2" t="s">
        <v>71</v>
      </c>
      <c r="B2829" s="2" t="s">
        <v>72</v>
      </c>
      <c r="C2829" s="2" t="s">
        <v>73</v>
      </c>
      <c r="E2829" s="2" t="str">
        <f>"FES1162596857"</f>
        <v>FES1162596857</v>
      </c>
      <c r="F2829" s="3">
        <v>43088</v>
      </c>
      <c r="G2829" s="2">
        <v>201806</v>
      </c>
      <c r="H2829" s="2" t="s">
        <v>74</v>
      </c>
      <c r="I2829" s="2" t="s">
        <v>75</v>
      </c>
      <c r="J2829" s="2" t="s">
        <v>97</v>
      </c>
      <c r="K2829" s="2" t="s">
        <v>77</v>
      </c>
      <c r="L2829" s="2" t="s">
        <v>136</v>
      </c>
      <c r="M2829" s="2" t="s">
        <v>137</v>
      </c>
      <c r="N2829" s="2" t="s">
        <v>662</v>
      </c>
      <c r="O2829" s="2" t="s">
        <v>101</v>
      </c>
      <c r="P2829" s="2" t="str">
        <f>"2170605666                    "</f>
        <v xml:space="preserve">2170605666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6.43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2</v>
      </c>
      <c r="BJ2829" s="2">
        <v>0.9</v>
      </c>
      <c r="BK2829" s="2">
        <v>2</v>
      </c>
      <c r="BL2829" s="2">
        <v>45.93</v>
      </c>
      <c r="BM2829" s="2">
        <v>6.43</v>
      </c>
      <c r="BN2829" s="2">
        <v>52.36</v>
      </c>
      <c r="BO2829" s="2">
        <v>52.36</v>
      </c>
      <c r="BQ2829" s="2" t="s">
        <v>128</v>
      </c>
      <c r="BR2829" s="2" t="s">
        <v>103</v>
      </c>
      <c r="BS2829" s="2" t="s">
        <v>185</v>
      </c>
      <c r="BY2829" s="2">
        <v>4453.1400000000003</v>
      </c>
      <c r="CC2829" s="2" t="s">
        <v>137</v>
      </c>
      <c r="CD2829" s="2">
        <v>6012</v>
      </c>
      <c r="CE2829" s="2" t="s">
        <v>87</v>
      </c>
      <c r="CI2829" s="2">
        <v>1</v>
      </c>
      <c r="CJ2829" s="2" t="s">
        <v>185</v>
      </c>
      <c r="CK2829" s="2">
        <v>21</v>
      </c>
      <c r="CL2829" s="2" t="s">
        <v>89</v>
      </c>
    </row>
    <row r="2830" spans="1:90">
      <c r="A2830" s="2" t="s">
        <v>71</v>
      </c>
      <c r="B2830" s="2" t="s">
        <v>72</v>
      </c>
      <c r="C2830" s="2" t="s">
        <v>73</v>
      </c>
      <c r="E2830" s="2" t="str">
        <f>"FES1162596843"</f>
        <v>FES1162596843</v>
      </c>
      <c r="F2830" s="3">
        <v>43088</v>
      </c>
      <c r="G2830" s="2">
        <v>201806</v>
      </c>
      <c r="H2830" s="2" t="s">
        <v>74</v>
      </c>
      <c r="I2830" s="2" t="s">
        <v>75</v>
      </c>
      <c r="J2830" s="2" t="s">
        <v>97</v>
      </c>
      <c r="K2830" s="2" t="s">
        <v>77</v>
      </c>
      <c r="L2830" s="2" t="s">
        <v>136</v>
      </c>
      <c r="M2830" s="2" t="s">
        <v>137</v>
      </c>
      <c r="N2830" s="2" t="s">
        <v>178</v>
      </c>
      <c r="O2830" s="2" t="s">
        <v>101</v>
      </c>
      <c r="P2830" s="2" t="str">
        <f>"2170605537                    "</f>
        <v xml:space="preserve">2170605537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6.43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1</v>
      </c>
      <c r="BJ2830" s="2">
        <v>0.2</v>
      </c>
      <c r="BK2830" s="2">
        <v>1</v>
      </c>
      <c r="BL2830" s="2">
        <v>45.93</v>
      </c>
      <c r="BM2830" s="2">
        <v>6.43</v>
      </c>
      <c r="BN2830" s="2">
        <v>52.36</v>
      </c>
      <c r="BO2830" s="2">
        <v>52.36</v>
      </c>
      <c r="BQ2830" s="2" t="s">
        <v>102</v>
      </c>
      <c r="BR2830" s="2" t="s">
        <v>103</v>
      </c>
      <c r="BS2830" s="3">
        <v>43089</v>
      </c>
      <c r="BT2830" s="4">
        <v>0.30902777777777779</v>
      </c>
      <c r="BU2830" s="2" t="s">
        <v>179</v>
      </c>
      <c r="BV2830" s="2" t="s">
        <v>85</v>
      </c>
      <c r="BY2830" s="2">
        <v>1200</v>
      </c>
      <c r="CA2830" s="2" t="s">
        <v>180</v>
      </c>
      <c r="CC2830" s="2" t="s">
        <v>137</v>
      </c>
      <c r="CD2830" s="2">
        <v>6001</v>
      </c>
      <c r="CE2830" s="2" t="s">
        <v>120</v>
      </c>
      <c r="CF2830" s="3">
        <v>43090</v>
      </c>
      <c r="CI2830" s="2">
        <v>1</v>
      </c>
      <c r="CJ2830" s="2">
        <v>1</v>
      </c>
      <c r="CK2830" s="2">
        <v>21</v>
      </c>
      <c r="CL2830" s="2" t="s">
        <v>89</v>
      </c>
    </row>
    <row r="2831" spans="1:90">
      <c r="A2831" s="2" t="s">
        <v>71</v>
      </c>
      <c r="B2831" s="2" t="s">
        <v>72</v>
      </c>
      <c r="C2831" s="2" t="s">
        <v>73</v>
      </c>
      <c r="E2831" s="2" t="str">
        <f>"FES1162596882"</f>
        <v>FES1162596882</v>
      </c>
      <c r="F2831" s="3">
        <v>43088</v>
      </c>
      <c r="G2831" s="2">
        <v>201806</v>
      </c>
      <c r="H2831" s="2" t="s">
        <v>74</v>
      </c>
      <c r="I2831" s="2" t="s">
        <v>75</v>
      </c>
      <c r="J2831" s="2" t="s">
        <v>97</v>
      </c>
      <c r="K2831" s="2" t="s">
        <v>77</v>
      </c>
      <c r="L2831" s="2" t="s">
        <v>136</v>
      </c>
      <c r="M2831" s="2" t="s">
        <v>137</v>
      </c>
      <c r="N2831" s="2" t="s">
        <v>258</v>
      </c>
      <c r="O2831" s="2" t="s">
        <v>101</v>
      </c>
      <c r="P2831" s="2" t="str">
        <f>"2170605960                    "</f>
        <v xml:space="preserve">2170605960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6.43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1</v>
      </c>
      <c r="BJ2831" s="2">
        <v>0.2</v>
      </c>
      <c r="BK2831" s="2">
        <v>1</v>
      </c>
      <c r="BL2831" s="2">
        <v>45.93</v>
      </c>
      <c r="BM2831" s="2">
        <v>6.43</v>
      </c>
      <c r="BN2831" s="2">
        <v>52.36</v>
      </c>
      <c r="BO2831" s="2">
        <v>52.36</v>
      </c>
      <c r="BQ2831" s="2" t="s">
        <v>102</v>
      </c>
      <c r="BR2831" s="2" t="s">
        <v>103</v>
      </c>
      <c r="BS2831" s="3">
        <v>43089</v>
      </c>
      <c r="BT2831" s="4">
        <v>0.3888888888888889</v>
      </c>
      <c r="BU2831" s="2" t="s">
        <v>2583</v>
      </c>
      <c r="BV2831" s="2" t="s">
        <v>85</v>
      </c>
      <c r="BY2831" s="2">
        <v>1200</v>
      </c>
      <c r="CC2831" s="2" t="s">
        <v>137</v>
      </c>
      <c r="CD2831" s="2">
        <v>6001</v>
      </c>
      <c r="CE2831" s="2" t="s">
        <v>120</v>
      </c>
      <c r="CF2831" s="3">
        <v>43090</v>
      </c>
      <c r="CI2831" s="2">
        <v>1</v>
      </c>
      <c r="CJ2831" s="2">
        <v>1</v>
      </c>
      <c r="CK2831" s="2">
        <v>21</v>
      </c>
      <c r="CL2831" s="2" t="s">
        <v>89</v>
      </c>
    </row>
    <row r="2832" spans="1:90">
      <c r="A2832" s="2" t="s">
        <v>71</v>
      </c>
      <c r="B2832" s="2" t="s">
        <v>72</v>
      </c>
      <c r="C2832" s="2" t="s">
        <v>73</v>
      </c>
      <c r="E2832" s="2" t="str">
        <f>"FES1162596918"</f>
        <v>FES1162596918</v>
      </c>
      <c r="F2832" s="3">
        <v>43088</v>
      </c>
      <c r="G2832" s="2">
        <v>201806</v>
      </c>
      <c r="H2832" s="2" t="s">
        <v>74</v>
      </c>
      <c r="I2832" s="2" t="s">
        <v>75</v>
      </c>
      <c r="J2832" s="2" t="s">
        <v>97</v>
      </c>
      <c r="K2832" s="2" t="s">
        <v>77</v>
      </c>
      <c r="L2832" s="2" t="s">
        <v>152</v>
      </c>
      <c r="M2832" s="2" t="s">
        <v>153</v>
      </c>
      <c r="N2832" s="2" t="s">
        <v>1447</v>
      </c>
      <c r="O2832" s="2" t="s">
        <v>101</v>
      </c>
      <c r="P2832" s="2" t="str">
        <f>"2170607746                    "</f>
        <v xml:space="preserve">2170607746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5.03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1</v>
      </c>
      <c r="BJ2832" s="2">
        <v>0.2</v>
      </c>
      <c r="BK2832" s="2">
        <v>1</v>
      </c>
      <c r="BL2832" s="2">
        <v>35.89</v>
      </c>
      <c r="BM2832" s="2">
        <v>5.0199999999999996</v>
      </c>
      <c r="BN2832" s="2">
        <v>40.909999999999997</v>
      </c>
      <c r="BO2832" s="2">
        <v>40.909999999999997</v>
      </c>
      <c r="BQ2832" s="2" t="s">
        <v>1448</v>
      </c>
      <c r="BR2832" s="2" t="s">
        <v>103</v>
      </c>
      <c r="BS2832" s="3">
        <v>43089</v>
      </c>
      <c r="BT2832" s="4">
        <v>0.31319444444444444</v>
      </c>
      <c r="BU2832" s="2" t="s">
        <v>2837</v>
      </c>
      <c r="BV2832" s="2" t="s">
        <v>85</v>
      </c>
      <c r="BY2832" s="2">
        <v>1200</v>
      </c>
      <c r="CC2832" s="2" t="s">
        <v>153</v>
      </c>
      <c r="CD2832" s="2">
        <v>1401</v>
      </c>
      <c r="CE2832" s="2" t="s">
        <v>120</v>
      </c>
      <c r="CF2832" s="3">
        <v>43091</v>
      </c>
      <c r="CI2832" s="2">
        <v>1</v>
      </c>
      <c r="CJ2832" s="2">
        <v>1</v>
      </c>
      <c r="CK2832" s="2">
        <v>22</v>
      </c>
      <c r="CL2832" s="2" t="s">
        <v>89</v>
      </c>
    </row>
    <row r="2833" spans="1:90">
      <c r="A2833" s="2" t="s">
        <v>71</v>
      </c>
      <c r="B2833" s="2" t="s">
        <v>72</v>
      </c>
      <c r="C2833" s="2" t="s">
        <v>73</v>
      </c>
      <c r="E2833" s="2" t="str">
        <f>"FES1162596887"</f>
        <v>FES1162596887</v>
      </c>
      <c r="F2833" s="3">
        <v>43088</v>
      </c>
      <c r="G2833" s="2">
        <v>201806</v>
      </c>
      <c r="H2833" s="2" t="s">
        <v>74</v>
      </c>
      <c r="I2833" s="2" t="s">
        <v>75</v>
      </c>
      <c r="J2833" s="2" t="s">
        <v>97</v>
      </c>
      <c r="K2833" s="2" t="s">
        <v>77</v>
      </c>
      <c r="L2833" s="2" t="s">
        <v>106</v>
      </c>
      <c r="M2833" s="2" t="s">
        <v>107</v>
      </c>
      <c r="N2833" s="2" t="s">
        <v>1785</v>
      </c>
      <c r="O2833" s="2" t="s">
        <v>101</v>
      </c>
      <c r="P2833" s="2" t="str">
        <f>"2170606606                    "</f>
        <v xml:space="preserve">2170606606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5.03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1</v>
      </c>
      <c r="BJ2833" s="2">
        <v>0.2</v>
      </c>
      <c r="BK2833" s="2">
        <v>1</v>
      </c>
      <c r="BL2833" s="2">
        <v>35.89</v>
      </c>
      <c r="BM2833" s="2">
        <v>5.0199999999999996</v>
      </c>
      <c r="BN2833" s="2">
        <v>40.909999999999997</v>
      </c>
      <c r="BO2833" s="2">
        <v>40.909999999999997</v>
      </c>
      <c r="BQ2833" s="2" t="s">
        <v>128</v>
      </c>
      <c r="BR2833" s="2" t="s">
        <v>103</v>
      </c>
      <c r="BS2833" s="3">
        <v>43089</v>
      </c>
      <c r="BT2833" s="4">
        <v>0.41666666666666669</v>
      </c>
      <c r="BU2833" s="2" t="s">
        <v>1786</v>
      </c>
      <c r="BV2833" s="2" t="s">
        <v>85</v>
      </c>
      <c r="BY2833" s="2">
        <v>1200</v>
      </c>
      <c r="CC2833" s="2" t="s">
        <v>107</v>
      </c>
      <c r="CD2833" s="2">
        <v>2013</v>
      </c>
      <c r="CE2833" s="2" t="s">
        <v>120</v>
      </c>
      <c r="CF2833" s="3">
        <v>43090</v>
      </c>
      <c r="CI2833" s="2">
        <v>1</v>
      </c>
      <c r="CJ2833" s="2">
        <v>1</v>
      </c>
      <c r="CK2833" s="2">
        <v>22</v>
      </c>
      <c r="CL2833" s="2" t="s">
        <v>89</v>
      </c>
    </row>
    <row r="2834" spans="1:90">
      <c r="A2834" s="2" t="s">
        <v>71</v>
      </c>
      <c r="B2834" s="2" t="s">
        <v>72</v>
      </c>
      <c r="C2834" s="2" t="s">
        <v>73</v>
      </c>
      <c r="E2834" s="2" t="str">
        <f>"FES1162596917"</f>
        <v>FES1162596917</v>
      </c>
      <c r="F2834" s="3">
        <v>43088</v>
      </c>
      <c r="G2834" s="2">
        <v>201806</v>
      </c>
      <c r="H2834" s="2" t="s">
        <v>74</v>
      </c>
      <c r="I2834" s="2" t="s">
        <v>75</v>
      </c>
      <c r="J2834" s="2" t="s">
        <v>97</v>
      </c>
      <c r="K2834" s="2" t="s">
        <v>77</v>
      </c>
      <c r="L2834" s="2" t="s">
        <v>78</v>
      </c>
      <c r="M2834" s="2" t="s">
        <v>79</v>
      </c>
      <c r="N2834" s="2" t="s">
        <v>2392</v>
      </c>
      <c r="O2834" s="2" t="s">
        <v>101</v>
      </c>
      <c r="P2834" s="2" t="str">
        <f>"2170607692                    "</f>
        <v xml:space="preserve">2170607692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6.43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1</v>
      </c>
      <c r="BJ2834" s="2">
        <v>0.2</v>
      </c>
      <c r="BK2834" s="2">
        <v>1</v>
      </c>
      <c r="BL2834" s="2">
        <v>45.93</v>
      </c>
      <c r="BM2834" s="2">
        <v>6.43</v>
      </c>
      <c r="BN2834" s="2">
        <v>52.36</v>
      </c>
      <c r="BO2834" s="2">
        <v>52.36</v>
      </c>
      <c r="BQ2834" s="2" t="s">
        <v>82</v>
      </c>
      <c r="BR2834" s="2" t="s">
        <v>103</v>
      </c>
      <c r="BS2834" s="3">
        <v>43089</v>
      </c>
      <c r="BT2834" s="4">
        <v>0.4909722222222222</v>
      </c>
      <c r="BU2834" s="2" t="s">
        <v>2838</v>
      </c>
      <c r="BV2834" s="2" t="s">
        <v>89</v>
      </c>
      <c r="BY2834" s="2">
        <v>1200</v>
      </c>
      <c r="CA2834" s="2" t="s">
        <v>86</v>
      </c>
      <c r="CC2834" s="2" t="s">
        <v>79</v>
      </c>
      <c r="CD2834" s="2">
        <v>1947</v>
      </c>
      <c r="CE2834" s="2" t="s">
        <v>120</v>
      </c>
      <c r="CF2834" s="3">
        <v>43090</v>
      </c>
      <c r="CI2834" s="2">
        <v>1</v>
      </c>
      <c r="CJ2834" s="2">
        <v>1</v>
      </c>
      <c r="CK2834" s="2">
        <v>21</v>
      </c>
      <c r="CL2834" s="2" t="s">
        <v>89</v>
      </c>
    </row>
    <row r="2835" spans="1:90">
      <c r="A2835" s="2" t="s">
        <v>71</v>
      </c>
      <c r="B2835" s="2" t="s">
        <v>72</v>
      </c>
      <c r="C2835" s="2" t="s">
        <v>73</v>
      </c>
      <c r="E2835" s="2" t="str">
        <f>"FES1162596784"</f>
        <v>FES1162596784</v>
      </c>
      <c r="F2835" s="3">
        <v>43088</v>
      </c>
      <c r="G2835" s="2">
        <v>201806</v>
      </c>
      <c r="H2835" s="2" t="s">
        <v>74</v>
      </c>
      <c r="I2835" s="2" t="s">
        <v>75</v>
      </c>
      <c r="J2835" s="2" t="s">
        <v>97</v>
      </c>
      <c r="K2835" s="2" t="s">
        <v>77</v>
      </c>
      <c r="L2835" s="2" t="s">
        <v>262</v>
      </c>
      <c r="M2835" s="2" t="s">
        <v>263</v>
      </c>
      <c r="N2835" s="2" t="s">
        <v>2839</v>
      </c>
      <c r="O2835" s="2" t="s">
        <v>101</v>
      </c>
      <c r="P2835" s="2" t="str">
        <f>"2170608053                    "</f>
        <v xml:space="preserve">2170608053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6.43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1</v>
      </c>
      <c r="BJ2835" s="2">
        <v>0.2</v>
      </c>
      <c r="BK2835" s="2">
        <v>1</v>
      </c>
      <c r="BL2835" s="2">
        <v>45.93</v>
      </c>
      <c r="BM2835" s="2">
        <v>6.43</v>
      </c>
      <c r="BN2835" s="2">
        <v>52.36</v>
      </c>
      <c r="BO2835" s="2">
        <v>52.36</v>
      </c>
      <c r="BQ2835" s="2" t="s">
        <v>2840</v>
      </c>
      <c r="BR2835" s="2" t="s">
        <v>103</v>
      </c>
      <c r="BS2835" s="2" t="s">
        <v>185</v>
      </c>
      <c r="BY2835" s="2">
        <v>1200</v>
      </c>
      <c r="CC2835" s="2" t="s">
        <v>263</v>
      </c>
      <c r="CD2835" s="2">
        <v>6229</v>
      </c>
      <c r="CE2835" s="2" t="s">
        <v>120</v>
      </c>
      <c r="CI2835" s="2">
        <v>1</v>
      </c>
      <c r="CJ2835" s="2" t="s">
        <v>185</v>
      </c>
      <c r="CK2835" s="2">
        <v>21</v>
      </c>
      <c r="CL2835" s="2" t="s">
        <v>89</v>
      </c>
    </row>
    <row r="2836" spans="1:90">
      <c r="A2836" s="2" t="s">
        <v>71</v>
      </c>
      <c r="B2836" s="2" t="s">
        <v>72</v>
      </c>
      <c r="C2836" s="2" t="s">
        <v>73</v>
      </c>
      <c r="E2836" s="2" t="str">
        <f>"FES1162596830"</f>
        <v>FES1162596830</v>
      </c>
      <c r="F2836" s="3">
        <v>43088</v>
      </c>
      <c r="G2836" s="2">
        <v>201806</v>
      </c>
      <c r="H2836" s="2" t="s">
        <v>74</v>
      </c>
      <c r="I2836" s="2" t="s">
        <v>75</v>
      </c>
      <c r="J2836" s="2" t="s">
        <v>97</v>
      </c>
      <c r="K2836" s="2" t="s">
        <v>77</v>
      </c>
      <c r="L2836" s="2" t="s">
        <v>449</v>
      </c>
      <c r="M2836" s="2" t="s">
        <v>450</v>
      </c>
      <c r="N2836" s="2" t="s">
        <v>841</v>
      </c>
      <c r="O2836" s="2" t="s">
        <v>101</v>
      </c>
      <c r="P2836" s="2" t="str">
        <f>"21706064520                   "</f>
        <v xml:space="preserve">21706064520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5.03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2</v>
      </c>
      <c r="BJ2836" s="2">
        <v>6.5</v>
      </c>
      <c r="BK2836" s="2">
        <v>7</v>
      </c>
      <c r="BL2836" s="2">
        <v>35.89</v>
      </c>
      <c r="BM2836" s="2">
        <v>5.0199999999999996</v>
      </c>
      <c r="BN2836" s="2">
        <v>40.909999999999997</v>
      </c>
      <c r="BO2836" s="2">
        <v>40.909999999999997</v>
      </c>
      <c r="BQ2836" s="2" t="s">
        <v>82</v>
      </c>
      <c r="BR2836" s="2" t="s">
        <v>103</v>
      </c>
      <c r="BS2836" s="3">
        <v>43089</v>
      </c>
      <c r="BT2836" s="4">
        <v>0.3576388888888889</v>
      </c>
      <c r="BU2836" s="2" t="s">
        <v>2841</v>
      </c>
      <c r="BV2836" s="2" t="s">
        <v>85</v>
      </c>
      <c r="BY2836" s="2">
        <v>32670</v>
      </c>
      <c r="CA2836" s="2" t="s">
        <v>843</v>
      </c>
      <c r="CC2836" s="2" t="s">
        <v>450</v>
      </c>
      <c r="CD2836" s="2">
        <v>1724</v>
      </c>
      <c r="CE2836" s="2" t="s">
        <v>87</v>
      </c>
      <c r="CF2836" s="3">
        <v>43089</v>
      </c>
      <c r="CI2836" s="2">
        <v>1</v>
      </c>
      <c r="CJ2836" s="2">
        <v>1</v>
      </c>
      <c r="CK2836" s="2">
        <v>22</v>
      </c>
      <c r="CL2836" s="2" t="s">
        <v>89</v>
      </c>
    </row>
    <row r="2837" spans="1:90">
      <c r="A2837" s="2" t="s">
        <v>71</v>
      </c>
      <c r="B2837" s="2" t="s">
        <v>72</v>
      </c>
      <c r="C2837" s="2" t="s">
        <v>73</v>
      </c>
      <c r="E2837" s="2" t="str">
        <f>"FES1162596874"</f>
        <v>FES1162596874</v>
      </c>
      <c r="F2837" s="3">
        <v>43088</v>
      </c>
      <c r="G2837" s="2">
        <v>201806</v>
      </c>
      <c r="H2837" s="2" t="s">
        <v>74</v>
      </c>
      <c r="I2837" s="2" t="s">
        <v>75</v>
      </c>
      <c r="J2837" s="2" t="s">
        <v>97</v>
      </c>
      <c r="K2837" s="2" t="s">
        <v>77</v>
      </c>
      <c r="L2837" s="2" t="s">
        <v>277</v>
      </c>
      <c r="M2837" s="2" t="s">
        <v>278</v>
      </c>
      <c r="N2837" s="2" t="s">
        <v>920</v>
      </c>
      <c r="O2837" s="2" t="s">
        <v>101</v>
      </c>
      <c r="P2837" s="2" t="str">
        <f>"217068504                     "</f>
        <v xml:space="preserve">217068504 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6.84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11</v>
      </c>
      <c r="BJ2837" s="2">
        <v>3.4</v>
      </c>
      <c r="BK2837" s="2">
        <v>11</v>
      </c>
      <c r="BL2837" s="2">
        <v>48.8</v>
      </c>
      <c r="BM2837" s="2">
        <v>6.83</v>
      </c>
      <c r="BN2837" s="2">
        <v>55.63</v>
      </c>
      <c r="BO2837" s="2">
        <v>55.63</v>
      </c>
      <c r="BQ2837" s="2" t="s">
        <v>128</v>
      </c>
      <c r="BR2837" s="2" t="s">
        <v>103</v>
      </c>
      <c r="BS2837" s="3">
        <v>43089</v>
      </c>
      <c r="BT2837" s="4">
        <v>0.38194444444444442</v>
      </c>
      <c r="BU2837" s="2" t="s">
        <v>2842</v>
      </c>
      <c r="BV2837" s="2" t="s">
        <v>85</v>
      </c>
      <c r="BY2837" s="2">
        <v>16922.68</v>
      </c>
      <c r="CA2837" s="2" t="s">
        <v>408</v>
      </c>
      <c r="CC2837" s="2" t="s">
        <v>278</v>
      </c>
      <c r="CD2837" s="2">
        <v>2162</v>
      </c>
      <c r="CE2837" s="2" t="s">
        <v>95</v>
      </c>
      <c r="CF2837" s="3">
        <v>43091</v>
      </c>
      <c r="CI2837" s="2">
        <v>1</v>
      </c>
      <c r="CJ2837" s="2">
        <v>1</v>
      </c>
      <c r="CK2837" s="2">
        <v>22</v>
      </c>
      <c r="CL2837" s="2" t="s">
        <v>89</v>
      </c>
    </row>
    <row r="2838" spans="1:90">
      <c r="A2838" s="2" t="s">
        <v>71</v>
      </c>
      <c r="B2838" s="2" t="s">
        <v>72</v>
      </c>
      <c r="C2838" s="2" t="s">
        <v>73</v>
      </c>
      <c r="E2838" s="2" t="str">
        <f>"FES1162596910"</f>
        <v>FES1162596910</v>
      </c>
      <c r="F2838" s="3">
        <v>43088</v>
      </c>
      <c r="G2838" s="2">
        <v>201806</v>
      </c>
      <c r="H2838" s="2" t="s">
        <v>74</v>
      </c>
      <c r="I2838" s="2" t="s">
        <v>75</v>
      </c>
      <c r="J2838" s="2" t="s">
        <v>97</v>
      </c>
      <c r="K2838" s="2" t="s">
        <v>77</v>
      </c>
      <c r="L2838" s="2" t="s">
        <v>74</v>
      </c>
      <c r="M2838" s="2" t="s">
        <v>75</v>
      </c>
      <c r="N2838" s="2" t="s">
        <v>204</v>
      </c>
      <c r="O2838" s="2" t="s">
        <v>101</v>
      </c>
      <c r="P2838" s="2" t="str">
        <f>"2170607331                    "</f>
        <v xml:space="preserve">2170607331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5.03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1</v>
      </c>
      <c r="BJ2838" s="2">
        <v>0.2</v>
      </c>
      <c r="BK2838" s="2">
        <v>1</v>
      </c>
      <c r="BL2838" s="2">
        <v>35.89</v>
      </c>
      <c r="BM2838" s="2">
        <v>5.0199999999999996</v>
      </c>
      <c r="BN2838" s="2">
        <v>40.909999999999997</v>
      </c>
      <c r="BO2838" s="2">
        <v>40.909999999999997</v>
      </c>
      <c r="BQ2838" s="2" t="s">
        <v>102</v>
      </c>
      <c r="BR2838" s="2" t="s">
        <v>103</v>
      </c>
      <c r="BS2838" s="3">
        <v>43089</v>
      </c>
      <c r="BT2838" s="4">
        <v>0.32291666666666669</v>
      </c>
      <c r="BU2838" s="2" t="s">
        <v>2788</v>
      </c>
      <c r="BV2838" s="2" t="s">
        <v>85</v>
      </c>
      <c r="BY2838" s="2">
        <v>1200</v>
      </c>
      <c r="CA2838" s="2" t="s">
        <v>206</v>
      </c>
      <c r="CC2838" s="2" t="s">
        <v>75</v>
      </c>
      <c r="CD2838" s="2">
        <v>1645</v>
      </c>
      <c r="CE2838" s="2" t="s">
        <v>120</v>
      </c>
      <c r="CF2838" s="3">
        <v>43090</v>
      </c>
      <c r="CI2838" s="2">
        <v>1</v>
      </c>
      <c r="CJ2838" s="2">
        <v>1</v>
      </c>
      <c r="CK2838" s="2">
        <v>22</v>
      </c>
      <c r="CL2838" s="2" t="s">
        <v>89</v>
      </c>
    </row>
    <row r="2839" spans="1:90">
      <c r="A2839" s="2" t="s">
        <v>71</v>
      </c>
      <c r="B2839" s="2" t="s">
        <v>72</v>
      </c>
      <c r="C2839" s="2" t="s">
        <v>73</v>
      </c>
      <c r="E2839" s="2" t="str">
        <f>"FES1162596712"</f>
        <v>FES1162596712</v>
      </c>
      <c r="F2839" s="3">
        <v>43088</v>
      </c>
      <c r="G2839" s="2">
        <v>201806</v>
      </c>
      <c r="H2839" s="2" t="s">
        <v>74</v>
      </c>
      <c r="I2839" s="2" t="s">
        <v>75</v>
      </c>
      <c r="J2839" s="2" t="s">
        <v>97</v>
      </c>
      <c r="K2839" s="2" t="s">
        <v>77</v>
      </c>
      <c r="L2839" s="2" t="s">
        <v>295</v>
      </c>
      <c r="M2839" s="2" t="s">
        <v>296</v>
      </c>
      <c r="N2839" s="2" t="s">
        <v>733</v>
      </c>
      <c r="O2839" s="2" t="s">
        <v>101</v>
      </c>
      <c r="P2839" s="2" t="str">
        <f>"21706043.65                   "</f>
        <v xml:space="preserve">21706043.65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9.0500000000000007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1</v>
      </c>
      <c r="BJ2839" s="2">
        <v>0.2</v>
      </c>
      <c r="BK2839" s="2">
        <v>1</v>
      </c>
      <c r="BL2839" s="2">
        <v>64.599999999999994</v>
      </c>
      <c r="BM2839" s="2">
        <v>9.0399999999999991</v>
      </c>
      <c r="BN2839" s="2">
        <v>73.64</v>
      </c>
      <c r="BO2839" s="2">
        <v>73.64</v>
      </c>
      <c r="BQ2839" s="2" t="s">
        <v>142</v>
      </c>
      <c r="BR2839" s="2" t="s">
        <v>103</v>
      </c>
      <c r="BS2839" s="3">
        <v>43089</v>
      </c>
      <c r="BT2839" s="4">
        <v>0.4375</v>
      </c>
      <c r="BU2839" s="2" t="s">
        <v>2009</v>
      </c>
      <c r="BV2839" s="2" t="s">
        <v>85</v>
      </c>
      <c r="BY2839" s="2">
        <v>1200</v>
      </c>
      <c r="CA2839" s="2" t="s">
        <v>793</v>
      </c>
      <c r="CC2839" s="2" t="s">
        <v>296</v>
      </c>
      <c r="CD2839" s="2">
        <v>407</v>
      </c>
      <c r="CE2839" s="2" t="s">
        <v>120</v>
      </c>
      <c r="CF2839" s="3">
        <v>43089</v>
      </c>
      <c r="CI2839" s="2">
        <v>1</v>
      </c>
      <c r="CJ2839" s="2">
        <v>1</v>
      </c>
      <c r="CK2839" s="2">
        <v>24</v>
      </c>
      <c r="CL2839" s="2" t="s">
        <v>89</v>
      </c>
    </row>
    <row r="2840" spans="1:90">
      <c r="A2840" s="2" t="s">
        <v>71</v>
      </c>
      <c r="B2840" s="2" t="s">
        <v>72</v>
      </c>
      <c r="C2840" s="2" t="s">
        <v>73</v>
      </c>
      <c r="E2840" s="2" t="str">
        <f>"FES1162597025"</f>
        <v>FES1162597025</v>
      </c>
      <c r="F2840" s="3">
        <v>43088</v>
      </c>
      <c r="G2840" s="2">
        <v>201806</v>
      </c>
      <c r="H2840" s="2" t="s">
        <v>74</v>
      </c>
      <c r="I2840" s="2" t="s">
        <v>75</v>
      </c>
      <c r="J2840" s="2" t="s">
        <v>97</v>
      </c>
      <c r="K2840" s="2" t="s">
        <v>77</v>
      </c>
      <c r="L2840" s="2" t="s">
        <v>168</v>
      </c>
      <c r="M2840" s="2" t="s">
        <v>169</v>
      </c>
      <c r="N2840" s="2" t="s">
        <v>217</v>
      </c>
      <c r="O2840" s="2" t="s">
        <v>101</v>
      </c>
      <c r="P2840" s="2" t="str">
        <f>"217068536                     "</f>
        <v xml:space="preserve">217068536 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8.0399999999999991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2.5</v>
      </c>
      <c r="BJ2840" s="2">
        <v>1.4</v>
      </c>
      <c r="BK2840" s="2">
        <v>2.5</v>
      </c>
      <c r="BL2840" s="2">
        <v>57.41</v>
      </c>
      <c r="BM2840" s="2">
        <v>8.0399999999999991</v>
      </c>
      <c r="BN2840" s="2">
        <v>65.45</v>
      </c>
      <c r="BO2840" s="2">
        <v>65.45</v>
      </c>
      <c r="BQ2840" s="2" t="s">
        <v>102</v>
      </c>
      <c r="BR2840" s="2" t="s">
        <v>103</v>
      </c>
      <c r="BS2840" s="3">
        <v>43089</v>
      </c>
      <c r="BT2840" s="4">
        <v>0.4375</v>
      </c>
      <c r="BU2840" s="2" t="s">
        <v>218</v>
      </c>
      <c r="BV2840" s="2" t="s">
        <v>85</v>
      </c>
      <c r="BY2840" s="2">
        <v>6891.3</v>
      </c>
      <c r="CA2840" s="2" t="s">
        <v>220</v>
      </c>
      <c r="CC2840" s="2" t="s">
        <v>169</v>
      </c>
      <c r="CD2840" s="2">
        <v>3620</v>
      </c>
      <c r="CE2840" s="2" t="s">
        <v>95</v>
      </c>
      <c r="CF2840" s="3">
        <v>43090</v>
      </c>
      <c r="CI2840" s="2">
        <v>1</v>
      </c>
      <c r="CJ2840" s="2">
        <v>1</v>
      </c>
      <c r="CK2840" s="2">
        <v>21</v>
      </c>
      <c r="CL2840" s="2" t="s">
        <v>89</v>
      </c>
    </row>
    <row r="2841" spans="1:90">
      <c r="A2841" s="2" t="s">
        <v>71</v>
      </c>
      <c r="B2841" s="2" t="s">
        <v>72</v>
      </c>
      <c r="C2841" s="2" t="s">
        <v>73</v>
      </c>
      <c r="E2841" s="2" t="str">
        <f>"FES1162597014"</f>
        <v>FES1162597014</v>
      </c>
      <c r="F2841" s="3">
        <v>43088</v>
      </c>
      <c r="G2841" s="2">
        <v>201806</v>
      </c>
      <c r="H2841" s="2" t="s">
        <v>74</v>
      </c>
      <c r="I2841" s="2" t="s">
        <v>75</v>
      </c>
      <c r="J2841" s="2" t="s">
        <v>97</v>
      </c>
      <c r="K2841" s="2" t="s">
        <v>77</v>
      </c>
      <c r="L2841" s="2" t="s">
        <v>125</v>
      </c>
      <c r="M2841" s="2" t="s">
        <v>126</v>
      </c>
      <c r="N2841" s="2" t="s">
        <v>2843</v>
      </c>
      <c r="O2841" s="2" t="s">
        <v>101</v>
      </c>
      <c r="P2841" s="2" t="str">
        <f>"2170695572                    "</f>
        <v xml:space="preserve">2170695572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57.88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17.7</v>
      </c>
      <c r="BJ2841" s="2">
        <v>10.7</v>
      </c>
      <c r="BK2841" s="2">
        <v>18</v>
      </c>
      <c r="BL2841" s="2">
        <v>413.22</v>
      </c>
      <c r="BM2841" s="2">
        <v>57.85</v>
      </c>
      <c r="BN2841" s="2">
        <v>471.07</v>
      </c>
      <c r="BO2841" s="2">
        <v>471.07</v>
      </c>
      <c r="BQ2841" s="2" t="s">
        <v>2844</v>
      </c>
      <c r="BR2841" s="2" t="s">
        <v>103</v>
      </c>
      <c r="BS2841" s="3">
        <v>43089</v>
      </c>
      <c r="BT2841" s="4">
        <v>0.35069444444444442</v>
      </c>
      <c r="BU2841" s="2" t="s">
        <v>1600</v>
      </c>
      <c r="BV2841" s="2" t="s">
        <v>85</v>
      </c>
      <c r="BY2841" s="2">
        <v>53616.86</v>
      </c>
      <c r="CA2841" s="2" t="s">
        <v>666</v>
      </c>
      <c r="CC2841" s="2" t="s">
        <v>126</v>
      </c>
      <c r="CD2841" s="2">
        <v>4001</v>
      </c>
      <c r="CE2841" s="2" t="s">
        <v>87</v>
      </c>
      <c r="CF2841" s="3">
        <v>43090</v>
      </c>
      <c r="CI2841" s="2">
        <v>1</v>
      </c>
      <c r="CJ2841" s="2">
        <v>1</v>
      </c>
      <c r="CK2841" s="2">
        <v>21</v>
      </c>
      <c r="CL2841" s="2" t="s">
        <v>89</v>
      </c>
    </row>
    <row r="2842" spans="1:90">
      <c r="A2842" s="2" t="s">
        <v>71</v>
      </c>
      <c r="B2842" s="2" t="s">
        <v>72</v>
      </c>
      <c r="C2842" s="2" t="s">
        <v>73</v>
      </c>
      <c r="E2842" s="2" t="str">
        <f>"FES1162596717"</f>
        <v>FES1162596717</v>
      </c>
      <c r="F2842" s="3">
        <v>43088</v>
      </c>
      <c r="G2842" s="2">
        <v>201806</v>
      </c>
      <c r="H2842" s="2" t="s">
        <v>74</v>
      </c>
      <c r="I2842" s="2" t="s">
        <v>75</v>
      </c>
      <c r="J2842" s="2" t="s">
        <v>97</v>
      </c>
      <c r="K2842" s="2" t="s">
        <v>77</v>
      </c>
      <c r="L2842" s="2" t="s">
        <v>158</v>
      </c>
      <c r="M2842" s="2" t="s">
        <v>159</v>
      </c>
      <c r="N2842" s="2" t="s">
        <v>164</v>
      </c>
      <c r="O2842" s="2" t="s">
        <v>101</v>
      </c>
      <c r="P2842" s="2" t="str">
        <f>"2170606526                    "</f>
        <v xml:space="preserve">2170606526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6.43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1</v>
      </c>
      <c r="BJ2842" s="2">
        <v>0.2</v>
      </c>
      <c r="BK2842" s="2">
        <v>1</v>
      </c>
      <c r="BL2842" s="2">
        <v>45.93</v>
      </c>
      <c r="BM2842" s="2">
        <v>6.43</v>
      </c>
      <c r="BN2842" s="2">
        <v>52.36</v>
      </c>
      <c r="BO2842" s="2">
        <v>52.36</v>
      </c>
      <c r="BQ2842" s="2" t="s">
        <v>102</v>
      </c>
      <c r="BR2842" s="2" t="s">
        <v>103</v>
      </c>
      <c r="BS2842" s="2" t="s">
        <v>185</v>
      </c>
      <c r="BY2842" s="2">
        <v>1200</v>
      </c>
      <c r="CC2842" s="2" t="s">
        <v>159</v>
      </c>
      <c r="CD2842" s="2">
        <v>200</v>
      </c>
      <c r="CE2842" s="2" t="s">
        <v>120</v>
      </c>
      <c r="CI2842" s="2">
        <v>1</v>
      </c>
      <c r="CJ2842" s="2" t="s">
        <v>185</v>
      </c>
      <c r="CK2842" s="2">
        <v>21</v>
      </c>
      <c r="CL2842" s="2" t="s">
        <v>89</v>
      </c>
    </row>
    <row r="2843" spans="1:90">
      <c r="A2843" s="2" t="s">
        <v>71</v>
      </c>
      <c r="B2843" s="2" t="s">
        <v>72</v>
      </c>
      <c r="C2843" s="2" t="s">
        <v>73</v>
      </c>
      <c r="E2843" s="2" t="str">
        <f>"FES1162596747"</f>
        <v>FES1162596747</v>
      </c>
      <c r="F2843" s="3">
        <v>43088</v>
      </c>
      <c r="G2843" s="2">
        <v>201806</v>
      </c>
      <c r="H2843" s="2" t="s">
        <v>74</v>
      </c>
      <c r="I2843" s="2" t="s">
        <v>75</v>
      </c>
      <c r="J2843" s="2" t="s">
        <v>97</v>
      </c>
      <c r="K2843" s="2" t="s">
        <v>77</v>
      </c>
      <c r="L2843" s="2" t="s">
        <v>158</v>
      </c>
      <c r="M2843" s="2" t="s">
        <v>159</v>
      </c>
      <c r="N2843" s="2" t="s">
        <v>588</v>
      </c>
      <c r="O2843" s="2" t="s">
        <v>101</v>
      </c>
      <c r="P2843" s="2" t="str">
        <f>"2170607728                    "</f>
        <v xml:space="preserve">2170607728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6.43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1</v>
      </c>
      <c r="BJ2843" s="2">
        <v>0.2</v>
      </c>
      <c r="BK2843" s="2">
        <v>1</v>
      </c>
      <c r="BL2843" s="2">
        <v>45.93</v>
      </c>
      <c r="BM2843" s="2">
        <v>6.43</v>
      </c>
      <c r="BN2843" s="2">
        <v>52.36</v>
      </c>
      <c r="BO2843" s="2">
        <v>52.36</v>
      </c>
      <c r="BQ2843" s="2" t="s">
        <v>102</v>
      </c>
      <c r="BR2843" s="2" t="s">
        <v>103</v>
      </c>
      <c r="BS2843" s="2" t="s">
        <v>185</v>
      </c>
      <c r="BY2843" s="2">
        <v>1200</v>
      </c>
      <c r="CC2843" s="2" t="s">
        <v>159</v>
      </c>
      <c r="CD2843" s="2">
        <v>40</v>
      </c>
      <c r="CE2843" s="2" t="s">
        <v>120</v>
      </c>
      <c r="CI2843" s="2">
        <v>1</v>
      </c>
      <c r="CJ2843" s="2" t="s">
        <v>185</v>
      </c>
      <c r="CK2843" s="2">
        <v>21</v>
      </c>
      <c r="CL2843" s="2" t="s">
        <v>89</v>
      </c>
    </row>
    <row r="2844" spans="1:90">
      <c r="A2844" s="2" t="s">
        <v>71</v>
      </c>
      <c r="B2844" s="2" t="s">
        <v>72</v>
      </c>
      <c r="C2844" s="2" t="s">
        <v>73</v>
      </c>
      <c r="E2844" s="2" t="str">
        <f>"FES1162596827"</f>
        <v>FES1162596827</v>
      </c>
      <c r="F2844" s="3">
        <v>43088</v>
      </c>
      <c r="G2844" s="2">
        <v>201806</v>
      </c>
      <c r="H2844" s="2" t="s">
        <v>74</v>
      </c>
      <c r="I2844" s="2" t="s">
        <v>75</v>
      </c>
      <c r="J2844" s="2" t="s">
        <v>97</v>
      </c>
      <c r="K2844" s="2" t="s">
        <v>77</v>
      </c>
      <c r="L2844" s="2" t="s">
        <v>74</v>
      </c>
      <c r="M2844" s="2" t="s">
        <v>75</v>
      </c>
      <c r="N2844" s="2" t="s">
        <v>201</v>
      </c>
      <c r="O2844" s="2" t="s">
        <v>101</v>
      </c>
      <c r="P2844" s="2" t="str">
        <f>"2170604478                    "</f>
        <v xml:space="preserve">2170604478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5.03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1</v>
      </c>
      <c r="BJ2844" s="2">
        <v>0.2</v>
      </c>
      <c r="BK2844" s="2">
        <v>1</v>
      </c>
      <c r="BL2844" s="2">
        <v>35.89</v>
      </c>
      <c r="BM2844" s="2">
        <v>5.0199999999999996</v>
      </c>
      <c r="BN2844" s="2">
        <v>40.909999999999997</v>
      </c>
      <c r="BO2844" s="2">
        <v>40.909999999999997</v>
      </c>
      <c r="BQ2844" s="2" t="s">
        <v>102</v>
      </c>
      <c r="BR2844" s="2" t="s">
        <v>103</v>
      </c>
      <c r="BS2844" s="3">
        <v>43089</v>
      </c>
      <c r="BT2844" s="4">
        <v>0.41666666666666669</v>
      </c>
      <c r="BU2844" s="2" t="s">
        <v>205</v>
      </c>
      <c r="BV2844" s="2" t="s">
        <v>85</v>
      </c>
      <c r="BY2844" s="2">
        <v>1200</v>
      </c>
      <c r="CA2844" s="2" t="s">
        <v>203</v>
      </c>
      <c r="CC2844" s="2" t="s">
        <v>75</v>
      </c>
      <c r="CD2844" s="2">
        <v>1665</v>
      </c>
      <c r="CE2844" s="2" t="s">
        <v>120</v>
      </c>
      <c r="CF2844" s="3">
        <v>43090</v>
      </c>
      <c r="CI2844" s="2">
        <v>1</v>
      </c>
      <c r="CJ2844" s="2">
        <v>1</v>
      </c>
      <c r="CK2844" s="2">
        <v>22</v>
      </c>
      <c r="CL2844" s="2" t="s">
        <v>89</v>
      </c>
    </row>
    <row r="2845" spans="1:90">
      <c r="A2845" s="2" t="s">
        <v>71</v>
      </c>
      <c r="B2845" s="2" t="s">
        <v>72</v>
      </c>
      <c r="C2845" s="2" t="s">
        <v>73</v>
      </c>
      <c r="E2845" s="2" t="str">
        <f>"FES1162596860"</f>
        <v>FES1162596860</v>
      </c>
      <c r="F2845" s="3">
        <v>43088</v>
      </c>
      <c r="G2845" s="2">
        <v>201806</v>
      </c>
      <c r="H2845" s="2" t="s">
        <v>74</v>
      </c>
      <c r="I2845" s="2" t="s">
        <v>75</v>
      </c>
      <c r="J2845" s="2" t="s">
        <v>97</v>
      </c>
      <c r="K2845" s="2" t="s">
        <v>77</v>
      </c>
      <c r="L2845" s="2" t="s">
        <v>173</v>
      </c>
      <c r="M2845" s="2" t="s">
        <v>174</v>
      </c>
      <c r="N2845" s="2" t="s">
        <v>175</v>
      </c>
      <c r="O2845" s="2" t="s">
        <v>101</v>
      </c>
      <c r="P2845" s="2" t="str">
        <f>"2170605685                    "</f>
        <v xml:space="preserve">2170605685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6.43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1</v>
      </c>
      <c r="BJ2845" s="2">
        <v>0.2</v>
      </c>
      <c r="BK2845" s="2">
        <v>1</v>
      </c>
      <c r="BL2845" s="2">
        <v>45.93</v>
      </c>
      <c r="BM2845" s="2">
        <v>6.43</v>
      </c>
      <c r="BN2845" s="2">
        <v>52.36</v>
      </c>
      <c r="BO2845" s="2">
        <v>52.36</v>
      </c>
      <c r="BQ2845" s="2" t="s">
        <v>102</v>
      </c>
      <c r="BR2845" s="2" t="s">
        <v>103</v>
      </c>
      <c r="BS2845" s="3">
        <v>43089</v>
      </c>
      <c r="BT2845" s="4">
        <v>0.39652777777777781</v>
      </c>
      <c r="BU2845" s="2" t="s">
        <v>176</v>
      </c>
      <c r="BV2845" s="2" t="s">
        <v>85</v>
      </c>
      <c r="BY2845" s="2">
        <v>1200</v>
      </c>
      <c r="CA2845" s="2" t="s">
        <v>177</v>
      </c>
      <c r="CC2845" s="2" t="s">
        <v>174</v>
      </c>
      <c r="CD2845" s="2">
        <v>7405</v>
      </c>
      <c r="CE2845" s="2" t="s">
        <v>120</v>
      </c>
      <c r="CF2845" s="3">
        <v>43090</v>
      </c>
      <c r="CI2845" s="2">
        <v>1</v>
      </c>
      <c r="CJ2845" s="2">
        <v>1</v>
      </c>
      <c r="CK2845" s="2">
        <v>21</v>
      </c>
      <c r="CL2845" s="2" t="s">
        <v>89</v>
      </c>
    </row>
    <row r="2846" spans="1:90">
      <c r="A2846" s="2" t="s">
        <v>71</v>
      </c>
      <c r="B2846" s="2" t="s">
        <v>72</v>
      </c>
      <c r="C2846" s="2" t="s">
        <v>73</v>
      </c>
      <c r="E2846" s="2" t="str">
        <f>"FES1162596710"</f>
        <v>FES1162596710</v>
      </c>
      <c r="F2846" s="3">
        <v>43088</v>
      </c>
      <c r="G2846" s="2">
        <v>201806</v>
      </c>
      <c r="H2846" s="2" t="s">
        <v>74</v>
      </c>
      <c r="I2846" s="2" t="s">
        <v>75</v>
      </c>
      <c r="J2846" s="2" t="s">
        <v>97</v>
      </c>
      <c r="K2846" s="2" t="s">
        <v>77</v>
      </c>
      <c r="L2846" s="2" t="s">
        <v>295</v>
      </c>
      <c r="M2846" s="2" t="s">
        <v>296</v>
      </c>
      <c r="N2846" s="2" t="s">
        <v>733</v>
      </c>
      <c r="O2846" s="2" t="s">
        <v>101</v>
      </c>
      <c r="P2846" s="2" t="str">
        <f>"2170603604                    "</f>
        <v xml:space="preserve">2170603604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9.0500000000000007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1</v>
      </c>
      <c r="BJ2846" s="2">
        <v>0.2</v>
      </c>
      <c r="BK2846" s="2">
        <v>1</v>
      </c>
      <c r="BL2846" s="2">
        <v>64.599999999999994</v>
      </c>
      <c r="BM2846" s="2">
        <v>9.0399999999999991</v>
      </c>
      <c r="BN2846" s="2">
        <v>73.64</v>
      </c>
      <c r="BO2846" s="2">
        <v>73.64</v>
      </c>
      <c r="BQ2846" s="2" t="s">
        <v>142</v>
      </c>
      <c r="BR2846" s="2" t="s">
        <v>103</v>
      </c>
      <c r="BS2846" s="3">
        <v>43089</v>
      </c>
      <c r="BT2846" s="4">
        <v>0.4375</v>
      </c>
      <c r="BU2846" s="2" t="s">
        <v>200</v>
      </c>
      <c r="BV2846" s="2" t="s">
        <v>85</v>
      </c>
      <c r="BY2846" s="2">
        <v>1200</v>
      </c>
      <c r="CA2846" s="2" t="s">
        <v>793</v>
      </c>
      <c r="CC2846" s="2" t="s">
        <v>296</v>
      </c>
      <c r="CD2846" s="2">
        <v>407</v>
      </c>
      <c r="CE2846" s="2" t="s">
        <v>120</v>
      </c>
      <c r="CF2846" s="3">
        <v>43089</v>
      </c>
      <c r="CI2846" s="2">
        <v>1</v>
      </c>
      <c r="CJ2846" s="2">
        <v>1</v>
      </c>
      <c r="CK2846" s="2">
        <v>24</v>
      </c>
      <c r="CL2846" s="2" t="s">
        <v>89</v>
      </c>
    </row>
    <row r="2847" spans="1:90">
      <c r="A2847" s="2" t="s">
        <v>71</v>
      </c>
      <c r="B2847" s="2" t="s">
        <v>72</v>
      </c>
      <c r="C2847" s="2" t="s">
        <v>73</v>
      </c>
      <c r="E2847" s="2" t="str">
        <f>"FES1162596748"</f>
        <v>FES1162596748</v>
      </c>
      <c r="F2847" s="3">
        <v>43088</v>
      </c>
      <c r="G2847" s="2">
        <v>201806</v>
      </c>
      <c r="H2847" s="2" t="s">
        <v>74</v>
      </c>
      <c r="I2847" s="2" t="s">
        <v>75</v>
      </c>
      <c r="J2847" s="2" t="s">
        <v>97</v>
      </c>
      <c r="K2847" s="2" t="s">
        <v>77</v>
      </c>
      <c r="L2847" s="2" t="s">
        <v>125</v>
      </c>
      <c r="M2847" s="2" t="s">
        <v>126</v>
      </c>
      <c r="N2847" s="2" t="s">
        <v>2845</v>
      </c>
      <c r="O2847" s="2" t="s">
        <v>101</v>
      </c>
      <c r="P2847" s="2" t="str">
        <f>"2170607735                    "</f>
        <v xml:space="preserve">2170607735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6.43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1</v>
      </c>
      <c r="BJ2847" s="2">
        <v>0.2</v>
      </c>
      <c r="BK2847" s="2">
        <v>1</v>
      </c>
      <c r="BL2847" s="2">
        <v>45.93</v>
      </c>
      <c r="BM2847" s="2">
        <v>6.43</v>
      </c>
      <c r="BN2847" s="2">
        <v>52.36</v>
      </c>
      <c r="BO2847" s="2">
        <v>52.36</v>
      </c>
      <c r="BQ2847" s="2" t="s">
        <v>2846</v>
      </c>
      <c r="BR2847" s="2" t="s">
        <v>103</v>
      </c>
      <c r="BS2847" s="2" t="s">
        <v>185</v>
      </c>
      <c r="BY2847" s="2">
        <v>1200</v>
      </c>
      <c r="CC2847" s="2" t="s">
        <v>126</v>
      </c>
      <c r="CD2847" s="2">
        <v>4052</v>
      </c>
      <c r="CE2847" s="2" t="s">
        <v>120</v>
      </c>
      <c r="CI2847" s="2">
        <v>1</v>
      </c>
      <c r="CJ2847" s="2" t="s">
        <v>185</v>
      </c>
      <c r="CK2847" s="2">
        <v>21</v>
      </c>
      <c r="CL2847" s="2" t="s">
        <v>89</v>
      </c>
    </row>
    <row r="2848" spans="1:90">
      <c r="A2848" s="2" t="s">
        <v>71</v>
      </c>
      <c r="B2848" s="2" t="s">
        <v>72</v>
      </c>
      <c r="C2848" s="2" t="s">
        <v>73</v>
      </c>
      <c r="E2848" s="2" t="str">
        <f>"FES1162597042"</f>
        <v>FES1162597042</v>
      </c>
      <c r="F2848" s="3">
        <v>43088</v>
      </c>
      <c r="G2848" s="2">
        <v>201806</v>
      </c>
      <c r="H2848" s="2" t="s">
        <v>74</v>
      </c>
      <c r="I2848" s="2" t="s">
        <v>75</v>
      </c>
      <c r="J2848" s="2" t="s">
        <v>97</v>
      </c>
      <c r="K2848" s="2" t="s">
        <v>77</v>
      </c>
      <c r="L2848" s="2" t="s">
        <v>125</v>
      </c>
      <c r="M2848" s="2" t="s">
        <v>126</v>
      </c>
      <c r="N2848" s="2" t="s">
        <v>576</v>
      </c>
      <c r="O2848" s="2" t="s">
        <v>101</v>
      </c>
      <c r="P2848" s="2" t="str">
        <f>"2170608548                    "</f>
        <v xml:space="preserve">2170608548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6.43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1</v>
      </c>
      <c r="BJ2848" s="2">
        <v>0.2</v>
      </c>
      <c r="BK2848" s="2">
        <v>1</v>
      </c>
      <c r="BL2848" s="2">
        <v>45.93</v>
      </c>
      <c r="BM2848" s="2">
        <v>6.43</v>
      </c>
      <c r="BN2848" s="2">
        <v>52.36</v>
      </c>
      <c r="BO2848" s="2">
        <v>52.36</v>
      </c>
      <c r="BQ2848" s="2" t="s">
        <v>82</v>
      </c>
      <c r="BR2848" s="2" t="s">
        <v>103</v>
      </c>
      <c r="BS2848" s="3">
        <v>43089</v>
      </c>
      <c r="BT2848" s="4">
        <v>0.32569444444444445</v>
      </c>
      <c r="BU2848" s="2" t="s">
        <v>577</v>
      </c>
      <c r="BV2848" s="2" t="s">
        <v>85</v>
      </c>
      <c r="BY2848" s="2">
        <v>1200</v>
      </c>
      <c r="CA2848" s="2" t="s">
        <v>578</v>
      </c>
      <c r="CC2848" s="2" t="s">
        <v>126</v>
      </c>
      <c r="CD2848" s="2">
        <v>4052</v>
      </c>
      <c r="CE2848" s="2" t="s">
        <v>120</v>
      </c>
      <c r="CF2848" s="3">
        <v>43090</v>
      </c>
      <c r="CI2848" s="2">
        <v>1</v>
      </c>
      <c r="CJ2848" s="2">
        <v>1</v>
      </c>
      <c r="CK2848" s="2">
        <v>21</v>
      </c>
      <c r="CL2848" s="2" t="s">
        <v>89</v>
      </c>
    </row>
    <row r="2849" spans="1:90">
      <c r="A2849" s="2" t="s">
        <v>71</v>
      </c>
      <c r="B2849" s="2" t="s">
        <v>72</v>
      </c>
      <c r="C2849" s="2" t="s">
        <v>73</v>
      </c>
      <c r="E2849" s="2" t="str">
        <f>"FES1162596900"</f>
        <v>FES1162596900</v>
      </c>
      <c r="F2849" s="3">
        <v>43088</v>
      </c>
      <c r="G2849" s="2">
        <v>201806</v>
      </c>
      <c r="H2849" s="2" t="s">
        <v>74</v>
      </c>
      <c r="I2849" s="2" t="s">
        <v>75</v>
      </c>
      <c r="J2849" s="2" t="s">
        <v>97</v>
      </c>
      <c r="K2849" s="2" t="s">
        <v>77</v>
      </c>
      <c r="L2849" s="2" t="s">
        <v>125</v>
      </c>
      <c r="M2849" s="2" t="s">
        <v>126</v>
      </c>
      <c r="N2849" s="2" t="s">
        <v>357</v>
      </c>
      <c r="O2849" s="2" t="s">
        <v>101</v>
      </c>
      <c r="P2849" s="2" t="str">
        <f>"217060988                     "</f>
        <v xml:space="preserve">217060988 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6.43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</v>
      </c>
      <c r="BJ2849" s="2">
        <v>0.2</v>
      </c>
      <c r="BK2849" s="2">
        <v>1</v>
      </c>
      <c r="BL2849" s="2">
        <v>45.93</v>
      </c>
      <c r="BM2849" s="2">
        <v>6.43</v>
      </c>
      <c r="BN2849" s="2">
        <v>52.36</v>
      </c>
      <c r="BO2849" s="2">
        <v>52.36</v>
      </c>
      <c r="BQ2849" s="2" t="s">
        <v>82</v>
      </c>
      <c r="BR2849" s="2" t="s">
        <v>103</v>
      </c>
      <c r="BS2849" s="3">
        <v>43089</v>
      </c>
      <c r="BT2849" s="4">
        <v>0.4236111111111111</v>
      </c>
      <c r="BU2849" s="2" t="s">
        <v>2189</v>
      </c>
      <c r="BV2849" s="2" t="s">
        <v>85</v>
      </c>
      <c r="BY2849" s="2">
        <v>1200</v>
      </c>
      <c r="CA2849" s="2" t="s">
        <v>1313</v>
      </c>
      <c r="CC2849" s="2" t="s">
        <v>126</v>
      </c>
      <c r="CD2849" s="2">
        <v>4052</v>
      </c>
      <c r="CE2849" s="2" t="s">
        <v>120</v>
      </c>
      <c r="CF2849" s="3">
        <v>43090</v>
      </c>
      <c r="CI2849" s="2">
        <v>1</v>
      </c>
      <c r="CJ2849" s="2">
        <v>1</v>
      </c>
      <c r="CK2849" s="2">
        <v>21</v>
      </c>
      <c r="CL2849" s="2" t="s">
        <v>89</v>
      </c>
    </row>
    <row r="2850" spans="1:90">
      <c r="A2850" s="2" t="s">
        <v>71</v>
      </c>
      <c r="B2850" s="2" t="s">
        <v>72</v>
      </c>
      <c r="C2850" s="2" t="s">
        <v>73</v>
      </c>
      <c r="E2850" s="2" t="str">
        <f>"FES1162596858"</f>
        <v>FES1162596858</v>
      </c>
      <c r="F2850" s="3">
        <v>43088</v>
      </c>
      <c r="G2850" s="2">
        <v>201806</v>
      </c>
      <c r="H2850" s="2" t="s">
        <v>74</v>
      </c>
      <c r="I2850" s="2" t="s">
        <v>75</v>
      </c>
      <c r="J2850" s="2" t="s">
        <v>97</v>
      </c>
      <c r="K2850" s="2" t="s">
        <v>77</v>
      </c>
      <c r="L2850" s="2" t="s">
        <v>168</v>
      </c>
      <c r="M2850" s="2" t="s">
        <v>169</v>
      </c>
      <c r="N2850" s="2" t="s">
        <v>1188</v>
      </c>
      <c r="O2850" s="2" t="s">
        <v>101</v>
      </c>
      <c r="P2850" s="2" t="str">
        <f>"2170605671                    "</f>
        <v xml:space="preserve">2170605671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6.43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</v>
      </c>
      <c r="BJ2850" s="2">
        <v>0.2</v>
      </c>
      <c r="BK2850" s="2">
        <v>1</v>
      </c>
      <c r="BL2850" s="2">
        <v>45.93</v>
      </c>
      <c r="BM2850" s="2">
        <v>6.43</v>
      </c>
      <c r="BN2850" s="2">
        <v>52.36</v>
      </c>
      <c r="BO2850" s="2">
        <v>52.36</v>
      </c>
      <c r="BQ2850" s="2" t="s">
        <v>1189</v>
      </c>
      <c r="BR2850" s="2" t="s">
        <v>103</v>
      </c>
      <c r="BS2850" s="3">
        <v>43089</v>
      </c>
      <c r="BT2850" s="4">
        <v>0.40416666666666662</v>
      </c>
      <c r="BU2850" s="2" t="s">
        <v>2572</v>
      </c>
      <c r="BV2850" s="2" t="s">
        <v>85</v>
      </c>
      <c r="BY2850" s="2">
        <v>1200</v>
      </c>
      <c r="CA2850" s="2" t="s">
        <v>220</v>
      </c>
      <c r="CC2850" s="2" t="s">
        <v>169</v>
      </c>
      <c r="CD2850" s="2">
        <v>3610</v>
      </c>
      <c r="CE2850" s="2" t="s">
        <v>120</v>
      </c>
      <c r="CF2850" s="3">
        <v>43090</v>
      </c>
      <c r="CI2850" s="2">
        <v>1</v>
      </c>
      <c r="CJ2850" s="2">
        <v>1</v>
      </c>
      <c r="CK2850" s="2">
        <v>21</v>
      </c>
      <c r="CL2850" s="2" t="s">
        <v>89</v>
      </c>
    </row>
    <row r="2851" spans="1:90">
      <c r="A2851" s="2" t="s">
        <v>71</v>
      </c>
      <c r="B2851" s="2" t="s">
        <v>72</v>
      </c>
      <c r="C2851" s="2" t="s">
        <v>73</v>
      </c>
      <c r="E2851" s="2" t="str">
        <f>"FES1162596817"</f>
        <v>FES1162596817</v>
      </c>
      <c r="F2851" s="3">
        <v>43088</v>
      </c>
      <c r="G2851" s="2">
        <v>201806</v>
      </c>
      <c r="H2851" s="2" t="s">
        <v>74</v>
      </c>
      <c r="I2851" s="2" t="s">
        <v>75</v>
      </c>
      <c r="J2851" s="2" t="s">
        <v>97</v>
      </c>
      <c r="K2851" s="2" t="s">
        <v>77</v>
      </c>
      <c r="L2851" s="2" t="s">
        <v>125</v>
      </c>
      <c r="M2851" s="2" t="s">
        <v>126</v>
      </c>
      <c r="N2851" s="2" t="s">
        <v>664</v>
      </c>
      <c r="O2851" s="2" t="s">
        <v>101</v>
      </c>
      <c r="P2851" s="2" t="str">
        <f>"2170608445                    "</f>
        <v xml:space="preserve">2170608445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6.43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1</v>
      </c>
      <c r="BJ2851" s="2">
        <v>0.2</v>
      </c>
      <c r="BK2851" s="2">
        <v>1</v>
      </c>
      <c r="BL2851" s="2">
        <v>45.93</v>
      </c>
      <c r="BM2851" s="2">
        <v>6.43</v>
      </c>
      <c r="BN2851" s="2">
        <v>52.36</v>
      </c>
      <c r="BO2851" s="2">
        <v>52.36</v>
      </c>
      <c r="BQ2851" s="2" t="s">
        <v>102</v>
      </c>
      <c r="BR2851" s="2" t="s">
        <v>103</v>
      </c>
      <c r="BS2851" s="3">
        <v>43089</v>
      </c>
      <c r="BT2851" s="4">
        <v>0.41666666666666669</v>
      </c>
      <c r="BU2851" s="2" t="s">
        <v>665</v>
      </c>
      <c r="BV2851" s="2" t="s">
        <v>85</v>
      </c>
      <c r="BY2851" s="2">
        <v>1200</v>
      </c>
      <c r="CA2851" s="2" t="s">
        <v>666</v>
      </c>
      <c r="CC2851" s="2" t="s">
        <v>126</v>
      </c>
      <c r="CD2851" s="2">
        <v>4001</v>
      </c>
      <c r="CE2851" s="2" t="s">
        <v>120</v>
      </c>
      <c r="CF2851" s="3">
        <v>43090</v>
      </c>
      <c r="CI2851" s="2">
        <v>1</v>
      </c>
      <c r="CJ2851" s="2">
        <v>1</v>
      </c>
      <c r="CK2851" s="2">
        <v>21</v>
      </c>
      <c r="CL2851" s="2" t="s">
        <v>89</v>
      </c>
    </row>
    <row r="2852" spans="1:90">
      <c r="A2852" s="2" t="s">
        <v>71</v>
      </c>
      <c r="B2852" s="2" t="s">
        <v>72</v>
      </c>
      <c r="C2852" s="2" t="s">
        <v>73</v>
      </c>
      <c r="E2852" s="2" t="str">
        <f>"FES1162596806"</f>
        <v>FES1162596806</v>
      </c>
      <c r="F2852" s="3">
        <v>43088</v>
      </c>
      <c r="G2852" s="2">
        <v>201806</v>
      </c>
      <c r="H2852" s="2" t="s">
        <v>74</v>
      </c>
      <c r="I2852" s="2" t="s">
        <v>75</v>
      </c>
      <c r="J2852" s="2" t="s">
        <v>97</v>
      </c>
      <c r="K2852" s="2" t="s">
        <v>77</v>
      </c>
      <c r="L2852" s="2" t="s">
        <v>162</v>
      </c>
      <c r="M2852" s="2" t="s">
        <v>163</v>
      </c>
      <c r="N2852" s="2" t="s">
        <v>164</v>
      </c>
      <c r="O2852" s="2" t="s">
        <v>101</v>
      </c>
      <c r="P2852" s="2" t="str">
        <f>"2170608432                    "</f>
        <v xml:space="preserve">2170608432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5.03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1</v>
      </c>
      <c r="BJ2852" s="2">
        <v>0.2</v>
      </c>
      <c r="BK2852" s="2">
        <v>1</v>
      </c>
      <c r="BL2852" s="2">
        <v>35.89</v>
      </c>
      <c r="BM2852" s="2">
        <v>5.0199999999999996</v>
      </c>
      <c r="BN2852" s="2">
        <v>40.909999999999997</v>
      </c>
      <c r="BO2852" s="2">
        <v>40.909999999999997</v>
      </c>
      <c r="BQ2852" s="2" t="s">
        <v>102</v>
      </c>
      <c r="BR2852" s="2" t="s">
        <v>103</v>
      </c>
      <c r="BS2852" s="3">
        <v>43089</v>
      </c>
      <c r="BT2852" s="4">
        <v>0.41666666666666669</v>
      </c>
      <c r="BU2852" s="2" t="s">
        <v>1693</v>
      </c>
      <c r="BV2852" s="2" t="s">
        <v>85</v>
      </c>
      <c r="BY2852" s="2">
        <v>1200</v>
      </c>
      <c r="CA2852" s="2" t="s">
        <v>1226</v>
      </c>
      <c r="CC2852" s="2" t="s">
        <v>163</v>
      </c>
      <c r="CD2852" s="2">
        <v>1451</v>
      </c>
      <c r="CE2852" s="2" t="s">
        <v>120</v>
      </c>
      <c r="CF2852" s="3">
        <v>43090</v>
      </c>
      <c r="CI2852" s="2">
        <v>1</v>
      </c>
      <c r="CJ2852" s="2">
        <v>1</v>
      </c>
      <c r="CK2852" s="2">
        <v>22</v>
      </c>
      <c r="CL2852" s="2" t="s">
        <v>89</v>
      </c>
    </row>
    <row r="2853" spans="1:90">
      <c r="A2853" s="2" t="s">
        <v>71</v>
      </c>
      <c r="B2853" s="2" t="s">
        <v>72</v>
      </c>
      <c r="C2853" s="2" t="s">
        <v>73</v>
      </c>
      <c r="E2853" s="2" t="str">
        <f>"FES1162596799"</f>
        <v>FES1162596799</v>
      </c>
      <c r="F2853" s="3">
        <v>43088</v>
      </c>
      <c r="G2853" s="2">
        <v>201806</v>
      </c>
      <c r="H2853" s="2" t="s">
        <v>74</v>
      </c>
      <c r="I2853" s="2" t="s">
        <v>75</v>
      </c>
      <c r="J2853" s="2" t="s">
        <v>97</v>
      </c>
      <c r="K2853" s="2" t="s">
        <v>77</v>
      </c>
      <c r="L2853" s="2" t="s">
        <v>1051</v>
      </c>
      <c r="M2853" s="2" t="s">
        <v>1052</v>
      </c>
      <c r="N2853" s="2" t="s">
        <v>1053</v>
      </c>
      <c r="O2853" s="2" t="s">
        <v>101</v>
      </c>
      <c r="P2853" s="2" t="str">
        <f>"2170605965                    "</f>
        <v xml:space="preserve">2170605965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20.91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1.1000000000000001</v>
      </c>
      <c r="BJ2853" s="2">
        <v>3.3</v>
      </c>
      <c r="BK2853" s="2">
        <v>3.5</v>
      </c>
      <c r="BL2853" s="2">
        <v>149.28</v>
      </c>
      <c r="BM2853" s="2">
        <v>20.9</v>
      </c>
      <c r="BN2853" s="2">
        <v>170.18</v>
      </c>
      <c r="BO2853" s="2">
        <v>170.18</v>
      </c>
      <c r="BQ2853" s="2" t="s">
        <v>82</v>
      </c>
      <c r="BR2853" s="2" t="s">
        <v>103</v>
      </c>
      <c r="BS2853" s="3">
        <v>43089</v>
      </c>
      <c r="BT2853" s="4">
        <v>0.41666666666666669</v>
      </c>
      <c r="BU2853" s="2" t="s">
        <v>1054</v>
      </c>
      <c r="BV2853" s="2" t="s">
        <v>85</v>
      </c>
      <c r="BY2853" s="2">
        <v>16363.78</v>
      </c>
      <c r="CC2853" s="2" t="s">
        <v>1052</v>
      </c>
      <c r="CD2853" s="2">
        <v>3370</v>
      </c>
      <c r="CE2853" s="2" t="s">
        <v>95</v>
      </c>
      <c r="CF2853" s="3">
        <v>43096</v>
      </c>
      <c r="CI2853" s="2">
        <v>3</v>
      </c>
      <c r="CJ2853" s="2">
        <v>1</v>
      </c>
      <c r="CK2853" s="2">
        <v>23</v>
      </c>
      <c r="CL2853" s="2" t="s">
        <v>89</v>
      </c>
    </row>
    <row r="2854" spans="1:90">
      <c r="A2854" s="2" t="s">
        <v>71</v>
      </c>
      <c r="B2854" s="2" t="s">
        <v>72</v>
      </c>
      <c r="C2854" s="2" t="s">
        <v>73</v>
      </c>
      <c r="E2854" s="2" t="str">
        <f>"FES1162596848"</f>
        <v>FES1162596848</v>
      </c>
      <c r="F2854" s="3">
        <v>43088</v>
      </c>
      <c r="G2854" s="2">
        <v>201806</v>
      </c>
      <c r="H2854" s="2" t="s">
        <v>74</v>
      </c>
      <c r="I2854" s="2" t="s">
        <v>75</v>
      </c>
      <c r="J2854" s="2" t="s">
        <v>97</v>
      </c>
      <c r="K2854" s="2" t="s">
        <v>77</v>
      </c>
      <c r="L2854" s="2" t="s">
        <v>449</v>
      </c>
      <c r="M2854" s="2" t="s">
        <v>450</v>
      </c>
      <c r="N2854" s="2" t="s">
        <v>451</v>
      </c>
      <c r="O2854" s="2" t="s">
        <v>101</v>
      </c>
      <c r="P2854" s="2" t="str">
        <f>"2170605589                    "</f>
        <v xml:space="preserve">2170605589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5.03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1</v>
      </c>
      <c r="BJ2854" s="2">
        <v>0.2</v>
      </c>
      <c r="BK2854" s="2">
        <v>1</v>
      </c>
      <c r="BL2854" s="2">
        <v>35.89</v>
      </c>
      <c r="BM2854" s="2">
        <v>5.0199999999999996</v>
      </c>
      <c r="BN2854" s="2">
        <v>40.909999999999997</v>
      </c>
      <c r="BO2854" s="2">
        <v>40.909999999999997</v>
      </c>
      <c r="BQ2854" s="2" t="s">
        <v>128</v>
      </c>
      <c r="BR2854" s="2" t="s">
        <v>103</v>
      </c>
      <c r="BS2854" s="3">
        <v>43089</v>
      </c>
      <c r="BT2854" s="4">
        <v>0.3888888888888889</v>
      </c>
      <c r="BU2854" s="2" t="s">
        <v>452</v>
      </c>
      <c r="BV2854" s="2" t="s">
        <v>85</v>
      </c>
      <c r="BY2854" s="2">
        <v>1200</v>
      </c>
      <c r="CA2854" s="2" t="s">
        <v>453</v>
      </c>
      <c r="CC2854" s="2" t="s">
        <v>450</v>
      </c>
      <c r="CD2854" s="2">
        <v>1700</v>
      </c>
      <c r="CE2854" s="2" t="s">
        <v>120</v>
      </c>
      <c r="CF2854" s="3">
        <v>43090</v>
      </c>
      <c r="CI2854" s="2">
        <v>1</v>
      </c>
      <c r="CJ2854" s="2">
        <v>1</v>
      </c>
      <c r="CK2854" s="2">
        <v>22</v>
      </c>
      <c r="CL2854" s="2" t="s">
        <v>89</v>
      </c>
    </row>
    <row r="2855" spans="1:90">
      <c r="A2855" s="2" t="s">
        <v>71</v>
      </c>
      <c r="B2855" s="2" t="s">
        <v>72</v>
      </c>
      <c r="C2855" s="2" t="s">
        <v>73</v>
      </c>
      <c r="E2855" s="2" t="str">
        <f>"FES1162596964"</f>
        <v>FES1162596964</v>
      </c>
      <c r="F2855" s="3">
        <v>43088</v>
      </c>
      <c r="G2855" s="2">
        <v>201806</v>
      </c>
      <c r="H2855" s="2" t="s">
        <v>74</v>
      </c>
      <c r="I2855" s="2" t="s">
        <v>75</v>
      </c>
      <c r="J2855" s="2" t="s">
        <v>97</v>
      </c>
      <c r="K2855" s="2" t="s">
        <v>77</v>
      </c>
      <c r="L2855" s="2" t="s">
        <v>173</v>
      </c>
      <c r="M2855" s="2" t="s">
        <v>174</v>
      </c>
      <c r="N2855" s="2" t="s">
        <v>1752</v>
      </c>
      <c r="O2855" s="2" t="s">
        <v>101</v>
      </c>
      <c r="P2855" s="2" t="str">
        <f>"2170608511                    "</f>
        <v xml:space="preserve">2170608511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11.26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3.4</v>
      </c>
      <c r="BJ2855" s="2">
        <v>3.4</v>
      </c>
      <c r="BK2855" s="2">
        <v>3.5</v>
      </c>
      <c r="BL2855" s="2">
        <v>80.37</v>
      </c>
      <c r="BM2855" s="2">
        <v>11.25</v>
      </c>
      <c r="BN2855" s="2">
        <v>91.62</v>
      </c>
      <c r="BO2855" s="2">
        <v>91.62</v>
      </c>
      <c r="BQ2855" s="2" t="s">
        <v>2847</v>
      </c>
      <c r="BR2855" s="2" t="s">
        <v>103</v>
      </c>
      <c r="BS2855" s="3">
        <v>43089</v>
      </c>
      <c r="BT2855" s="4">
        <v>0.41666666666666669</v>
      </c>
      <c r="BU2855" s="2" t="s">
        <v>324</v>
      </c>
      <c r="BV2855" s="2" t="s">
        <v>85</v>
      </c>
      <c r="BY2855" s="2">
        <v>16814.759999999998</v>
      </c>
      <c r="CC2855" s="2" t="s">
        <v>174</v>
      </c>
      <c r="CD2855" s="2">
        <v>7441</v>
      </c>
      <c r="CE2855" s="2" t="s">
        <v>95</v>
      </c>
      <c r="CF2855" s="3">
        <v>43090</v>
      </c>
      <c r="CI2855" s="2">
        <v>1</v>
      </c>
      <c r="CJ2855" s="2">
        <v>1</v>
      </c>
      <c r="CK2855" s="2">
        <v>21</v>
      </c>
      <c r="CL2855" s="2" t="s">
        <v>89</v>
      </c>
    </row>
    <row r="2856" spans="1:90">
      <c r="A2856" s="2" t="s">
        <v>71</v>
      </c>
      <c r="B2856" s="2" t="s">
        <v>72</v>
      </c>
      <c r="C2856" s="2" t="s">
        <v>73</v>
      </c>
      <c r="E2856" s="2" t="str">
        <f>"FES1162596905"</f>
        <v>FES1162596905</v>
      </c>
      <c r="F2856" s="3">
        <v>43088</v>
      </c>
      <c r="G2856" s="2">
        <v>201806</v>
      </c>
      <c r="H2856" s="2" t="s">
        <v>74</v>
      </c>
      <c r="I2856" s="2" t="s">
        <v>75</v>
      </c>
      <c r="J2856" s="2" t="s">
        <v>97</v>
      </c>
      <c r="K2856" s="2" t="s">
        <v>77</v>
      </c>
      <c r="L2856" s="2" t="s">
        <v>131</v>
      </c>
      <c r="M2856" s="2" t="s">
        <v>132</v>
      </c>
      <c r="N2856" s="2" t="s">
        <v>2848</v>
      </c>
      <c r="O2856" s="2" t="s">
        <v>101</v>
      </c>
      <c r="P2856" s="2" t="str">
        <f>"2170607070                    "</f>
        <v xml:space="preserve">2170607070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6.43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45.93</v>
      </c>
      <c r="BM2856" s="2">
        <v>6.43</v>
      </c>
      <c r="BN2856" s="2">
        <v>52.36</v>
      </c>
      <c r="BO2856" s="2">
        <v>52.36</v>
      </c>
      <c r="BQ2856" s="2" t="s">
        <v>2849</v>
      </c>
      <c r="BR2856" s="2" t="s">
        <v>103</v>
      </c>
      <c r="BS2856" s="3">
        <v>43089</v>
      </c>
      <c r="BT2856" s="4">
        <v>0.4236111111111111</v>
      </c>
      <c r="BU2856" s="2" t="s">
        <v>2186</v>
      </c>
      <c r="BV2856" s="2" t="s">
        <v>85</v>
      </c>
      <c r="BY2856" s="2">
        <v>1200</v>
      </c>
      <c r="CA2856" s="2" t="s">
        <v>135</v>
      </c>
      <c r="CC2856" s="2" t="s">
        <v>132</v>
      </c>
      <c r="CD2856" s="2">
        <v>4300</v>
      </c>
      <c r="CE2856" s="2" t="s">
        <v>120</v>
      </c>
      <c r="CF2856" s="3">
        <v>43090</v>
      </c>
      <c r="CI2856" s="2">
        <v>1</v>
      </c>
      <c r="CJ2856" s="2">
        <v>1</v>
      </c>
      <c r="CK2856" s="2">
        <v>21</v>
      </c>
      <c r="CL2856" s="2" t="s">
        <v>89</v>
      </c>
    </row>
    <row r="2857" spans="1:90">
      <c r="A2857" s="2" t="s">
        <v>71</v>
      </c>
      <c r="B2857" s="2" t="s">
        <v>72</v>
      </c>
      <c r="C2857" s="2" t="s">
        <v>73</v>
      </c>
      <c r="E2857" s="2" t="str">
        <f>"FES1162597321"</f>
        <v>FES1162597321</v>
      </c>
      <c r="F2857" s="3">
        <v>43089</v>
      </c>
      <c r="G2857" s="2">
        <v>201806</v>
      </c>
      <c r="H2857" s="2" t="s">
        <v>74</v>
      </c>
      <c r="I2857" s="2" t="s">
        <v>75</v>
      </c>
      <c r="J2857" s="2" t="s">
        <v>97</v>
      </c>
      <c r="K2857" s="2" t="s">
        <v>77</v>
      </c>
      <c r="L2857" s="2" t="s">
        <v>125</v>
      </c>
      <c r="M2857" s="2" t="s">
        <v>126</v>
      </c>
      <c r="N2857" s="2" t="s">
        <v>576</v>
      </c>
      <c r="O2857" s="2" t="s">
        <v>101</v>
      </c>
      <c r="P2857" s="2" t="str">
        <f>"21706087587                   "</f>
        <v xml:space="preserve">21706087587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6.43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1</v>
      </c>
      <c r="BJ2857" s="2">
        <v>0.2</v>
      </c>
      <c r="BK2857" s="2">
        <v>1</v>
      </c>
      <c r="BL2857" s="2">
        <v>45.93</v>
      </c>
      <c r="BM2857" s="2">
        <v>6.43</v>
      </c>
      <c r="BN2857" s="2">
        <v>52.36</v>
      </c>
      <c r="BO2857" s="2">
        <v>52.36</v>
      </c>
      <c r="BQ2857" s="2" t="s">
        <v>82</v>
      </c>
      <c r="BR2857" s="2" t="s">
        <v>103</v>
      </c>
      <c r="BS2857" s="3">
        <v>43090</v>
      </c>
      <c r="BT2857" s="4">
        <v>0.4375</v>
      </c>
      <c r="BU2857" s="2" t="s">
        <v>114</v>
      </c>
      <c r="BV2857" s="2" t="s">
        <v>85</v>
      </c>
      <c r="BY2857" s="2">
        <v>1200</v>
      </c>
      <c r="CC2857" s="2" t="s">
        <v>126</v>
      </c>
      <c r="CD2857" s="2">
        <v>4052</v>
      </c>
      <c r="CE2857" s="2" t="s">
        <v>120</v>
      </c>
      <c r="CF2857" s="3">
        <v>43096</v>
      </c>
      <c r="CI2857" s="2">
        <v>1</v>
      </c>
      <c r="CJ2857" s="2">
        <v>1</v>
      </c>
      <c r="CK2857" s="2">
        <v>21</v>
      </c>
      <c r="CL2857" s="2" t="s">
        <v>89</v>
      </c>
    </row>
    <row r="2858" spans="1:90">
      <c r="A2858" s="2" t="s">
        <v>71</v>
      </c>
      <c r="B2858" s="2" t="s">
        <v>72</v>
      </c>
      <c r="C2858" s="2" t="s">
        <v>73</v>
      </c>
      <c r="E2858" s="2" t="str">
        <f>"FES1162595719"</f>
        <v>FES1162595719</v>
      </c>
      <c r="F2858" s="3">
        <v>43082</v>
      </c>
      <c r="G2858" s="2">
        <v>201806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285</v>
      </c>
      <c r="M2858" s="2" t="s">
        <v>159</v>
      </c>
      <c r="N2858" s="2" t="s">
        <v>286</v>
      </c>
      <c r="O2858" s="2" t="s">
        <v>81</v>
      </c>
      <c r="P2858" s="2" t="str">
        <f>"2170602540                    "</f>
        <v xml:space="preserve">2170602540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13.45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21.9</v>
      </c>
      <c r="BJ2858" s="2">
        <v>7.5</v>
      </c>
      <c r="BK2858" s="2">
        <v>22</v>
      </c>
      <c r="BL2858" s="2">
        <v>101.04</v>
      </c>
      <c r="BM2858" s="2">
        <v>14.15</v>
      </c>
      <c r="BN2858" s="2">
        <v>115.19</v>
      </c>
      <c r="BO2858" s="2">
        <v>115.19</v>
      </c>
      <c r="BQ2858" s="2" t="s">
        <v>128</v>
      </c>
      <c r="BR2858" s="2" t="s">
        <v>83</v>
      </c>
      <c r="BS2858" s="3">
        <v>43088</v>
      </c>
      <c r="BT2858" s="4">
        <v>0.4236111111111111</v>
      </c>
      <c r="BU2858" s="2" t="s">
        <v>2850</v>
      </c>
      <c r="BY2858" s="2">
        <v>37408.639999999999</v>
      </c>
      <c r="CC2858" s="2" t="s">
        <v>159</v>
      </c>
      <c r="CD2858" s="2">
        <v>186</v>
      </c>
      <c r="CE2858" s="2" t="s">
        <v>87</v>
      </c>
      <c r="CF2858" s="3">
        <v>43090</v>
      </c>
      <c r="CI2858" s="2">
        <v>0</v>
      </c>
      <c r="CJ2858" s="2">
        <v>0</v>
      </c>
      <c r="CK2858" s="2" t="s">
        <v>289</v>
      </c>
      <c r="CL2858" s="2" t="s">
        <v>89</v>
      </c>
    </row>
    <row r="2859" spans="1:90">
      <c r="A2859" s="2" t="s">
        <v>71</v>
      </c>
      <c r="B2859" s="2" t="s">
        <v>72</v>
      </c>
      <c r="C2859" s="2" t="s">
        <v>73</v>
      </c>
      <c r="E2859" s="2" t="str">
        <f>"FES1162595522"</f>
        <v>FES1162595522</v>
      </c>
      <c r="F2859" s="3">
        <v>43088</v>
      </c>
      <c r="G2859" s="2">
        <v>201806</v>
      </c>
      <c r="H2859" s="2" t="s">
        <v>74</v>
      </c>
      <c r="I2859" s="2" t="s">
        <v>75</v>
      </c>
      <c r="J2859" s="2" t="s">
        <v>97</v>
      </c>
      <c r="K2859" s="2" t="s">
        <v>77</v>
      </c>
      <c r="L2859" s="2" t="s">
        <v>285</v>
      </c>
      <c r="M2859" s="2" t="s">
        <v>159</v>
      </c>
      <c r="N2859" s="2" t="s">
        <v>543</v>
      </c>
      <c r="O2859" s="2" t="s">
        <v>81</v>
      </c>
      <c r="P2859" s="2" t="str">
        <f>"2170607367                    "</f>
        <v xml:space="preserve">2170607367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13.11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20</v>
      </c>
      <c r="BJ2859" s="2">
        <v>20.2</v>
      </c>
      <c r="BK2859" s="2">
        <v>21</v>
      </c>
      <c r="BL2859" s="2">
        <v>98.6</v>
      </c>
      <c r="BM2859" s="2">
        <v>13.8</v>
      </c>
      <c r="BN2859" s="2">
        <v>112.4</v>
      </c>
      <c r="BO2859" s="2">
        <v>112.4</v>
      </c>
      <c r="BQ2859" s="2" t="s">
        <v>82</v>
      </c>
      <c r="BR2859" s="2" t="s">
        <v>103</v>
      </c>
      <c r="BS2859" s="2" t="s">
        <v>185</v>
      </c>
      <c r="BY2859" s="2">
        <v>100800</v>
      </c>
      <c r="CC2859" s="2" t="s">
        <v>159</v>
      </c>
      <c r="CD2859" s="2">
        <v>1</v>
      </c>
      <c r="CE2859" s="2" t="s">
        <v>95</v>
      </c>
      <c r="CI2859" s="2">
        <v>0</v>
      </c>
      <c r="CJ2859" s="2">
        <v>0</v>
      </c>
      <c r="CK2859" s="2" t="s">
        <v>289</v>
      </c>
      <c r="CL2859" s="2" t="s">
        <v>89</v>
      </c>
    </row>
    <row r="2860" spans="1:90">
      <c r="A2860" s="2" t="s">
        <v>71</v>
      </c>
      <c r="B2860" s="2" t="s">
        <v>72</v>
      </c>
      <c r="C2860" s="2" t="s">
        <v>73</v>
      </c>
      <c r="E2860" s="2" t="str">
        <f>"FES1162596926"</f>
        <v>FES1162596926</v>
      </c>
      <c r="F2860" s="3">
        <v>43088</v>
      </c>
      <c r="G2860" s="2">
        <v>201806</v>
      </c>
      <c r="H2860" s="2" t="s">
        <v>74</v>
      </c>
      <c r="I2860" s="2" t="s">
        <v>75</v>
      </c>
      <c r="J2860" s="2" t="s">
        <v>97</v>
      </c>
      <c r="K2860" s="2" t="s">
        <v>77</v>
      </c>
      <c r="L2860" s="2" t="s">
        <v>136</v>
      </c>
      <c r="M2860" s="2" t="s">
        <v>137</v>
      </c>
      <c r="N2860" s="2" t="s">
        <v>178</v>
      </c>
      <c r="O2860" s="2" t="s">
        <v>81</v>
      </c>
      <c r="P2860" s="2" t="str">
        <f>"2170608460                    "</f>
        <v xml:space="preserve">2170608460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26.14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20</v>
      </c>
      <c r="BJ2860" s="2">
        <v>37.200000000000003</v>
      </c>
      <c r="BK2860" s="2">
        <v>38</v>
      </c>
      <c r="BL2860" s="2">
        <v>191.58</v>
      </c>
      <c r="BM2860" s="2">
        <v>26.82</v>
      </c>
      <c r="BN2860" s="2">
        <v>218.4</v>
      </c>
      <c r="BO2860" s="2">
        <v>218.4</v>
      </c>
      <c r="BQ2860" s="2" t="s">
        <v>102</v>
      </c>
      <c r="BR2860" s="2" t="s">
        <v>103</v>
      </c>
      <c r="BS2860" s="3">
        <v>43090</v>
      </c>
      <c r="BT2860" s="4">
        <v>0.64027777777777783</v>
      </c>
      <c r="BU2860" s="2" t="s">
        <v>2353</v>
      </c>
      <c r="BV2860" s="2" t="s">
        <v>85</v>
      </c>
      <c r="BY2860" s="2">
        <v>185959.91</v>
      </c>
      <c r="CA2860" s="2" t="s">
        <v>315</v>
      </c>
      <c r="CC2860" s="2" t="s">
        <v>137</v>
      </c>
      <c r="CD2860" s="2">
        <v>6001</v>
      </c>
      <c r="CE2860" s="2" t="s">
        <v>95</v>
      </c>
      <c r="CF2860" s="3">
        <v>43096</v>
      </c>
      <c r="CI2860" s="2">
        <v>2</v>
      </c>
      <c r="CJ2860" s="2">
        <v>2</v>
      </c>
      <c r="CK2860" s="2" t="s">
        <v>271</v>
      </c>
      <c r="CL2860" s="2" t="s">
        <v>89</v>
      </c>
    </row>
    <row r="2861" spans="1:90">
      <c r="A2861" s="2" t="s">
        <v>71</v>
      </c>
      <c r="B2861" s="2" t="s">
        <v>72</v>
      </c>
      <c r="C2861" s="2" t="s">
        <v>73</v>
      </c>
      <c r="E2861" s="2" t="str">
        <f>"FES1162597033"</f>
        <v>FES1162597033</v>
      </c>
      <c r="F2861" s="3">
        <v>43088</v>
      </c>
      <c r="G2861" s="2">
        <v>201806</v>
      </c>
      <c r="H2861" s="2" t="s">
        <v>74</v>
      </c>
      <c r="I2861" s="2" t="s">
        <v>75</v>
      </c>
      <c r="J2861" s="2" t="s">
        <v>97</v>
      </c>
      <c r="K2861" s="2" t="s">
        <v>77</v>
      </c>
      <c r="L2861" s="2" t="s">
        <v>136</v>
      </c>
      <c r="M2861" s="2" t="s">
        <v>137</v>
      </c>
      <c r="N2861" s="2" t="s">
        <v>258</v>
      </c>
      <c r="O2861" s="2" t="s">
        <v>81</v>
      </c>
      <c r="P2861" s="2" t="str">
        <f>"2170604735                    "</f>
        <v xml:space="preserve">2170604735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24.44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2</v>
      </c>
      <c r="BI2861" s="2">
        <v>34.5</v>
      </c>
      <c r="BJ2861" s="2">
        <v>19.600000000000001</v>
      </c>
      <c r="BK2861" s="2">
        <v>35</v>
      </c>
      <c r="BL2861" s="2">
        <v>179.5</v>
      </c>
      <c r="BM2861" s="2">
        <v>25.13</v>
      </c>
      <c r="BN2861" s="2">
        <v>204.63</v>
      </c>
      <c r="BO2861" s="2">
        <v>204.63</v>
      </c>
      <c r="BQ2861" s="2" t="s">
        <v>102</v>
      </c>
      <c r="BR2861" s="2" t="s">
        <v>103</v>
      </c>
      <c r="BS2861" s="3">
        <v>43090</v>
      </c>
      <c r="BT2861" s="4">
        <v>0.42222222222222222</v>
      </c>
      <c r="BU2861" s="2" t="s">
        <v>2851</v>
      </c>
      <c r="BV2861" s="2" t="s">
        <v>85</v>
      </c>
      <c r="BY2861" s="2">
        <v>98245.39</v>
      </c>
      <c r="CA2861" s="2" t="s">
        <v>2291</v>
      </c>
      <c r="CC2861" s="2" t="s">
        <v>137</v>
      </c>
      <c r="CD2861" s="2">
        <v>6001</v>
      </c>
      <c r="CE2861" s="2" t="s">
        <v>1004</v>
      </c>
      <c r="CF2861" s="3">
        <v>43097</v>
      </c>
      <c r="CI2861" s="2">
        <v>2</v>
      </c>
      <c r="CJ2861" s="2">
        <v>2</v>
      </c>
      <c r="CK2861" s="2" t="s">
        <v>271</v>
      </c>
      <c r="CL2861" s="2" t="s">
        <v>89</v>
      </c>
    </row>
    <row r="2862" spans="1:90">
      <c r="A2862" s="2" t="s">
        <v>71</v>
      </c>
      <c r="B2862" s="2" t="s">
        <v>72</v>
      </c>
      <c r="C2862" s="2" t="s">
        <v>73</v>
      </c>
      <c r="E2862" s="2" t="str">
        <f>"FES1162596661"</f>
        <v>FES1162596661</v>
      </c>
      <c r="F2862" s="3">
        <v>43088</v>
      </c>
      <c r="G2862" s="2">
        <v>201806</v>
      </c>
      <c r="H2862" s="2" t="s">
        <v>74</v>
      </c>
      <c r="I2862" s="2" t="s">
        <v>75</v>
      </c>
      <c r="J2862" s="2" t="s">
        <v>97</v>
      </c>
      <c r="K2862" s="2" t="s">
        <v>77</v>
      </c>
      <c r="L2862" s="2" t="s">
        <v>285</v>
      </c>
      <c r="M2862" s="2" t="s">
        <v>159</v>
      </c>
      <c r="N2862" s="2" t="s">
        <v>2852</v>
      </c>
      <c r="O2862" s="2" t="s">
        <v>81</v>
      </c>
      <c r="P2862" s="2" t="str">
        <f>"2170605102                    "</f>
        <v xml:space="preserve">2170605102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14.48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24.6</v>
      </c>
      <c r="BJ2862" s="2">
        <v>19</v>
      </c>
      <c r="BK2862" s="2">
        <v>25</v>
      </c>
      <c r="BL2862" s="2">
        <v>108.37</v>
      </c>
      <c r="BM2862" s="2">
        <v>15.17</v>
      </c>
      <c r="BN2862" s="2">
        <v>123.54</v>
      </c>
      <c r="BO2862" s="2">
        <v>123.54</v>
      </c>
      <c r="BQ2862" s="2" t="s">
        <v>82</v>
      </c>
      <c r="BR2862" s="2" t="s">
        <v>103</v>
      </c>
      <c r="BS2862" s="2" t="s">
        <v>185</v>
      </c>
      <c r="BY2862" s="2">
        <v>95101.41</v>
      </c>
      <c r="CC2862" s="2" t="s">
        <v>159</v>
      </c>
      <c r="CD2862" s="2">
        <v>84</v>
      </c>
      <c r="CE2862" s="2" t="s">
        <v>95</v>
      </c>
      <c r="CI2862" s="2">
        <v>0</v>
      </c>
      <c r="CJ2862" s="2">
        <v>0</v>
      </c>
      <c r="CK2862" s="2" t="s">
        <v>289</v>
      </c>
      <c r="CL2862" s="2" t="s">
        <v>89</v>
      </c>
    </row>
    <row r="2863" spans="1:90">
      <c r="A2863" s="2" t="s">
        <v>71</v>
      </c>
      <c r="B2863" s="2" t="s">
        <v>72</v>
      </c>
      <c r="C2863" s="2" t="s">
        <v>73</v>
      </c>
      <c r="E2863" s="2" t="str">
        <f>"FES1162597018"</f>
        <v>FES1162597018</v>
      </c>
      <c r="F2863" s="3">
        <v>43088</v>
      </c>
      <c r="G2863" s="2">
        <v>201806</v>
      </c>
      <c r="H2863" s="2" t="s">
        <v>74</v>
      </c>
      <c r="I2863" s="2" t="s">
        <v>75</v>
      </c>
      <c r="J2863" s="2" t="s">
        <v>97</v>
      </c>
      <c r="K2863" s="2" t="s">
        <v>77</v>
      </c>
      <c r="L2863" s="2" t="s">
        <v>136</v>
      </c>
      <c r="M2863" s="2" t="s">
        <v>137</v>
      </c>
      <c r="N2863" s="2" t="s">
        <v>138</v>
      </c>
      <c r="O2863" s="2" t="s">
        <v>81</v>
      </c>
      <c r="P2863" s="2" t="str">
        <f>"2170600484                    "</f>
        <v xml:space="preserve">2170600484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24.44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2</v>
      </c>
      <c r="BI2863" s="2">
        <v>34.9</v>
      </c>
      <c r="BJ2863" s="2">
        <v>21.2</v>
      </c>
      <c r="BK2863" s="2">
        <v>35</v>
      </c>
      <c r="BL2863" s="2">
        <v>179.5</v>
      </c>
      <c r="BM2863" s="2">
        <v>25.13</v>
      </c>
      <c r="BN2863" s="2">
        <v>204.63</v>
      </c>
      <c r="BO2863" s="2">
        <v>204.63</v>
      </c>
      <c r="BQ2863" s="2" t="s">
        <v>82</v>
      </c>
      <c r="BR2863" s="2" t="s">
        <v>103</v>
      </c>
      <c r="BS2863" s="3">
        <v>43090</v>
      </c>
      <c r="BT2863" s="4">
        <v>0.6430555555555556</v>
      </c>
      <c r="BU2863" s="2" t="s">
        <v>1606</v>
      </c>
      <c r="BV2863" s="2" t="s">
        <v>85</v>
      </c>
      <c r="BY2863" s="2">
        <v>105990.28</v>
      </c>
      <c r="CA2863" s="2" t="s">
        <v>315</v>
      </c>
      <c r="CC2863" s="2" t="s">
        <v>137</v>
      </c>
      <c r="CD2863" s="2">
        <v>6001</v>
      </c>
      <c r="CE2863" s="2" t="s">
        <v>87</v>
      </c>
      <c r="CF2863" s="3">
        <v>43096</v>
      </c>
      <c r="CI2863" s="2">
        <v>2</v>
      </c>
      <c r="CJ2863" s="2">
        <v>2</v>
      </c>
      <c r="CK2863" s="2" t="s">
        <v>271</v>
      </c>
      <c r="CL2863" s="2" t="s">
        <v>89</v>
      </c>
    </row>
    <row r="2864" spans="1:90">
      <c r="A2864" s="2" t="s">
        <v>71</v>
      </c>
      <c r="B2864" s="2" t="s">
        <v>72</v>
      </c>
      <c r="C2864" s="2" t="s">
        <v>73</v>
      </c>
      <c r="E2864" s="2" t="str">
        <f>"FES1162596820"</f>
        <v>FES1162596820</v>
      </c>
      <c r="F2864" s="3">
        <v>43088</v>
      </c>
      <c r="G2864" s="2">
        <v>201806</v>
      </c>
      <c r="H2864" s="2" t="s">
        <v>74</v>
      </c>
      <c r="I2864" s="2" t="s">
        <v>75</v>
      </c>
      <c r="J2864" s="2" t="s">
        <v>97</v>
      </c>
      <c r="K2864" s="2" t="s">
        <v>77</v>
      </c>
      <c r="L2864" s="2" t="s">
        <v>136</v>
      </c>
      <c r="M2864" s="2" t="s">
        <v>137</v>
      </c>
      <c r="N2864" s="2" t="s">
        <v>1026</v>
      </c>
      <c r="O2864" s="2" t="s">
        <v>81</v>
      </c>
      <c r="P2864" s="2" t="str">
        <f>"2170601563                    "</f>
        <v xml:space="preserve">2170601563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75.739999999999995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6</v>
      </c>
      <c r="BI2864" s="2">
        <v>125.2</v>
      </c>
      <c r="BJ2864" s="2">
        <v>42.6</v>
      </c>
      <c r="BK2864" s="2">
        <v>126</v>
      </c>
      <c r="BL2864" s="2">
        <v>545.66</v>
      </c>
      <c r="BM2864" s="2">
        <v>76.39</v>
      </c>
      <c r="BN2864" s="2">
        <v>622.04999999999995</v>
      </c>
      <c r="BO2864" s="2">
        <v>622.04999999999995</v>
      </c>
      <c r="BQ2864" s="2" t="s">
        <v>102</v>
      </c>
      <c r="BR2864" s="2" t="s">
        <v>103</v>
      </c>
      <c r="BS2864" s="3">
        <v>43090</v>
      </c>
      <c r="BT2864" s="4">
        <v>0.63541666666666663</v>
      </c>
      <c r="BU2864" s="2" t="s">
        <v>2853</v>
      </c>
      <c r="BV2864" s="2" t="s">
        <v>85</v>
      </c>
      <c r="BY2864" s="2">
        <v>212873.04</v>
      </c>
      <c r="CA2864" s="2" t="s">
        <v>315</v>
      </c>
      <c r="CC2864" s="2" t="s">
        <v>137</v>
      </c>
      <c r="CD2864" s="2">
        <v>6001</v>
      </c>
      <c r="CE2864" s="2" t="s">
        <v>87</v>
      </c>
      <c r="CF2864" s="3">
        <v>43096</v>
      </c>
      <c r="CI2864" s="2">
        <v>2</v>
      </c>
      <c r="CJ2864" s="2">
        <v>2</v>
      </c>
      <c r="CK2864" s="2" t="s">
        <v>271</v>
      </c>
      <c r="CL2864" s="2" t="s">
        <v>89</v>
      </c>
    </row>
    <row r="2865" spans="1:90">
      <c r="A2865" s="2" t="s">
        <v>71</v>
      </c>
      <c r="B2865" s="2" t="s">
        <v>72</v>
      </c>
      <c r="C2865" s="2" t="s">
        <v>73</v>
      </c>
      <c r="E2865" s="2" t="str">
        <f>"FES1162597066"</f>
        <v>FES1162597066</v>
      </c>
      <c r="F2865" s="3">
        <v>43089</v>
      </c>
      <c r="G2865" s="2">
        <v>201806</v>
      </c>
      <c r="H2865" s="2" t="s">
        <v>74</v>
      </c>
      <c r="I2865" s="2" t="s">
        <v>75</v>
      </c>
      <c r="J2865" s="2" t="s">
        <v>97</v>
      </c>
      <c r="K2865" s="2" t="s">
        <v>77</v>
      </c>
      <c r="L2865" s="2" t="s">
        <v>850</v>
      </c>
      <c r="M2865" s="2" t="s">
        <v>851</v>
      </c>
      <c r="N2865" s="2" t="s">
        <v>1055</v>
      </c>
      <c r="O2865" s="2" t="s">
        <v>101</v>
      </c>
      <c r="P2865" s="2" t="str">
        <f>"2170608568                    "</f>
        <v xml:space="preserve">2170608568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6.43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1</v>
      </c>
      <c r="BJ2865" s="2">
        <v>0.2</v>
      </c>
      <c r="BK2865" s="2">
        <v>1</v>
      </c>
      <c r="BL2865" s="2">
        <v>45.93</v>
      </c>
      <c r="BM2865" s="2">
        <v>6.43</v>
      </c>
      <c r="BN2865" s="2">
        <v>52.36</v>
      </c>
      <c r="BO2865" s="2">
        <v>52.36</v>
      </c>
      <c r="BQ2865" s="2" t="s">
        <v>102</v>
      </c>
      <c r="BR2865" s="2" t="s">
        <v>103</v>
      </c>
      <c r="BS2865" s="3">
        <v>43090</v>
      </c>
      <c r="BT2865" s="4">
        <v>0.68125000000000002</v>
      </c>
      <c r="BU2865" s="2" t="s">
        <v>1056</v>
      </c>
      <c r="BV2865" s="2" t="s">
        <v>85</v>
      </c>
      <c r="BY2865" s="2">
        <v>1200</v>
      </c>
      <c r="CA2865" s="2" t="s">
        <v>1057</v>
      </c>
      <c r="CC2865" s="2" t="s">
        <v>851</v>
      </c>
      <c r="CD2865" s="2">
        <v>3290</v>
      </c>
      <c r="CE2865" s="2" t="s">
        <v>2749</v>
      </c>
      <c r="CF2865" s="3">
        <v>43096</v>
      </c>
      <c r="CI2865" s="2">
        <v>1</v>
      </c>
      <c r="CJ2865" s="2">
        <v>1</v>
      </c>
      <c r="CK2865" s="2">
        <v>21</v>
      </c>
      <c r="CL2865" s="2" t="s">
        <v>89</v>
      </c>
    </row>
    <row r="2866" spans="1:90">
      <c r="A2866" s="2" t="s">
        <v>71</v>
      </c>
      <c r="B2866" s="2" t="s">
        <v>72</v>
      </c>
      <c r="C2866" s="2" t="s">
        <v>73</v>
      </c>
      <c r="E2866" s="2" t="str">
        <f>"009935791692"</f>
        <v>009935791692</v>
      </c>
      <c r="F2866" s="3">
        <v>43081</v>
      </c>
      <c r="G2866" s="2">
        <v>201806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325</v>
      </c>
      <c r="M2866" s="2" t="s">
        <v>326</v>
      </c>
      <c r="N2866" s="2" t="s">
        <v>1129</v>
      </c>
      <c r="O2866" s="2" t="s">
        <v>339</v>
      </c>
      <c r="P2866" s="2" t="str">
        <f>"1162591512                    "</f>
        <v xml:space="preserve">1162591512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22.63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8.6</v>
      </c>
      <c r="BJ2866" s="2">
        <v>1.7</v>
      </c>
      <c r="BK2866" s="2">
        <v>9</v>
      </c>
      <c r="BL2866" s="2">
        <v>161.53</v>
      </c>
      <c r="BM2866" s="2">
        <v>22.61</v>
      </c>
      <c r="BN2866" s="2">
        <v>184.14</v>
      </c>
      <c r="BO2866" s="2">
        <v>184.14</v>
      </c>
      <c r="BP2866" s="2" t="s">
        <v>2854</v>
      </c>
      <c r="BQ2866" s="2" t="s">
        <v>82</v>
      </c>
      <c r="BR2866" s="2" t="s">
        <v>83</v>
      </c>
      <c r="BS2866" s="3">
        <v>43082</v>
      </c>
      <c r="BT2866" s="4">
        <v>0.38611111111111113</v>
      </c>
      <c r="BU2866" s="2" t="s">
        <v>2855</v>
      </c>
      <c r="BV2866" s="2" t="s">
        <v>85</v>
      </c>
      <c r="BY2866" s="2">
        <v>8525.7800000000007</v>
      </c>
      <c r="BZ2866" s="2" t="s">
        <v>27</v>
      </c>
      <c r="CA2866" s="2" t="s">
        <v>1010</v>
      </c>
      <c r="CC2866" s="2" t="s">
        <v>326</v>
      </c>
      <c r="CD2866" s="2">
        <v>1939</v>
      </c>
      <c r="CE2866" s="2" t="s">
        <v>288</v>
      </c>
      <c r="CI2866" s="2">
        <v>1</v>
      </c>
      <c r="CJ2866" s="2">
        <v>1</v>
      </c>
      <c r="CK2866" s="2">
        <v>34</v>
      </c>
      <c r="CL2866" s="2" t="s">
        <v>89</v>
      </c>
    </row>
    <row r="2867" spans="1:90">
      <c r="A2867" s="2" t="s">
        <v>71</v>
      </c>
      <c r="B2867" s="2" t="s">
        <v>72</v>
      </c>
      <c r="C2867" s="2" t="s">
        <v>73</v>
      </c>
      <c r="E2867" s="2" t="str">
        <f>"FES1162597375"</f>
        <v>FES1162597375</v>
      </c>
      <c r="F2867" s="3">
        <v>43089</v>
      </c>
      <c r="G2867" s="2">
        <v>201806</v>
      </c>
      <c r="H2867" s="2" t="s">
        <v>74</v>
      </c>
      <c r="I2867" s="2" t="s">
        <v>75</v>
      </c>
      <c r="J2867" s="2" t="s">
        <v>97</v>
      </c>
      <c r="K2867" s="2" t="s">
        <v>77</v>
      </c>
      <c r="L2867" s="2" t="s">
        <v>145</v>
      </c>
      <c r="M2867" s="2" t="s">
        <v>146</v>
      </c>
      <c r="N2867" s="2" t="s">
        <v>753</v>
      </c>
      <c r="O2867" s="2" t="s">
        <v>101</v>
      </c>
      <c r="P2867" s="2" t="str">
        <f>"2170605877                    "</f>
        <v xml:space="preserve">2170605877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6.43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1</v>
      </c>
      <c r="BJ2867" s="2">
        <v>0.2</v>
      </c>
      <c r="BK2867" s="2">
        <v>1</v>
      </c>
      <c r="BL2867" s="2">
        <v>45.93</v>
      </c>
      <c r="BM2867" s="2">
        <v>6.43</v>
      </c>
      <c r="BN2867" s="2">
        <v>52.36</v>
      </c>
      <c r="BO2867" s="2">
        <v>52.36</v>
      </c>
      <c r="BQ2867" s="2" t="s">
        <v>82</v>
      </c>
      <c r="BR2867" s="2" t="s">
        <v>103</v>
      </c>
      <c r="BS2867" s="3">
        <v>43090</v>
      </c>
      <c r="BT2867" s="4">
        <v>0.4069444444444445</v>
      </c>
      <c r="BU2867" s="2" t="s">
        <v>2856</v>
      </c>
      <c r="BV2867" s="2" t="s">
        <v>85</v>
      </c>
      <c r="BY2867" s="2">
        <v>1200</v>
      </c>
      <c r="CC2867" s="2" t="s">
        <v>146</v>
      </c>
      <c r="CD2867" s="2">
        <v>5201</v>
      </c>
      <c r="CE2867" s="2" t="s">
        <v>120</v>
      </c>
      <c r="CF2867" s="3">
        <v>43096</v>
      </c>
      <c r="CI2867" s="2">
        <v>1</v>
      </c>
      <c r="CJ2867" s="2">
        <v>1</v>
      </c>
      <c r="CK2867" s="2">
        <v>21</v>
      </c>
      <c r="CL2867" s="2" t="s">
        <v>89</v>
      </c>
    </row>
    <row r="2868" spans="1:90">
      <c r="A2868" s="2" t="s">
        <v>71</v>
      </c>
      <c r="B2868" s="2" t="s">
        <v>72</v>
      </c>
      <c r="C2868" s="2" t="s">
        <v>73</v>
      </c>
      <c r="E2868" s="2" t="str">
        <f>"Rfes1162596010"</f>
        <v>Rfes1162596010</v>
      </c>
      <c r="F2868" s="3">
        <v>43089</v>
      </c>
      <c r="G2868" s="2">
        <v>201806</v>
      </c>
      <c r="H2868" s="2" t="s">
        <v>136</v>
      </c>
      <c r="I2868" s="2" t="s">
        <v>137</v>
      </c>
      <c r="J2868" s="2" t="s">
        <v>662</v>
      </c>
      <c r="K2868" s="2" t="s">
        <v>77</v>
      </c>
      <c r="L2868" s="2" t="s">
        <v>74</v>
      </c>
      <c r="M2868" s="2" t="s">
        <v>75</v>
      </c>
      <c r="N2868" s="2" t="s">
        <v>97</v>
      </c>
      <c r="O2868" s="2" t="s">
        <v>101</v>
      </c>
      <c r="P2868" s="2" t="str">
        <f>"2170604920                    "</f>
        <v xml:space="preserve">2170604920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6.43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1</v>
      </c>
      <c r="BJ2868" s="2">
        <v>0.2</v>
      </c>
      <c r="BK2868" s="2">
        <v>1</v>
      </c>
      <c r="BL2868" s="2">
        <v>45.93</v>
      </c>
      <c r="BM2868" s="2">
        <v>6.43</v>
      </c>
      <c r="BN2868" s="2">
        <v>52.36</v>
      </c>
      <c r="BO2868" s="2">
        <v>52.36</v>
      </c>
      <c r="BQ2868" s="2" t="s">
        <v>103</v>
      </c>
      <c r="BR2868" s="2" t="s">
        <v>128</v>
      </c>
      <c r="BS2868" s="3">
        <v>43090</v>
      </c>
      <c r="BT2868" s="4">
        <v>0.46875</v>
      </c>
      <c r="BU2868" s="2" t="s">
        <v>1724</v>
      </c>
      <c r="BV2868" s="2" t="s">
        <v>89</v>
      </c>
      <c r="BW2868" s="2" t="s">
        <v>156</v>
      </c>
      <c r="BX2868" s="2" t="s">
        <v>157</v>
      </c>
      <c r="BY2868" s="2">
        <v>1200</v>
      </c>
      <c r="CC2868" s="2" t="s">
        <v>75</v>
      </c>
      <c r="CD2868" s="2">
        <v>1600</v>
      </c>
      <c r="CE2868" s="2" t="s">
        <v>95</v>
      </c>
      <c r="CF2868" s="3">
        <v>43091</v>
      </c>
      <c r="CI2868" s="2">
        <v>1</v>
      </c>
      <c r="CJ2868" s="2">
        <v>1</v>
      </c>
      <c r="CK2868" s="2">
        <v>21</v>
      </c>
      <c r="CL2868" s="2" t="s">
        <v>89</v>
      </c>
    </row>
    <row r="2869" spans="1:90">
      <c r="A2869" s="2" t="s">
        <v>71</v>
      </c>
      <c r="B2869" s="2" t="s">
        <v>72</v>
      </c>
      <c r="C2869" s="2" t="s">
        <v>73</v>
      </c>
      <c r="E2869" s="2" t="str">
        <f>"Rfes1162596591"</f>
        <v>Rfes1162596591</v>
      </c>
      <c r="F2869" s="3">
        <v>43089</v>
      </c>
      <c r="G2869" s="2">
        <v>201806</v>
      </c>
      <c r="H2869" s="2" t="s">
        <v>136</v>
      </c>
      <c r="I2869" s="2" t="s">
        <v>137</v>
      </c>
      <c r="J2869" s="2" t="s">
        <v>662</v>
      </c>
      <c r="K2869" s="2" t="s">
        <v>77</v>
      </c>
      <c r="L2869" s="2" t="s">
        <v>74</v>
      </c>
      <c r="M2869" s="2" t="s">
        <v>75</v>
      </c>
      <c r="N2869" s="2" t="s">
        <v>97</v>
      </c>
      <c r="O2869" s="2" t="s">
        <v>101</v>
      </c>
      <c r="P2869" s="2" t="str">
        <f>"2170606556                    "</f>
        <v xml:space="preserve">2170606556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6.43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</v>
      </c>
      <c r="BJ2869" s="2">
        <v>0.2</v>
      </c>
      <c r="BK2869" s="2">
        <v>1</v>
      </c>
      <c r="BL2869" s="2">
        <v>45.93</v>
      </c>
      <c r="BM2869" s="2">
        <v>6.43</v>
      </c>
      <c r="BN2869" s="2">
        <v>52.36</v>
      </c>
      <c r="BO2869" s="2">
        <v>52.36</v>
      </c>
      <c r="BQ2869" s="2" t="s">
        <v>103</v>
      </c>
      <c r="BR2869" s="2" t="s">
        <v>128</v>
      </c>
      <c r="BS2869" s="3">
        <v>43090</v>
      </c>
      <c r="BT2869" s="4">
        <v>0.46875</v>
      </c>
      <c r="BU2869" s="2" t="s">
        <v>1724</v>
      </c>
      <c r="BV2869" s="2" t="s">
        <v>89</v>
      </c>
      <c r="BW2869" s="2" t="s">
        <v>156</v>
      </c>
      <c r="BX2869" s="2" t="s">
        <v>157</v>
      </c>
      <c r="BY2869" s="2">
        <v>1200</v>
      </c>
      <c r="BZ2869" s="2" t="s">
        <v>27</v>
      </c>
      <c r="CC2869" s="2" t="s">
        <v>75</v>
      </c>
      <c r="CD2869" s="2">
        <v>1600</v>
      </c>
      <c r="CE2869" s="2" t="s">
        <v>87</v>
      </c>
      <c r="CF2869" s="3">
        <v>43091</v>
      </c>
      <c r="CI2869" s="2">
        <v>1</v>
      </c>
      <c r="CJ2869" s="2">
        <v>1</v>
      </c>
      <c r="CK2869" s="2">
        <v>21</v>
      </c>
      <c r="CL2869" s="2" t="s">
        <v>89</v>
      </c>
    </row>
    <row r="2870" spans="1:90">
      <c r="A2870" s="2" t="s">
        <v>71</v>
      </c>
      <c r="B2870" s="2" t="s">
        <v>72</v>
      </c>
      <c r="C2870" s="2" t="s">
        <v>73</v>
      </c>
      <c r="E2870" s="2" t="str">
        <f>"Rfes1162596856"</f>
        <v>Rfes1162596856</v>
      </c>
      <c r="F2870" s="3">
        <v>43089</v>
      </c>
      <c r="G2870" s="2">
        <v>201806</v>
      </c>
      <c r="H2870" s="2" t="s">
        <v>136</v>
      </c>
      <c r="I2870" s="2" t="s">
        <v>137</v>
      </c>
      <c r="J2870" s="2" t="s">
        <v>662</v>
      </c>
      <c r="K2870" s="2" t="s">
        <v>77</v>
      </c>
      <c r="L2870" s="2" t="s">
        <v>74</v>
      </c>
      <c r="M2870" s="2" t="s">
        <v>75</v>
      </c>
      <c r="N2870" s="2" t="s">
        <v>97</v>
      </c>
      <c r="O2870" s="2" t="s">
        <v>101</v>
      </c>
      <c r="P2870" s="2" t="str">
        <f>"2170605665                    "</f>
        <v xml:space="preserve">2170605665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9.65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3</v>
      </c>
      <c r="BJ2870" s="2">
        <v>0.6</v>
      </c>
      <c r="BK2870" s="2">
        <v>3</v>
      </c>
      <c r="BL2870" s="2">
        <v>68.89</v>
      </c>
      <c r="BM2870" s="2">
        <v>9.64</v>
      </c>
      <c r="BN2870" s="2">
        <v>78.53</v>
      </c>
      <c r="BO2870" s="2">
        <v>78.53</v>
      </c>
      <c r="BQ2870" s="2" t="s">
        <v>103</v>
      </c>
      <c r="BR2870" s="2" t="s">
        <v>128</v>
      </c>
      <c r="BS2870" s="3">
        <v>43090</v>
      </c>
      <c r="BT2870" s="4">
        <v>0.46875</v>
      </c>
      <c r="BU2870" s="2" t="s">
        <v>1724</v>
      </c>
      <c r="BV2870" s="2" t="s">
        <v>89</v>
      </c>
      <c r="BW2870" s="2" t="s">
        <v>149</v>
      </c>
      <c r="BX2870" s="2" t="s">
        <v>157</v>
      </c>
      <c r="BY2870" s="2">
        <v>3200</v>
      </c>
      <c r="BZ2870" s="2" t="s">
        <v>27</v>
      </c>
      <c r="CC2870" s="2" t="s">
        <v>75</v>
      </c>
      <c r="CD2870" s="2">
        <v>1600</v>
      </c>
      <c r="CE2870" s="2" t="s">
        <v>87</v>
      </c>
      <c r="CF2870" s="3">
        <v>43091</v>
      </c>
      <c r="CI2870" s="2">
        <v>1</v>
      </c>
      <c r="CJ2870" s="2">
        <v>1</v>
      </c>
      <c r="CK2870" s="2">
        <v>21</v>
      </c>
      <c r="CL2870" s="2" t="s">
        <v>89</v>
      </c>
    </row>
    <row r="2871" spans="1:90">
      <c r="A2871" s="2" t="s">
        <v>71</v>
      </c>
      <c r="B2871" s="2" t="s">
        <v>72</v>
      </c>
      <c r="C2871" s="2" t="s">
        <v>73</v>
      </c>
      <c r="E2871" s="2" t="str">
        <f>"RFES1162596393"</f>
        <v>RFES1162596393</v>
      </c>
      <c r="F2871" s="3">
        <v>43089</v>
      </c>
      <c r="G2871" s="2">
        <v>201806</v>
      </c>
      <c r="H2871" s="2" t="s">
        <v>136</v>
      </c>
      <c r="I2871" s="2" t="s">
        <v>137</v>
      </c>
      <c r="J2871" s="2" t="s">
        <v>662</v>
      </c>
      <c r="K2871" s="2" t="s">
        <v>77</v>
      </c>
      <c r="L2871" s="2" t="s">
        <v>74</v>
      </c>
      <c r="M2871" s="2" t="s">
        <v>75</v>
      </c>
      <c r="N2871" s="2" t="s">
        <v>97</v>
      </c>
      <c r="O2871" s="2" t="s">
        <v>101</v>
      </c>
      <c r="P2871" s="2" t="str">
        <f>"2170604920                    "</f>
        <v xml:space="preserve">2170604920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6.43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45.93</v>
      </c>
      <c r="BM2871" s="2">
        <v>6.43</v>
      </c>
      <c r="BN2871" s="2">
        <v>52.36</v>
      </c>
      <c r="BO2871" s="2">
        <v>52.36</v>
      </c>
      <c r="BQ2871" s="2" t="s">
        <v>103</v>
      </c>
      <c r="BR2871" s="2" t="s">
        <v>128</v>
      </c>
      <c r="BS2871" s="3">
        <v>43090</v>
      </c>
      <c r="BT2871" s="4">
        <v>0.46875</v>
      </c>
      <c r="BU2871" s="2" t="s">
        <v>1724</v>
      </c>
      <c r="BV2871" s="2" t="s">
        <v>89</v>
      </c>
      <c r="BW2871" s="2" t="s">
        <v>156</v>
      </c>
      <c r="BX2871" s="2" t="s">
        <v>157</v>
      </c>
      <c r="BY2871" s="2">
        <v>1200</v>
      </c>
      <c r="BZ2871" s="2" t="s">
        <v>27</v>
      </c>
      <c r="CC2871" s="2" t="s">
        <v>75</v>
      </c>
      <c r="CD2871" s="2">
        <v>1600</v>
      </c>
      <c r="CE2871" s="2" t="s">
        <v>120</v>
      </c>
      <c r="CF2871" s="3">
        <v>43091</v>
      </c>
      <c r="CI2871" s="2">
        <v>1</v>
      </c>
      <c r="CJ2871" s="2">
        <v>1</v>
      </c>
      <c r="CK2871" s="2">
        <v>21</v>
      </c>
      <c r="CL2871" s="2" t="s">
        <v>89</v>
      </c>
    </row>
    <row r="2872" spans="1:90">
      <c r="A2872" s="2" t="s">
        <v>71</v>
      </c>
      <c r="B2872" s="2" t="s">
        <v>72</v>
      </c>
      <c r="C2872" s="2" t="s">
        <v>73</v>
      </c>
      <c r="E2872" s="2" t="str">
        <f>"RFES1162596404"</f>
        <v>RFES1162596404</v>
      </c>
      <c r="F2872" s="3">
        <v>43089</v>
      </c>
      <c r="G2872" s="2">
        <v>201806</v>
      </c>
      <c r="H2872" s="2" t="s">
        <v>136</v>
      </c>
      <c r="I2872" s="2" t="s">
        <v>137</v>
      </c>
      <c r="J2872" s="2" t="s">
        <v>662</v>
      </c>
      <c r="K2872" s="2" t="s">
        <v>77</v>
      </c>
      <c r="L2872" s="2" t="s">
        <v>74</v>
      </c>
      <c r="M2872" s="2" t="s">
        <v>75</v>
      </c>
      <c r="N2872" s="2" t="s">
        <v>97</v>
      </c>
      <c r="O2872" s="2" t="s">
        <v>101</v>
      </c>
      <c r="P2872" s="2" t="str">
        <f>"21706056666                   "</f>
        <v xml:space="preserve">21706056666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6.43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</v>
      </c>
      <c r="BJ2872" s="2">
        <v>0.2</v>
      </c>
      <c r="BK2872" s="2">
        <v>1</v>
      </c>
      <c r="BL2872" s="2">
        <v>45.93</v>
      </c>
      <c r="BM2872" s="2">
        <v>6.43</v>
      </c>
      <c r="BN2872" s="2">
        <v>52.36</v>
      </c>
      <c r="BO2872" s="2">
        <v>52.36</v>
      </c>
      <c r="BQ2872" s="2" t="s">
        <v>103</v>
      </c>
      <c r="BR2872" s="2" t="s">
        <v>128</v>
      </c>
      <c r="BS2872" s="3">
        <v>43090</v>
      </c>
      <c r="BT2872" s="4">
        <v>0.46875</v>
      </c>
      <c r="BU2872" s="2" t="s">
        <v>1724</v>
      </c>
      <c r="BV2872" s="2" t="s">
        <v>89</v>
      </c>
      <c r="BW2872" s="2" t="s">
        <v>156</v>
      </c>
      <c r="BX2872" s="2" t="s">
        <v>157</v>
      </c>
      <c r="BY2872" s="2">
        <v>1200</v>
      </c>
      <c r="BZ2872" s="2" t="s">
        <v>27</v>
      </c>
      <c r="CC2872" s="2" t="s">
        <v>75</v>
      </c>
      <c r="CD2872" s="2">
        <v>1600</v>
      </c>
      <c r="CE2872" s="2" t="s">
        <v>1906</v>
      </c>
      <c r="CF2872" s="3">
        <v>43091</v>
      </c>
      <c r="CI2872" s="2">
        <v>1</v>
      </c>
      <c r="CJ2872" s="2">
        <v>1</v>
      </c>
      <c r="CK2872" s="2">
        <v>21</v>
      </c>
      <c r="CL2872" s="2" t="s">
        <v>89</v>
      </c>
    </row>
    <row r="2873" spans="1:90">
      <c r="A2873" s="2" t="s">
        <v>71</v>
      </c>
      <c r="B2873" s="2" t="s">
        <v>72</v>
      </c>
      <c r="C2873" s="2" t="s">
        <v>73</v>
      </c>
      <c r="E2873" s="2" t="str">
        <f>"Rfes1162595937"</f>
        <v>Rfes1162595937</v>
      </c>
      <c r="F2873" s="3">
        <v>43089</v>
      </c>
      <c r="G2873" s="2">
        <v>201806</v>
      </c>
      <c r="H2873" s="2" t="s">
        <v>136</v>
      </c>
      <c r="I2873" s="2" t="s">
        <v>137</v>
      </c>
      <c r="J2873" s="2" t="s">
        <v>2105</v>
      </c>
      <c r="K2873" s="2" t="s">
        <v>77</v>
      </c>
      <c r="L2873" s="2" t="s">
        <v>74</v>
      </c>
      <c r="M2873" s="2" t="s">
        <v>75</v>
      </c>
      <c r="N2873" s="2" t="s">
        <v>97</v>
      </c>
      <c r="O2873" s="2" t="s">
        <v>101</v>
      </c>
      <c r="P2873" s="2" t="str">
        <f>"2170604853                    "</f>
        <v xml:space="preserve">2170604853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6.43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</v>
      </c>
      <c r="BJ2873" s="2">
        <v>0.2</v>
      </c>
      <c r="BK2873" s="2">
        <v>1</v>
      </c>
      <c r="BL2873" s="2">
        <v>45.93</v>
      </c>
      <c r="BM2873" s="2">
        <v>6.43</v>
      </c>
      <c r="BN2873" s="2">
        <v>52.36</v>
      </c>
      <c r="BO2873" s="2">
        <v>52.36</v>
      </c>
      <c r="BQ2873" s="2" t="s">
        <v>103</v>
      </c>
      <c r="BR2873" s="2" t="s">
        <v>102</v>
      </c>
      <c r="BS2873" s="3">
        <v>43090</v>
      </c>
      <c r="BT2873" s="4">
        <v>0.46875</v>
      </c>
      <c r="BU2873" s="2" t="s">
        <v>1724</v>
      </c>
      <c r="BV2873" s="2" t="s">
        <v>89</v>
      </c>
      <c r="BW2873" s="2" t="s">
        <v>156</v>
      </c>
      <c r="BX2873" s="2" t="s">
        <v>157</v>
      </c>
      <c r="BY2873" s="2">
        <v>1200</v>
      </c>
      <c r="CC2873" s="2" t="s">
        <v>75</v>
      </c>
      <c r="CD2873" s="2">
        <v>1600</v>
      </c>
      <c r="CE2873" s="2" t="s">
        <v>120</v>
      </c>
      <c r="CF2873" s="3">
        <v>43091</v>
      </c>
      <c r="CI2873" s="2">
        <v>1</v>
      </c>
      <c r="CJ2873" s="2">
        <v>1</v>
      </c>
      <c r="CK2873" s="2">
        <v>21</v>
      </c>
      <c r="CL2873" s="2" t="s">
        <v>89</v>
      </c>
    </row>
    <row r="2874" spans="1:90">
      <c r="A2874" s="2" t="s">
        <v>71</v>
      </c>
      <c r="B2874" s="2" t="s">
        <v>72</v>
      </c>
      <c r="C2874" s="2" t="s">
        <v>73</v>
      </c>
      <c r="E2874" s="2" t="str">
        <f>"RFES1162596587"</f>
        <v>RFES1162596587</v>
      </c>
      <c r="F2874" s="3">
        <v>43089</v>
      </c>
      <c r="G2874" s="2">
        <v>201806</v>
      </c>
      <c r="H2874" s="2" t="s">
        <v>262</v>
      </c>
      <c r="I2874" s="2" t="s">
        <v>263</v>
      </c>
      <c r="J2874" s="2" t="s">
        <v>1567</v>
      </c>
      <c r="K2874" s="2" t="s">
        <v>77</v>
      </c>
      <c r="L2874" s="2" t="s">
        <v>74</v>
      </c>
      <c r="M2874" s="2" t="s">
        <v>75</v>
      </c>
      <c r="N2874" s="2" t="s">
        <v>97</v>
      </c>
      <c r="O2874" s="2" t="s">
        <v>101</v>
      </c>
      <c r="P2874" s="2" t="str">
        <f>"2170605484                    "</f>
        <v xml:space="preserve">2170605484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6.43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1</v>
      </c>
      <c r="BJ2874" s="2">
        <v>0.2</v>
      </c>
      <c r="BK2874" s="2">
        <v>1</v>
      </c>
      <c r="BL2874" s="2">
        <v>45.93</v>
      </c>
      <c r="BM2874" s="2">
        <v>6.43</v>
      </c>
      <c r="BN2874" s="2">
        <v>52.36</v>
      </c>
      <c r="BO2874" s="2">
        <v>52.36</v>
      </c>
      <c r="BQ2874" s="2" t="s">
        <v>103</v>
      </c>
      <c r="BR2874" s="2" t="s">
        <v>128</v>
      </c>
      <c r="BS2874" s="3">
        <v>43090</v>
      </c>
      <c r="BT2874" s="4">
        <v>0.46875</v>
      </c>
      <c r="BU2874" s="2" t="s">
        <v>1724</v>
      </c>
      <c r="BV2874" s="2" t="s">
        <v>89</v>
      </c>
      <c r="BW2874" s="2" t="s">
        <v>156</v>
      </c>
      <c r="BX2874" s="2" t="s">
        <v>157</v>
      </c>
      <c r="BY2874" s="2">
        <v>1200</v>
      </c>
      <c r="CC2874" s="2" t="s">
        <v>75</v>
      </c>
      <c r="CD2874" s="2">
        <v>1600</v>
      </c>
      <c r="CE2874" s="2" t="s">
        <v>1906</v>
      </c>
      <c r="CF2874" s="3">
        <v>43091</v>
      </c>
      <c r="CI2874" s="2">
        <v>1</v>
      </c>
      <c r="CJ2874" s="2">
        <v>1</v>
      </c>
      <c r="CK2874" s="2">
        <v>21</v>
      </c>
      <c r="CL2874" s="2" t="s">
        <v>89</v>
      </c>
    </row>
    <row r="2875" spans="1:90">
      <c r="A2875" s="2" t="s">
        <v>71</v>
      </c>
      <c r="B2875" s="2" t="s">
        <v>72</v>
      </c>
      <c r="C2875" s="2" t="s">
        <v>73</v>
      </c>
      <c r="E2875" s="2" t="str">
        <f>"RFES1162596672"</f>
        <v>RFES1162596672</v>
      </c>
      <c r="F2875" s="3">
        <v>43089</v>
      </c>
      <c r="G2875" s="2">
        <v>201806</v>
      </c>
      <c r="H2875" s="2" t="s">
        <v>262</v>
      </c>
      <c r="I2875" s="2" t="s">
        <v>263</v>
      </c>
      <c r="J2875" s="2" t="s">
        <v>1879</v>
      </c>
      <c r="K2875" s="2" t="s">
        <v>77</v>
      </c>
      <c r="L2875" s="2" t="s">
        <v>74</v>
      </c>
      <c r="M2875" s="2" t="s">
        <v>75</v>
      </c>
      <c r="N2875" s="2" t="s">
        <v>97</v>
      </c>
      <c r="O2875" s="2" t="s">
        <v>101</v>
      </c>
      <c r="P2875" s="2" t="str">
        <f>"2170608346                    "</f>
        <v xml:space="preserve">2170608346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6.43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0</v>
      </c>
      <c r="BK2875" s="2">
        <v>1</v>
      </c>
      <c r="BL2875" s="2">
        <v>45.93</v>
      </c>
      <c r="BM2875" s="2">
        <v>6.43</v>
      </c>
      <c r="BN2875" s="2">
        <v>52.36</v>
      </c>
      <c r="BO2875" s="2">
        <v>52.36</v>
      </c>
      <c r="BQ2875" s="2" t="s">
        <v>103</v>
      </c>
      <c r="BR2875" s="2" t="s">
        <v>2731</v>
      </c>
      <c r="BS2875" s="3">
        <v>43090</v>
      </c>
      <c r="BT2875" s="4">
        <v>0.46875</v>
      </c>
      <c r="BU2875" s="2" t="s">
        <v>1724</v>
      </c>
      <c r="BV2875" s="2" t="s">
        <v>89</v>
      </c>
      <c r="BW2875" s="2" t="s">
        <v>156</v>
      </c>
      <c r="BX2875" s="2" t="s">
        <v>157</v>
      </c>
      <c r="BY2875" s="2">
        <v>120</v>
      </c>
      <c r="BZ2875" s="2" t="s">
        <v>27</v>
      </c>
      <c r="CC2875" s="2" t="s">
        <v>75</v>
      </c>
      <c r="CD2875" s="2">
        <v>1600</v>
      </c>
      <c r="CE2875" s="2" t="s">
        <v>1906</v>
      </c>
      <c r="CF2875" s="3">
        <v>43091</v>
      </c>
      <c r="CI2875" s="2">
        <v>1</v>
      </c>
      <c r="CJ2875" s="2">
        <v>1</v>
      </c>
      <c r="CK2875" s="2">
        <v>21</v>
      </c>
      <c r="CL2875" s="2" t="s">
        <v>89</v>
      </c>
    </row>
    <row r="2876" spans="1:90">
      <c r="A2876" s="2" t="s">
        <v>71</v>
      </c>
      <c r="B2876" s="2" t="s">
        <v>72</v>
      </c>
      <c r="C2876" s="2" t="s">
        <v>73</v>
      </c>
      <c r="E2876" s="2" t="str">
        <f>"RFES1162596839"</f>
        <v>RFES1162596839</v>
      </c>
      <c r="F2876" s="3">
        <v>43089</v>
      </c>
      <c r="G2876" s="2">
        <v>201806</v>
      </c>
      <c r="H2876" s="2" t="s">
        <v>262</v>
      </c>
      <c r="I2876" s="2" t="s">
        <v>263</v>
      </c>
      <c r="J2876" s="2" t="s">
        <v>264</v>
      </c>
      <c r="K2876" s="2" t="s">
        <v>77</v>
      </c>
      <c r="L2876" s="2" t="s">
        <v>74</v>
      </c>
      <c r="M2876" s="2" t="s">
        <v>75</v>
      </c>
      <c r="N2876" s="2" t="s">
        <v>97</v>
      </c>
      <c r="O2876" s="2" t="s">
        <v>101</v>
      </c>
      <c r="P2876" s="2" t="str">
        <f>"2170605485                    "</f>
        <v xml:space="preserve">2170605485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6.43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1</v>
      </c>
      <c r="BJ2876" s="2">
        <v>0.2</v>
      </c>
      <c r="BK2876" s="2">
        <v>1</v>
      </c>
      <c r="BL2876" s="2">
        <v>45.93</v>
      </c>
      <c r="BM2876" s="2">
        <v>6.43</v>
      </c>
      <c r="BN2876" s="2">
        <v>52.36</v>
      </c>
      <c r="BO2876" s="2">
        <v>52.36</v>
      </c>
      <c r="BQ2876" s="2" t="s">
        <v>103</v>
      </c>
      <c r="BR2876" s="2" t="s">
        <v>102</v>
      </c>
      <c r="BS2876" s="3">
        <v>43090</v>
      </c>
      <c r="BT2876" s="4">
        <v>0.46875</v>
      </c>
      <c r="BU2876" s="2" t="s">
        <v>1724</v>
      </c>
      <c r="BV2876" s="2" t="s">
        <v>89</v>
      </c>
      <c r="BW2876" s="2" t="s">
        <v>156</v>
      </c>
      <c r="BX2876" s="2" t="s">
        <v>157</v>
      </c>
      <c r="BY2876" s="2">
        <v>1200</v>
      </c>
      <c r="CC2876" s="2" t="s">
        <v>75</v>
      </c>
      <c r="CD2876" s="2">
        <v>1600</v>
      </c>
      <c r="CE2876" s="2" t="s">
        <v>120</v>
      </c>
      <c r="CF2876" s="3">
        <v>43091</v>
      </c>
      <c r="CI2876" s="2">
        <v>1</v>
      </c>
      <c r="CJ2876" s="2">
        <v>1</v>
      </c>
      <c r="CK2876" s="2">
        <v>21</v>
      </c>
      <c r="CL2876" s="2" t="s">
        <v>89</v>
      </c>
    </row>
    <row r="2877" spans="1:90">
      <c r="A2877" s="2" t="s">
        <v>71</v>
      </c>
      <c r="B2877" s="2" t="s">
        <v>72</v>
      </c>
      <c r="C2877" s="2" t="s">
        <v>73</v>
      </c>
      <c r="E2877" s="2" t="str">
        <f>"RFES1162596007"</f>
        <v>RFES1162596007</v>
      </c>
      <c r="F2877" s="3">
        <v>43089</v>
      </c>
      <c r="G2877" s="2">
        <v>201806</v>
      </c>
      <c r="H2877" s="2" t="s">
        <v>136</v>
      </c>
      <c r="I2877" s="2" t="s">
        <v>137</v>
      </c>
      <c r="J2877" s="2" t="s">
        <v>2105</v>
      </c>
      <c r="K2877" s="2" t="s">
        <v>77</v>
      </c>
      <c r="L2877" s="2" t="s">
        <v>74</v>
      </c>
      <c r="M2877" s="2" t="s">
        <v>75</v>
      </c>
      <c r="N2877" s="2" t="s">
        <v>97</v>
      </c>
      <c r="O2877" s="2" t="s">
        <v>101</v>
      </c>
      <c r="P2877" s="2" t="str">
        <f>"2170604853                    "</f>
        <v xml:space="preserve">2170604853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6.43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1</v>
      </c>
      <c r="BJ2877" s="2">
        <v>0.2</v>
      </c>
      <c r="BK2877" s="2">
        <v>1</v>
      </c>
      <c r="BL2877" s="2">
        <v>45.93</v>
      </c>
      <c r="BM2877" s="2">
        <v>6.43</v>
      </c>
      <c r="BN2877" s="2">
        <v>52.36</v>
      </c>
      <c r="BO2877" s="2">
        <v>52.36</v>
      </c>
      <c r="BQ2877" s="2" t="s">
        <v>103</v>
      </c>
      <c r="BR2877" s="2" t="s">
        <v>102</v>
      </c>
      <c r="BS2877" s="3">
        <v>43090</v>
      </c>
      <c r="BT2877" s="4">
        <v>0.46875</v>
      </c>
      <c r="BU2877" s="2" t="s">
        <v>1724</v>
      </c>
      <c r="BV2877" s="2" t="s">
        <v>89</v>
      </c>
      <c r="BW2877" s="2" t="s">
        <v>156</v>
      </c>
      <c r="BX2877" s="2" t="s">
        <v>157</v>
      </c>
      <c r="BY2877" s="2">
        <v>1200</v>
      </c>
      <c r="CC2877" s="2" t="s">
        <v>75</v>
      </c>
      <c r="CD2877" s="2">
        <v>1600</v>
      </c>
      <c r="CE2877" s="2" t="s">
        <v>1906</v>
      </c>
      <c r="CF2877" s="3">
        <v>43091</v>
      </c>
      <c r="CI2877" s="2">
        <v>1</v>
      </c>
      <c r="CJ2877" s="2">
        <v>1</v>
      </c>
      <c r="CK2877" s="2">
        <v>21</v>
      </c>
      <c r="CL2877" s="2" t="s">
        <v>89</v>
      </c>
    </row>
    <row r="2878" spans="1:90">
      <c r="A2878" s="2" t="s">
        <v>71</v>
      </c>
      <c r="B2878" s="2" t="s">
        <v>72</v>
      </c>
      <c r="C2878" s="2" t="s">
        <v>73</v>
      </c>
      <c r="E2878" s="2" t="str">
        <f>"RFES1162596342"</f>
        <v>RFES1162596342</v>
      </c>
      <c r="F2878" s="3">
        <v>43089</v>
      </c>
      <c r="G2878" s="2">
        <v>201806</v>
      </c>
      <c r="H2878" s="2" t="s">
        <v>136</v>
      </c>
      <c r="I2878" s="2" t="s">
        <v>137</v>
      </c>
      <c r="J2878" s="2" t="s">
        <v>2105</v>
      </c>
      <c r="K2878" s="2" t="s">
        <v>77</v>
      </c>
      <c r="L2878" s="2" t="s">
        <v>74</v>
      </c>
      <c r="M2878" s="2" t="s">
        <v>75</v>
      </c>
      <c r="N2878" s="2" t="s">
        <v>97</v>
      </c>
      <c r="O2878" s="2" t="s">
        <v>101</v>
      </c>
      <c r="P2878" s="2" t="str">
        <f>"2170603981                    "</f>
        <v xml:space="preserve">2170603981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6.43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45.93</v>
      </c>
      <c r="BM2878" s="2">
        <v>6.43</v>
      </c>
      <c r="BN2878" s="2">
        <v>52.36</v>
      </c>
      <c r="BO2878" s="2">
        <v>52.36</v>
      </c>
      <c r="BQ2878" s="2" t="s">
        <v>103</v>
      </c>
      <c r="BR2878" s="2" t="s">
        <v>102</v>
      </c>
      <c r="BS2878" s="3">
        <v>43090</v>
      </c>
      <c r="BT2878" s="4">
        <v>0.46875</v>
      </c>
      <c r="BU2878" s="2" t="s">
        <v>1724</v>
      </c>
      <c r="BV2878" s="2" t="s">
        <v>89</v>
      </c>
      <c r="BW2878" s="2" t="s">
        <v>156</v>
      </c>
      <c r="BX2878" s="2" t="s">
        <v>157</v>
      </c>
      <c r="BY2878" s="2">
        <v>1200</v>
      </c>
      <c r="CC2878" s="2" t="s">
        <v>75</v>
      </c>
      <c r="CD2878" s="2">
        <v>1600</v>
      </c>
      <c r="CE2878" s="2" t="s">
        <v>1906</v>
      </c>
      <c r="CF2878" s="3">
        <v>43091</v>
      </c>
      <c r="CI2878" s="2">
        <v>1</v>
      </c>
      <c r="CJ2878" s="2">
        <v>1</v>
      </c>
      <c r="CK2878" s="2">
        <v>21</v>
      </c>
      <c r="CL2878" s="2" t="s">
        <v>89</v>
      </c>
    </row>
    <row r="2879" spans="1:90">
      <c r="A2879" s="2" t="s">
        <v>71</v>
      </c>
      <c r="B2879" s="2" t="s">
        <v>72</v>
      </c>
      <c r="C2879" s="2" t="s">
        <v>73</v>
      </c>
      <c r="E2879" s="2" t="str">
        <f>"FES1162596972"</f>
        <v>FES1162596972</v>
      </c>
      <c r="F2879" s="3">
        <v>43089</v>
      </c>
      <c r="G2879" s="2">
        <v>201806</v>
      </c>
      <c r="H2879" s="2" t="s">
        <v>74</v>
      </c>
      <c r="I2879" s="2" t="s">
        <v>75</v>
      </c>
      <c r="J2879" s="2" t="s">
        <v>97</v>
      </c>
      <c r="K2879" s="2" t="s">
        <v>77</v>
      </c>
      <c r="L2879" s="2" t="s">
        <v>74</v>
      </c>
      <c r="M2879" s="2" t="s">
        <v>75</v>
      </c>
      <c r="N2879" s="2" t="s">
        <v>2857</v>
      </c>
      <c r="O2879" s="2" t="s">
        <v>101</v>
      </c>
      <c r="P2879" s="2" t="str">
        <f>"2170604661                    "</f>
        <v xml:space="preserve">2170604661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5.03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0.4</v>
      </c>
      <c r="BJ2879" s="2">
        <v>1.3</v>
      </c>
      <c r="BK2879" s="2">
        <v>2</v>
      </c>
      <c r="BL2879" s="2">
        <v>35.89</v>
      </c>
      <c r="BM2879" s="2">
        <v>5.0199999999999996</v>
      </c>
      <c r="BN2879" s="2">
        <v>40.909999999999997</v>
      </c>
      <c r="BO2879" s="2">
        <v>40.909999999999997</v>
      </c>
      <c r="BR2879" s="2" t="s">
        <v>103</v>
      </c>
      <c r="BS2879" s="3">
        <v>43090</v>
      </c>
      <c r="BT2879" s="4">
        <v>0.41666666666666669</v>
      </c>
      <c r="BU2879" s="2" t="s">
        <v>205</v>
      </c>
      <c r="BV2879" s="2" t="s">
        <v>85</v>
      </c>
      <c r="BY2879" s="2">
        <v>6519.2</v>
      </c>
      <c r="CC2879" s="2" t="s">
        <v>75</v>
      </c>
      <c r="CD2879" s="2">
        <v>1682</v>
      </c>
      <c r="CE2879" s="2" t="s">
        <v>2858</v>
      </c>
      <c r="CF2879" s="3">
        <v>43091</v>
      </c>
      <c r="CI2879" s="2">
        <v>1</v>
      </c>
      <c r="CJ2879" s="2">
        <v>1</v>
      </c>
      <c r="CK2879" s="2">
        <v>22</v>
      </c>
      <c r="CL2879" s="2" t="s">
        <v>89</v>
      </c>
    </row>
    <row r="2880" spans="1:90">
      <c r="A2880" s="2" t="s">
        <v>71</v>
      </c>
      <c r="B2880" s="2" t="s">
        <v>72</v>
      </c>
      <c r="C2880" s="2" t="s">
        <v>73</v>
      </c>
      <c r="E2880" s="2" t="str">
        <f>"FES1162596669"</f>
        <v>FES1162596669</v>
      </c>
      <c r="F2880" s="3">
        <v>43089</v>
      </c>
      <c r="G2880" s="2">
        <v>201806</v>
      </c>
      <c r="H2880" s="2" t="s">
        <v>74</v>
      </c>
      <c r="I2880" s="2" t="s">
        <v>75</v>
      </c>
      <c r="J2880" s="2" t="s">
        <v>97</v>
      </c>
      <c r="K2880" s="2" t="s">
        <v>77</v>
      </c>
      <c r="L2880" s="2" t="s">
        <v>759</v>
      </c>
      <c r="M2880" s="2" t="s">
        <v>760</v>
      </c>
      <c r="N2880" s="2" t="s">
        <v>761</v>
      </c>
      <c r="O2880" s="2" t="s">
        <v>101</v>
      </c>
      <c r="P2880" s="2" t="str">
        <f>"2170608207                    "</f>
        <v xml:space="preserve">2170608207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6.43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1</v>
      </c>
      <c r="BJ2880" s="2">
        <v>0.5</v>
      </c>
      <c r="BK2880" s="2">
        <v>1</v>
      </c>
      <c r="BL2880" s="2">
        <v>45.93</v>
      </c>
      <c r="BM2880" s="2">
        <v>6.43</v>
      </c>
      <c r="BN2880" s="2">
        <v>52.36</v>
      </c>
      <c r="BO2880" s="2">
        <v>52.36</v>
      </c>
      <c r="BQ2880" s="2" t="s">
        <v>82</v>
      </c>
      <c r="BR2880" s="2" t="s">
        <v>103</v>
      </c>
      <c r="BS2880" s="3">
        <v>43090</v>
      </c>
      <c r="BT2880" s="4">
        <v>0.4375</v>
      </c>
      <c r="BU2880" s="2" t="s">
        <v>2859</v>
      </c>
      <c r="BV2880" s="2" t="s">
        <v>85</v>
      </c>
      <c r="BY2880" s="2">
        <v>2400</v>
      </c>
      <c r="CC2880" s="2" t="s">
        <v>760</v>
      </c>
      <c r="CD2880" s="2">
        <v>4026</v>
      </c>
      <c r="CE2880" s="2" t="s">
        <v>120</v>
      </c>
      <c r="CF2880" s="3">
        <v>43096</v>
      </c>
      <c r="CI2880" s="2">
        <v>1</v>
      </c>
      <c r="CJ2880" s="2">
        <v>1</v>
      </c>
      <c r="CK2880" s="2">
        <v>21</v>
      </c>
      <c r="CL2880" s="2" t="s">
        <v>89</v>
      </c>
    </row>
    <row r="2881" spans="1:90">
      <c r="A2881" s="2" t="s">
        <v>71</v>
      </c>
      <c r="B2881" s="2" t="s">
        <v>72</v>
      </c>
      <c r="C2881" s="2" t="s">
        <v>73</v>
      </c>
      <c r="E2881" s="2" t="str">
        <f>"FES1162597281"</f>
        <v>FES1162597281</v>
      </c>
      <c r="F2881" s="3">
        <v>43089</v>
      </c>
      <c r="G2881" s="2">
        <v>201806</v>
      </c>
      <c r="H2881" s="2" t="s">
        <v>74</v>
      </c>
      <c r="I2881" s="2" t="s">
        <v>75</v>
      </c>
      <c r="J2881" s="2" t="s">
        <v>97</v>
      </c>
      <c r="K2881" s="2" t="s">
        <v>77</v>
      </c>
      <c r="L2881" s="2" t="s">
        <v>1976</v>
      </c>
      <c r="M2881" s="2" t="s">
        <v>1977</v>
      </c>
      <c r="N2881" s="2" t="s">
        <v>2860</v>
      </c>
      <c r="O2881" s="2" t="s">
        <v>101</v>
      </c>
      <c r="P2881" s="2" t="str">
        <f>"2170606390                    "</f>
        <v xml:space="preserve">2170606390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12.47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89</v>
      </c>
      <c r="BM2881" s="2">
        <v>12.46</v>
      </c>
      <c r="BN2881" s="2">
        <v>101.46</v>
      </c>
      <c r="BO2881" s="2">
        <v>101.46</v>
      </c>
      <c r="BQ2881" s="2" t="s">
        <v>2861</v>
      </c>
      <c r="BR2881" s="2" t="s">
        <v>103</v>
      </c>
      <c r="BS2881" s="3">
        <v>43090</v>
      </c>
      <c r="BT2881" s="4">
        <v>0.45069444444444445</v>
      </c>
      <c r="BU2881" s="2" t="s">
        <v>2862</v>
      </c>
      <c r="BV2881" s="2" t="s">
        <v>85</v>
      </c>
      <c r="BY2881" s="2">
        <v>1200</v>
      </c>
      <c r="CA2881" s="2" t="s">
        <v>225</v>
      </c>
      <c r="CC2881" s="2" t="s">
        <v>1977</v>
      </c>
      <c r="CD2881" s="2">
        <v>4339</v>
      </c>
      <c r="CE2881" s="2" t="s">
        <v>2749</v>
      </c>
      <c r="CF2881" s="3">
        <v>43091</v>
      </c>
      <c r="CI2881" s="2">
        <v>1</v>
      </c>
      <c r="CJ2881" s="2">
        <v>1</v>
      </c>
      <c r="CK2881" s="2">
        <v>23</v>
      </c>
      <c r="CL2881" s="2" t="s">
        <v>89</v>
      </c>
    </row>
    <row r="2882" spans="1:90">
      <c r="A2882" s="2" t="s">
        <v>71</v>
      </c>
      <c r="B2882" s="2" t="s">
        <v>72</v>
      </c>
      <c r="C2882" s="2" t="s">
        <v>73</v>
      </c>
      <c r="E2882" s="2" t="str">
        <f>"FES1162597277"</f>
        <v>FES1162597277</v>
      </c>
      <c r="F2882" s="3">
        <v>43089</v>
      </c>
      <c r="G2882" s="2">
        <v>201806</v>
      </c>
      <c r="H2882" s="2" t="s">
        <v>74</v>
      </c>
      <c r="I2882" s="2" t="s">
        <v>75</v>
      </c>
      <c r="J2882" s="2" t="s">
        <v>97</v>
      </c>
      <c r="K2882" s="2" t="s">
        <v>77</v>
      </c>
      <c r="L2882" s="2" t="s">
        <v>168</v>
      </c>
      <c r="M2882" s="2" t="s">
        <v>169</v>
      </c>
      <c r="N2882" s="2" t="s">
        <v>932</v>
      </c>
      <c r="O2882" s="2" t="s">
        <v>101</v>
      </c>
      <c r="P2882" s="2" t="str">
        <f>"2170606318                    "</f>
        <v xml:space="preserve">2170606318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6.43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0.4</v>
      </c>
      <c r="BJ2882" s="2">
        <v>0.9</v>
      </c>
      <c r="BK2882" s="2">
        <v>1</v>
      </c>
      <c r="BL2882" s="2">
        <v>45.93</v>
      </c>
      <c r="BM2882" s="2">
        <v>6.43</v>
      </c>
      <c r="BN2882" s="2">
        <v>52.36</v>
      </c>
      <c r="BO2882" s="2">
        <v>52.36</v>
      </c>
      <c r="BQ2882" s="2" t="s">
        <v>102</v>
      </c>
      <c r="BR2882" s="2" t="s">
        <v>103</v>
      </c>
      <c r="BS2882" s="2" t="s">
        <v>185</v>
      </c>
      <c r="BY2882" s="2">
        <v>4573.8</v>
      </c>
      <c r="CC2882" s="2" t="s">
        <v>169</v>
      </c>
      <c r="CD2882" s="2">
        <v>3610</v>
      </c>
      <c r="CE2882" s="2" t="s">
        <v>2863</v>
      </c>
      <c r="CI2882" s="2">
        <v>1</v>
      </c>
      <c r="CJ2882" s="2" t="s">
        <v>185</v>
      </c>
      <c r="CK2882" s="2">
        <v>21</v>
      </c>
      <c r="CL2882" s="2" t="s">
        <v>89</v>
      </c>
    </row>
    <row r="2883" spans="1:90">
      <c r="A2883" s="2" t="s">
        <v>71</v>
      </c>
      <c r="B2883" s="2" t="s">
        <v>72</v>
      </c>
      <c r="C2883" s="2" t="s">
        <v>73</v>
      </c>
      <c r="E2883" s="2" t="str">
        <f>"FES1162597136"</f>
        <v>FES1162597136</v>
      </c>
      <c r="F2883" s="3">
        <v>43089</v>
      </c>
      <c r="G2883" s="2">
        <v>201806</v>
      </c>
      <c r="H2883" s="2" t="s">
        <v>74</v>
      </c>
      <c r="I2883" s="2" t="s">
        <v>75</v>
      </c>
      <c r="J2883" s="2" t="s">
        <v>97</v>
      </c>
      <c r="K2883" s="2" t="s">
        <v>77</v>
      </c>
      <c r="L2883" s="2" t="s">
        <v>168</v>
      </c>
      <c r="M2883" s="2" t="s">
        <v>169</v>
      </c>
      <c r="N2883" s="2" t="s">
        <v>2192</v>
      </c>
      <c r="O2883" s="2" t="s">
        <v>101</v>
      </c>
      <c r="P2883" s="2" t="str">
        <f>"2170605386                    "</f>
        <v xml:space="preserve">2170605386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6.43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1.4</v>
      </c>
      <c r="BJ2883" s="2">
        <v>1.7</v>
      </c>
      <c r="BK2883" s="2">
        <v>2</v>
      </c>
      <c r="BL2883" s="2">
        <v>45.93</v>
      </c>
      <c r="BM2883" s="2">
        <v>6.43</v>
      </c>
      <c r="BN2883" s="2">
        <v>52.36</v>
      </c>
      <c r="BO2883" s="2">
        <v>52.36</v>
      </c>
      <c r="BQ2883" s="2" t="s">
        <v>102</v>
      </c>
      <c r="BR2883" s="2" t="s">
        <v>103</v>
      </c>
      <c r="BS2883" s="3">
        <v>43090</v>
      </c>
      <c r="BT2883" s="4">
        <v>0.375</v>
      </c>
      <c r="BU2883" s="2" t="s">
        <v>2864</v>
      </c>
      <c r="BV2883" s="2" t="s">
        <v>85</v>
      </c>
      <c r="BY2883" s="2">
        <v>8597.4</v>
      </c>
      <c r="CA2883" s="2" t="s">
        <v>172</v>
      </c>
      <c r="CC2883" s="2" t="s">
        <v>169</v>
      </c>
      <c r="CD2883" s="2">
        <v>3610</v>
      </c>
      <c r="CE2883" s="2" t="s">
        <v>2858</v>
      </c>
      <c r="CF2883" s="3">
        <v>43091</v>
      </c>
      <c r="CI2883" s="2">
        <v>1</v>
      </c>
      <c r="CJ2883" s="2">
        <v>1</v>
      </c>
      <c r="CK2883" s="2">
        <v>21</v>
      </c>
      <c r="CL2883" s="2" t="s">
        <v>89</v>
      </c>
    </row>
    <row r="2884" spans="1:90">
      <c r="A2884" s="2" t="s">
        <v>71</v>
      </c>
      <c r="B2884" s="2" t="s">
        <v>72</v>
      </c>
      <c r="C2884" s="2" t="s">
        <v>73</v>
      </c>
      <c r="E2884" s="2" t="str">
        <f>"FES1162597322"</f>
        <v>FES1162597322</v>
      </c>
      <c r="F2884" s="3">
        <v>43089</v>
      </c>
      <c r="G2884" s="2">
        <v>201806</v>
      </c>
      <c r="H2884" s="2" t="s">
        <v>74</v>
      </c>
      <c r="I2884" s="2" t="s">
        <v>75</v>
      </c>
      <c r="J2884" s="2" t="s">
        <v>97</v>
      </c>
      <c r="K2884" s="2" t="s">
        <v>77</v>
      </c>
      <c r="L2884" s="2" t="s">
        <v>131</v>
      </c>
      <c r="M2884" s="2" t="s">
        <v>132</v>
      </c>
      <c r="N2884" s="2" t="s">
        <v>228</v>
      </c>
      <c r="O2884" s="2" t="s">
        <v>101</v>
      </c>
      <c r="P2884" s="2" t="str">
        <f>"2170608637                    "</f>
        <v xml:space="preserve">2170608637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14.47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4.2</v>
      </c>
      <c r="BJ2884" s="2">
        <v>1.7</v>
      </c>
      <c r="BK2884" s="2">
        <v>4.5</v>
      </c>
      <c r="BL2884" s="2">
        <v>103.32</v>
      </c>
      <c r="BM2884" s="2">
        <v>14.46</v>
      </c>
      <c r="BN2884" s="2">
        <v>117.78</v>
      </c>
      <c r="BO2884" s="2">
        <v>117.78</v>
      </c>
      <c r="BQ2884" s="2" t="s">
        <v>229</v>
      </c>
      <c r="BR2884" s="2" t="s">
        <v>103</v>
      </c>
      <c r="BS2884" s="3">
        <v>43090</v>
      </c>
      <c r="BT2884" s="4">
        <v>0.3888888888888889</v>
      </c>
      <c r="BU2884" s="2" t="s">
        <v>265</v>
      </c>
      <c r="BV2884" s="2" t="s">
        <v>85</v>
      </c>
      <c r="BY2884" s="2">
        <v>8736.5</v>
      </c>
      <c r="CC2884" s="2" t="s">
        <v>132</v>
      </c>
      <c r="CD2884" s="2">
        <v>4300</v>
      </c>
      <c r="CE2884" s="2" t="s">
        <v>2858</v>
      </c>
      <c r="CF2884" s="3">
        <v>43091</v>
      </c>
      <c r="CI2884" s="2">
        <v>1</v>
      </c>
      <c r="CJ2884" s="2">
        <v>1</v>
      </c>
      <c r="CK2884" s="2">
        <v>21</v>
      </c>
      <c r="CL2884" s="2" t="s">
        <v>89</v>
      </c>
    </row>
    <row r="2885" spans="1:90">
      <c r="A2885" s="2" t="s">
        <v>71</v>
      </c>
      <c r="B2885" s="2" t="s">
        <v>72</v>
      </c>
      <c r="C2885" s="2" t="s">
        <v>73</v>
      </c>
      <c r="E2885" s="2" t="str">
        <f>"FES1162597229"</f>
        <v>FES1162597229</v>
      </c>
      <c r="F2885" s="3">
        <v>43089</v>
      </c>
      <c r="G2885" s="2">
        <v>201806</v>
      </c>
      <c r="H2885" s="2" t="s">
        <v>74</v>
      </c>
      <c r="I2885" s="2" t="s">
        <v>75</v>
      </c>
      <c r="J2885" s="2" t="s">
        <v>97</v>
      </c>
      <c r="K2885" s="2" t="s">
        <v>77</v>
      </c>
      <c r="L2885" s="2" t="s">
        <v>173</v>
      </c>
      <c r="M2885" s="2" t="s">
        <v>174</v>
      </c>
      <c r="N2885" s="2" t="s">
        <v>381</v>
      </c>
      <c r="O2885" s="2" t="s">
        <v>101</v>
      </c>
      <c r="P2885" s="2" t="str">
        <f>"2170608599                    "</f>
        <v xml:space="preserve">2170608599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54.67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8.9</v>
      </c>
      <c r="BJ2885" s="2">
        <v>16.600000000000001</v>
      </c>
      <c r="BK2885" s="2">
        <v>17</v>
      </c>
      <c r="BL2885" s="2">
        <v>390.27</v>
      </c>
      <c r="BM2885" s="2">
        <v>54.64</v>
      </c>
      <c r="BN2885" s="2">
        <v>444.91</v>
      </c>
      <c r="BO2885" s="2">
        <v>444.91</v>
      </c>
      <c r="BQ2885" s="2" t="s">
        <v>382</v>
      </c>
      <c r="BR2885" s="2" t="s">
        <v>103</v>
      </c>
      <c r="BS2885" s="3">
        <v>43090</v>
      </c>
      <c r="BT2885" s="4">
        <v>0.53055555555555556</v>
      </c>
      <c r="BU2885" s="2" t="s">
        <v>2865</v>
      </c>
      <c r="BV2885" s="2" t="s">
        <v>89</v>
      </c>
      <c r="BW2885" s="2" t="s">
        <v>149</v>
      </c>
      <c r="BX2885" s="2" t="s">
        <v>246</v>
      </c>
      <c r="BY2885" s="2">
        <v>83079.08</v>
      </c>
      <c r="CA2885" s="2" t="s">
        <v>177</v>
      </c>
      <c r="CC2885" s="2" t="s">
        <v>174</v>
      </c>
      <c r="CD2885" s="2">
        <v>7405</v>
      </c>
      <c r="CE2885" s="2" t="s">
        <v>2863</v>
      </c>
      <c r="CF2885" s="3">
        <v>43091</v>
      </c>
      <c r="CI2885" s="2">
        <v>1</v>
      </c>
      <c r="CJ2885" s="2">
        <v>1</v>
      </c>
      <c r="CK2885" s="2">
        <v>21</v>
      </c>
      <c r="CL2885" s="2" t="s">
        <v>89</v>
      </c>
    </row>
    <row r="2886" spans="1:90">
      <c r="A2886" s="2" t="s">
        <v>71</v>
      </c>
      <c r="B2886" s="2" t="s">
        <v>72</v>
      </c>
      <c r="C2886" s="2" t="s">
        <v>73</v>
      </c>
      <c r="E2886" s="2" t="str">
        <f>"FES1162597056"</f>
        <v>FES1162597056</v>
      </c>
      <c r="F2886" s="3">
        <v>43089</v>
      </c>
      <c r="G2886" s="2">
        <v>201806</v>
      </c>
      <c r="H2886" s="2" t="s">
        <v>74</v>
      </c>
      <c r="I2886" s="2" t="s">
        <v>75</v>
      </c>
      <c r="J2886" s="2" t="s">
        <v>97</v>
      </c>
      <c r="K2886" s="2" t="s">
        <v>77</v>
      </c>
      <c r="L2886" s="2" t="s">
        <v>462</v>
      </c>
      <c r="M2886" s="2" t="s">
        <v>463</v>
      </c>
      <c r="N2886" s="2" t="s">
        <v>464</v>
      </c>
      <c r="O2886" s="2" t="s">
        <v>101</v>
      </c>
      <c r="P2886" s="2" t="str">
        <f>"2170606981                    "</f>
        <v xml:space="preserve">2170606981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6.43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1</v>
      </c>
      <c r="BJ2886" s="2">
        <v>0.2</v>
      </c>
      <c r="BK2886" s="2">
        <v>1</v>
      </c>
      <c r="BL2886" s="2">
        <v>45.93</v>
      </c>
      <c r="BM2886" s="2">
        <v>6.43</v>
      </c>
      <c r="BN2886" s="2">
        <v>52.36</v>
      </c>
      <c r="BO2886" s="2">
        <v>52.36</v>
      </c>
      <c r="BQ2886" s="2" t="s">
        <v>465</v>
      </c>
      <c r="BR2886" s="2" t="s">
        <v>103</v>
      </c>
      <c r="BS2886" s="2" t="s">
        <v>185</v>
      </c>
      <c r="BY2886" s="2">
        <v>1200</v>
      </c>
      <c r="CC2886" s="2" t="s">
        <v>463</v>
      </c>
      <c r="CD2886" s="2">
        <v>7130</v>
      </c>
      <c r="CE2886" s="2" t="s">
        <v>2749</v>
      </c>
      <c r="CI2886" s="2">
        <v>1</v>
      </c>
      <c r="CJ2886" s="2" t="s">
        <v>185</v>
      </c>
      <c r="CK2886" s="2">
        <v>21</v>
      </c>
      <c r="CL2886" s="2" t="s">
        <v>89</v>
      </c>
    </row>
    <row r="2887" spans="1:90">
      <c r="A2887" s="2" t="s">
        <v>71</v>
      </c>
      <c r="B2887" s="2" t="s">
        <v>72</v>
      </c>
      <c r="C2887" s="2" t="s">
        <v>73</v>
      </c>
      <c r="E2887" s="2" t="str">
        <f>"FES1162597093"</f>
        <v>FES1162597093</v>
      </c>
      <c r="F2887" s="3">
        <v>43089</v>
      </c>
      <c r="G2887" s="2">
        <v>201806</v>
      </c>
      <c r="H2887" s="2" t="s">
        <v>74</v>
      </c>
      <c r="I2887" s="2" t="s">
        <v>75</v>
      </c>
      <c r="J2887" s="2" t="s">
        <v>97</v>
      </c>
      <c r="K2887" s="2" t="s">
        <v>77</v>
      </c>
      <c r="L2887" s="2" t="s">
        <v>521</v>
      </c>
      <c r="M2887" s="2" t="s">
        <v>522</v>
      </c>
      <c r="N2887" s="2" t="s">
        <v>523</v>
      </c>
      <c r="O2887" s="2" t="s">
        <v>101</v>
      </c>
      <c r="P2887" s="2" t="str">
        <f>"2170608231                    "</f>
        <v xml:space="preserve">2170608231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6.43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</v>
      </c>
      <c r="BJ2887" s="2">
        <v>0.2</v>
      </c>
      <c r="BK2887" s="2">
        <v>1</v>
      </c>
      <c r="BL2887" s="2">
        <v>45.93</v>
      </c>
      <c r="BM2887" s="2">
        <v>6.43</v>
      </c>
      <c r="BN2887" s="2">
        <v>52.36</v>
      </c>
      <c r="BO2887" s="2">
        <v>52.36</v>
      </c>
      <c r="BQ2887" s="2" t="s">
        <v>102</v>
      </c>
      <c r="BR2887" s="2" t="s">
        <v>103</v>
      </c>
      <c r="BS2887" s="3">
        <v>43090</v>
      </c>
      <c r="BT2887" s="4">
        <v>0.61249999999999993</v>
      </c>
      <c r="BU2887" s="2" t="s">
        <v>524</v>
      </c>
      <c r="BV2887" s="2" t="s">
        <v>89</v>
      </c>
      <c r="BY2887" s="2">
        <v>1200</v>
      </c>
      <c r="CA2887" s="2" t="s">
        <v>525</v>
      </c>
      <c r="CC2887" s="2" t="s">
        <v>522</v>
      </c>
      <c r="CD2887" s="2">
        <v>6536</v>
      </c>
      <c r="CE2887" s="2" t="s">
        <v>2749</v>
      </c>
      <c r="CF2887" s="3">
        <v>43096</v>
      </c>
      <c r="CI2887" s="2">
        <v>1</v>
      </c>
      <c r="CJ2887" s="2">
        <v>1</v>
      </c>
      <c r="CK2887" s="2">
        <v>21</v>
      </c>
      <c r="CL2887" s="2" t="s">
        <v>89</v>
      </c>
    </row>
    <row r="2888" spans="1:90">
      <c r="A2888" s="2" t="s">
        <v>71</v>
      </c>
      <c r="B2888" s="2" t="s">
        <v>72</v>
      </c>
      <c r="C2888" s="2" t="s">
        <v>73</v>
      </c>
      <c r="E2888" s="2" t="str">
        <f>"FES1162597096"</f>
        <v>FES1162597096</v>
      </c>
      <c r="F2888" s="3">
        <v>43089</v>
      </c>
      <c r="G2888" s="2">
        <v>201806</v>
      </c>
      <c r="H2888" s="2" t="s">
        <v>74</v>
      </c>
      <c r="I2888" s="2" t="s">
        <v>75</v>
      </c>
      <c r="J2888" s="2" t="s">
        <v>97</v>
      </c>
      <c r="K2888" s="2" t="s">
        <v>77</v>
      </c>
      <c r="L2888" s="2" t="s">
        <v>173</v>
      </c>
      <c r="M2888" s="2" t="s">
        <v>174</v>
      </c>
      <c r="N2888" s="2" t="s">
        <v>1980</v>
      </c>
      <c r="O2888" s="2" t="s">
        <v>101</v>
      </c>
      <c r="P2888" s="2" t="str">
        <f>"2170608349                    "</f>
        <v xml:space="preserve">2170608349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6.43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45.93</v>
      </c>
      <c r="BM2888" s="2">
        <v>6.43</v>
      </c>
      <c r="BN2888" s="2">
        <v>52.36</v>
      </c>
      <c r="BO2888" s="2">
        <v>52.36</v>
      </c>
      <c r="BQ2888" s="2" t="s">
        <v>128</v>
      </c>
      <c r="BR2888" s="2" t="s">
        <v>103</v>
      </c>
      <c r="BS2888" s="3">
        <v>43090</v>
      </c>
      <c r="BT2888" s="4">
        <v>0.3576388888888889</v>
      </c>
      <c r="BU2888" s="2" t="s">
        <v>2866</v>
      </c>
      <c r="BV2888" s="2" t="s">
        <v>85</v>
      </c>
      <c r="BY2888" s="2">
        <v>1200</v>
      </c>
      <c r="CA2888" s="2" t="s">
        <v>1389</v>
      </c>
      <c r="CC2888" s="2" t="s">
        <v>174</v>
      </c>
      <c r="CD2888" s="2">
        <v>7460</v>
      </c>
      <c r="CE2888" s="2" t="s">
        <v>2749</v>
      </c>
      <c r="CF2888" s="3">
        <v>43091</v>
      </c>
      <c r="CI2888" s="2">
        <v>1</v>
      </c>
      <c r="CJ2888" s="2">
        <v>1</v>
      </c>
      <c r="CK2888" s="2">
        <v>21</v>
      </c>
      <c r="CL2888" s="2" t="s">
        <v>89</v>
      </c>
    </row>
    <row r="2889" spans="1:90">
      <c r="A2889" s="2" t="s">
        <v>71</v>
      </c>
      <c r="B2889" s="2" t="s">
        <v>72</v>
      </c>
      <c r="C2889" s="2" t="s">
        <v>73</v>
      </c>
      <c r="E2889" s="2" t="str">
        <f>"FES1162597164"</f>
        <v>FES1162597164</v>
      </c>
      <c r="F2889" s="3">
        <v>43089</v>
      </c>
      <c r="G2889" s="2">
        <v>201806</v>
      </c>
      <c r="H2889" s="2" t="s">
        <v>74</v>
      </c>
      <c r="I2889" s="2" t="s">
        <v>75</v>
      </c>
      <c r="J2889" s="2" t="s">
        <v>97</v>
      </c>
      <c r="K2889" s="2" t="s">
        <v>77</v>
      </c>
      <c r="L2889" s="2" t="s">
        <v>173</v>
      </c>
      <c r="M2889" s="2" t="s">
        <v>174</v>
      </c>
      <c r="N2889" s="2" t="s">
        <v>1574</v>
      </c>
      <c r="O2889" s="2" t="s">
        <v>101</v>
      </c>
      <c r="P2889" s="2" t="str">
        <f>"2170608125                    "</f>
        <v xml:space="preserve">2170608125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6.43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45.93</v>
      </c>
      <c r="BM2889" s="2">
        <v>6.43</v>
      </c>
      <c r="BN2889" s="2">
        <v>52.36</v>
      </c>
      <c r="BO2889" s="2">
        <v>52.36</v>
      </c>
      <c r="BQ2889" s="2" t="s">
        <v>2509</v>
      </c>
      <c r="BR2889" s="2" t="s">
        <v>103</v>
      </c>
      <c r="BS2889" s="3">
        <v>43090</v>
      </c>
      <c r="BT2889" s="4">
        <v>0.35486111111111113</v>
      </c>
      <c r="BU2889" s="2" t="s">
        <v>2510</v>
      </c>
      <c r="BV2889" s="2" t="s">
        <v>85</v>
      </c>
      <c r="BY2889" s="2">
        <v>1200</v>
      </c>
      <c r="CA2889" s="2" t="s">
        <v>1389</v>
      </c>
      <c r="CC2889" s="2" t="s">
        <v>174</v>
      </c>
      <c r="CD2889" s="2">
        <v>7460</v>
      </c>
      <c r="CE2889" s="2" t="s">
        <v>2749</v>
      </c>
      <c r="CF2889" s="3">
        <v>43091</v>
      </c>
      <c r="CI2889" s="2">
        <v>1</v>
      </c>
      <c r="CJ2889" s="2">
        <v>1</v>
      </c>
      <c r="CK2889" s="2">
        <v>21</v>
      </c>
      <c r="CL2889" s="2" t="s">
        <v>89</v>
      </c>
    </row>
    <row r="2890" spans="1:90">
      <c r="A2890" s="2" t="s">
        <v>71</v>
      </c>
      <c r="B2890" s="2" t="s">
        <v>72</v>
      </c>
      <c r="C2890" s="2" t="s">
        <v>73</v>
      </c>
      <c r="E2890" s="2" t="str">
        <f>"FES1162597069"</f>
        <v>FES1162597069</v>
      </c>
      <c r="F2890" s="3">
        <v>43089</v>
      </c>
      <c r="G2890" s="2">
        <v>201806</v>
      </c>
      <c r="H2890" s="2" t="s">
        <v>74</v>
      </c>
      <c r="I2890" s="2" t="s">
        <v>75</v>
      </c>
      <c r="J2890" s="2" t="s">
        <v>97</v>
      </c>
      <c r="K2890" s="2" t="s">
        <v>77</v>
      </c>
      <c r="L2890" s="2" t="s">
        <v>168</v>
      </c>
      <c r="M2890" s="2" t="s">
        <v>169</v>
      </c>
      <c r="N2890" s="2" t="s">
        <v>1099</v>
      </c>
      <c r="O2890" s="2" t="s">
        <v>101</v>
      </c>
      <c r="P2890" s="2" t="str">
        <f>"2170608571                    "</f>
        <v xml:space="preserve">2170608571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6.43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45.93</v>
      </c>
      <c r="BM2890" s="2">
        <v>6.43</v>
      </c>
      <c r="BN2890" s="2">
        <v>52.36</v>
      </c>
      <c r="BO2890" s="2">
        <v>52.36</v>
      </c>
      <c r="BQ2890" s="2" t="s">
        <v>82</v>
      </c>
      <c r="BR2890" s="2" t="s">
        <v>103</v>
      </c>
      <c r="BS2890" s="3">
        <v>43090</v>
      </c>
      <c r="BT2890" s="4">
        <v>0.39583333333333331</v>
      </c>
      <c r="BU2890" s="2" t="s">
        <v>2867</v>
      </c>
      <c r="BV2890" s="2" t="s">
        <v>85</v>
      </c>
      <c r="BY2890" s="2">
        <v>1200</v>
      </c>
      <c r="CA2890" s="2" t="s">
        <v>172</v>
      </c>
      <c r="CC2890" s="2" t="s">
        <v>169</v>
      </c>
      <c r="CD2890" s="2">
        <v>3610</v>
      </c>
      <c r="CE2890" s="2" t="s">
        <v>2749</v>
      </c>
      <c r="CF2890" s="3">
        <v>43091</v>
      </c>
      <c r="CI2890" s="2">
        <v>1</v>
      </c>
      <c r="CJ2890" s="2">
        <v>1</v>
      </c>
      <c r="CK2890" s="2">
        <v>21</v>
      </c>
      <c r="CL2890" s="2" t="s">
        <v>89</v>
      </c>
    </row>
    <row r="2891" spans="1:90">
      <c r="A2891" s="2" t="s">
        <v>71</v>
      </c>
      <c r="B2891" s="2" t="s">
        <v>72</v>
      </c>
      <c r="C2891" s="2" t="s">
        <v>73</v>
      </c>
      <c r="E2891" s="2" t="str">
        <f>"FES1162597059"</f>
        <v>FES1162597059</v>
      </c>
      <c r="F2891" s="3">
        <v>43089</v>
      </c>
      <c r="G2891" s="2">
        <v>201806</v>
      </c>
      <c r="H2891" s="2" t="s">
        <v>74</v>
      </c>
      <c r="I2891" s="2" t="s">
        <v>75</v>
      </c>
      <c r="J2891" s="2" t="s">
        <v>97</v>
      </c>
      <c r="K2891" s="2" t="s">
        <v>77</v>
      </c>
      <c r="L2891" s="2" t="s">
        <v>490</v>
      </c>
      <c r="M2891" s="2" t="s">
        <v>491</v>
      </c>
      <c r="N2891" s="2" t="s">
        <v>2201</v>
      </c>
      <c r="O2891" s="2" t="s">
        <v>101</v>
      </c>
      <c r="P2891" s="2" t="str">
        <f>"2170608129                    "</f>
        <v xml:space="preserve">2170608129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6.43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45.93</v>
      </c>
      <c r="BM2891" s="2">
        <v>6.43</v>
      </c>
      <c r="BN2891" s="2">
        <v>52.36</v>
      </c>
      <c r="BO2891" s="2">
        <v>52.36</v>
      </c>
      <c r="BR2891" s="2" t="s">
        <v>103</v>
      </c>
      <c r="BS2891" s="3">
        <v>43090</v>
      </c>
      <c r="BT2891" s="4">
        <v>0.41666666666666669</v>
      </c>
      <c r="BU2891" s="2" t="s">
        <v>2752</v>
      </c>
      <c r="BV2891" s="2" t="s">
        <v>85</v>
      </c>
      <c r="BY2891" s="2">
        <v>1200</v>
      </c>
      <c r="CA2891" s="2" t="s">
        <v>494</v>
      </c>
      <c r="CC2891" s="2" t="s">
        <v>491</v>
      </c>
      <c r="CD2891" s="2">
        <v>3699</v>
      </c>
      <c r="CE2891" s="2" t="s">
        <v>2749</v>
      </c>
      <c r="CF2891" s="3">
        <v>43091</v>
      </c>
      <c r="CI2891" s="2">
        <v>1</v>
      </c>
      <c r="CJ2891" s="2">
        <v>1</v>
      </c>
      <c r="CK2891" s="2">
        <v>21</v>
      </c>
      <c r="CL2891" s="2" t="s">
        <v>89</v>
      </c>
    </row>
    <row r="2892" spans="1:90">
      <c r="A2892" s="2" t="s">
        <v>71</v>
      </c>
      <c r="B2892" s="2" t="s">
        <v>72</v>
      </c>
      <c r="C2892" s="2" t="s">
        <v>73</v>
      </c>
      <c r="E2892" s="2" t="str">
        <f>"FES1162597078"</f>
        <v>FES1162597078</v>
      </c>
      <c r="F2892" s="3">
        <v>43089</v>
      </c>
      <c r="G2892" s="2">
        <v>201806</v>
      </c>
      <c r="H2892" s="2" t="s">
        <v>74</v>
      </c>
      <c r="I2892" s="2" t="s">
        <v>75</v>
      </c>
      <c r="J2892" s="2" t="s">
        <v>97</v>
      </c>
      <c r="K2892" s="2" t="s">
        <v>77</v>
      </c>
      <c r="L2892" s="2" t="s">
        <v>125</v>
      </c>
      <c r="M2892" s="2" t="s">
        <v>126</v>
      </c>
      <c r="N2892" s="2" t="s">
        <v>775</v>
      </c>
      <c r="O2892" s="2" t="s">
        <v>101</v>
      </c>
      <c r="P2892" s="2" t="str">
        <f>"2170608160                    "</f>
        <v xml:space="preserve">2170608160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6.43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45.93</v>
      </c>
      <c r="BM2892" s="2">
        <v>6.43</v>
      </c>
      <c r="BN2892" s="2">
        <v>52.36</v>
      </c>
      <c r="BO2892" s="2">
        <v>52.36</v>
      </c>
      <c r="BQ2892" s="2" t="s">
        <v>776</v>
      </c>
      <c r="BR2892" s="2" t="s">
        <v>103</v>
      </c>
      <c r="BS2892" s="2" t="s">
        <v>185</v>
      </c>
      <c r="BY2892" s="2">
        <v>1200</v>
      </c>
      <c r="CC2892" s="2" t="s">
        <v>126</v>
      </c>
      <c r="CD2892" s="2">
        <v>4052</v>
      </c>
      <c r="CE2892" s="2" t="s">
        <v>2749</v>
      </c>
      <c r="CI2892" s="2">
        <v>1</v>
      </c>
      <c r="CJ2892" s="2" t="s">
        <v>185</v>
      </c>
      <c r="CK2892" s="2">
        <v>21</v>
      </c>
      <c r="CL2892" s="2" t="s">
        <v>89</v>
      </c>
    </row>
    <row r="2893" spans="1:90">
      <c r="A2893" s="2" t="s">
        <v>71</v>
      </c>
      <c r="B2893" s="2" t="s">
        <v>72</v>
      </c>
      <c r="C2893" s="2" t="s">
        <v>73</v>
      </c>
      <c r="E2893" s="2" t="str">
        <f>"FES1162597080"</f>
        <v>FES1162597080</v>
      </c>
      <c r="F2893" s="3">
        <v>43089</v>
      </c>
      <c r="G2893" s="2">
        <v>201806</v>
      </c>
      <c r="H2893" s="2" t="s">
        <v>74</v>
      </c>
      <c r="I2893" s="2" t="s">
        <v>75</v>
      </c>
      <c r="J2893" s="2" t="s">
        <v>97</v>
      </c>
      <c r="K2893" s="2" t="s">
        <v>77</v>
      </c>
      <c r="L2893" s="2" t="s">
        <v>125</v>
      </c>
      <c r="M2893" s="2" t="s">
        <v>126</v>
      </c>
      <c r="N2893" s="2" t="s">
        <v>2212</v>
      </c>
      <c r="O2893" s="2" t="s">
        <v>101</v>
      </c>
      <c r="P2893" s="2" t="str">
        <f>"2170608396                    "</f>
        <v xml:space="preserve">2170608396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6.43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1</v>
      </c>
      <c r="BJ2893" s="2">
        <v>0.5</v>
      </c>
      <c r="BK2893" s="2">
        <v>1</v>
      </c>
      <c r="BL2893" s="2">
        <v>45.93</v>
      </c>
      <c r="BM2893" s="2">
        <v>6.43</v>
      </c>
      <c r="BN2893" s="2">
        <v>52.36</v>
      </c>
      <c r="BO2893" s="2">
        <v>52.36</v>
      </c>
      <c r="BQ2893" s="2" t="s">
        <v>142</v>
      </c>
      <c r="BR2893" s="2" t="s">
        <v>103</v>
      </c>
      <c r="BS2893" s="3">
        <v>43090</v>
      </c>
      <c r="BT2893" s="4">
        <v>0.3923611111111111</v>
      </c>
      <c r="BU2893" s="2" t="s">
        <v>2868</v>
      </c>
      <c r="BV2893" s="2" t="s">
        <v>85</v>
      </c>
      <c r="BY2893" s="2">
        <v>2400</v>
      </c>
      <c r="CC2893" s="2" t="s">
        <v>126</v>
      </c>
      <c r="CD2893" s="2">
        <v>4052</v>
      </c>
      <c r="CE2893" s="2" t="s">
        <v>2749</v>
      </c>
      <c r="CF2893" s="3">
        <v>43091</v>
      </c>
      <c r="CI2893" s="2">
        <v>1</v>
      </c>
      <c r="CJ2893" s="2">
        <v>1</v>
      </c>
      <c r="CK2893" s="2">
        <v>21</v>
      </c>
      <c r="CL2893" s="2" t="s">
        <v>89</v>
      </c>
    </row>
    <row r="2894" spans="1:90">
      <c r="A2894" s="2" t="s">
        <v>71</v>
      </c>
      <c r="B2894" s="2" t="s">
        <v>72</v>
      </c>
      <c r="C2894" s="2" t="s">
        <v>73</v>
      </c>
      <c r="E2894" s="2" t="str">
        <f>"FES1162596718"</f>
        <v>FES1162596718</v>
      </c>
      <c r="F2894" s="3">
        <v>43089</v>
      </c>
      <c r="G2894" s="2">
        <v>201806</v>
      </c>
      <c r="H2894" s="2" t="s">
        <v>74</v>
      </c>
      <c r="I2894" s="2" t="s">
        <v>75</v>
      </c>
      <c r="J2894" s="2" t="s">
        <v>97</v>
      </c>
      <c r="K2894" s="2" t="s">
        <v>77</v>
      </c>
      <c r="L2894" s="2" t="s">
        <v>98</v>
      </c>
      <c r="M2894" s="2" t="s">
        <v>99</v>
      </c>
      <c r="N2894" s="2" t="s">
        <v>607</v>
      </c>
      <c r="O2894" s="2" t="s">
        <v>101</v>
      </c>
      <c r="P2894" s="2" t="str">
        <f>"2170606636                    "</f>
        <v xml:space="preserve">2170606636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6.43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</v>
      </c>
      <c r="BJ2894" s="2">
        <v>0.2</v>
      </c>
      <c r="BK2894" s="2">
        <v>1</v>
      </c>
      <c r="BL2894" s="2">
        <v>45.93</v>
      </c>
      <c r="BM2894" s="2">
        <v>6.43</v>
      </c>
      <c r="BN2894" s="2">
        <v>52.36</v>
      </c>
      <c r="BO2894" s="2">
        <v>52.36</v>
      </c>
      <c r="BQ2894" s="2" t="s">
        <v>142</v>
      </c>
      <c r="BR2894" s="2" t="s">
        <v>103</v>
      </c>
      <c r="BS2894" s="3">
        <v>43090</v>
      </c>
      <c r="BT2894" s="4">
        <v>0.40902777777777777</v>
      </c>
      <c r="BU2894" s="2" t="s">
        <v>2197</v>
      </c>
      <c r="BV2894" s="2" t="s">
        <v>85</v>
      </c>
      <c r="BY2894" s="2">
        <v>1200</v>
      </c>
      <c r="CA2894" s="2" t="s">
        <v>497</v>
      </c>
      <c r="CC2894" s="2" t="s">
        <v>99</v>
      </c>
      <c r="CD2894" s="2">
        <v>3201</v>
      </c>
      <c r="CE2894" s="2" t="s">
        <v>2749</v>
      </c>
      <c r="CF2894" s="3">
        <v>43091</v>
      </c>
      <c r="CI2894" s="2">
        <v>1</v>
      </c>
      <c r="CJ2894" s="2">
        <v>1</v>
      </c>
      <c r="CK2894" s="2">
        <v>21</v>
      </c>
      <c r="CL2894" s="2" t="s">
        <v>89</v>
      </c>
    </row>
    <row r="2895" spans="1:90">
      <c r="A2895" s="2" t="s">
        <v>71</v>
      </c>
      <c r="B2895" s="2" t="s">
        <v>72</v>
      </c>
      <c r="C2895" s="2" t="s">
        <v>73</v>
      </c>
      <c r="E2895" s="2" t="str">
        <f>"FES1162596873"</f>
        <v>FES1162596873</v>
      </c>
      <c r="F2895" s="3">
        <v>43089</v>
      </c>
      <c r="G2895" s="2">
        <v>201806</v>
      </c>
      <c r="H2895" s="2" t="s">
        <v>74</v>
      </c>
      <c r="I2895" s="2" t="s">
        <v>75</v>
      </c>
      <c r="J2895" s="2" t="s">
        <v>97</v>
      </c>
      <c r="K2895" s="2" t="s">
        <v>77</v>
      </c>
      <c r="L2895" s="2" t="s">
        <v>98</v>
      </c>
      <c r="M2895" s="2" t="s">
        <v>99</v>
      </c>
      <c r="N2895" s="2" t="s">
        <v>795</v>
      </c>
      <c r="O2895" s="2" t="s">
        <v>101</v>
      </c>
      <c r="P2895" s="2" t="str">
        <f>"2170605796                    "</f>
        <v xml:space="preserve">2170605796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6.43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</v>
      </c>
      <c r="BJ2895" s="2">
        <v>0.2</v>
      </c>
      <c r="BK2895" s="2">
        <v>1</v>
      </c>
      <c r="BL2895" s="2">
        <v>45.93</v>
      </c>
      <c r="BM2895" s="2">
        <v>6.43</v>
      </c>
      <c r="BN2895" s="2">
        <v>52.36</v>
      </c>
      <c r="BO2895" s="2">
        <v>52.36</v>
      </c>
      <c r="BQ2895" s="2" t="s">
        <v>102</v>
      </c>
      <c r="BR2895" s="2" t="s">
        <v>103</v>
      </c>
      <c r="BS2895" s="2" t="s">
        <v>185</v>
      </c>
      <c r="BY2895" s="2">
        <v>1200</v>
      </c>
      <c r="CC2895" s="2" t="s">
        <v>99</v>
      </c>
      <c r="CD2895" s="2">
        <v>3201</v>
      </c>
      <c r="CE2895" s="2" t="s">
        <v>2749</v>
      </c>
      <c r="CI2895" s="2">
        <v>1</v>
      </c>
      <c r="CJ2895" s="2" t="s">
        <v>185</v>
      </c>
      <c r="CK2895" s="2">
        <v>21</v>
      </c>
      <c r="CL2895" s="2" t="s">
        <v>89</v>
      </c>
    </row>
    <row r="2896" spans="1:90">
      <c r="A2896" s="2" t="s">
        <v>71</v>
      </c>
      <c r="B2896" s="2" t="s">
        <v>72</v>
      </c>
      <c r="C2896" s="2" t="s">
        <v>73</v>
      </c>
      <c r="E2896" s="2" t="str">
        <f>"FES1162596999"</f>
        <v>FES1162596999</v>
      </c>
      <c r="F2896" s="3">
        <v>43089</v>
      </c>
      <c r="G2896" s="2">
        <v>201806</v>
      </c>
      <c r="H2896" s="2" t="s">
        <v>74</v>
      </c>
      <c r="I2896" s="2" t="s">
        <v>75</v>
      </c>
      <c r="J2896" s="2" t="s">
        <v>97</v>
      </c>
      <c r="K2896" s="2" t="s">
        <v>77</v>
      </c>
      <c r="L2896" s="2" t="s">
        <v>136</v>
      </c>
      <c r="M2896" s="2" t="s">
        <v>137</v>
      </c>
      <c r="N2896" s="2" t="s">
        <v>540</v>
      </c>
      <c r="O2896" s="2" t="s">
        <v>101</v>
      </c>
      <c r="P2896" s="2" t="str">
        <f>"2170603721                    "</f>
        <v xml:space="preserve">2170603721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6.43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</v>
      </c>
      <c r="BJ2896" s="2">
        <v>0.2</v>
      </c>
      <c r="BK2896" s="2">
        <v>1</v>
      </c>
      <c r="BL2896" s="2">
        <v>45.93</v>
      </c>
      <c r="BM2896" s="2">
        <v>6.43</v>
      </c>
      <c r="BN2896" s="2">
        <v>52.36</v>
      </c>
      <c r="BO2896" s="2">
        <v>52.36</v>
      </c>
      <c r="BQ2896" s="2" t="s">
        <v>541</v>
      </c>
      <c r="BR2896" s="2" t="s">
        <v>103</v>
      </c>
      <c r="BS2896" s="3">
        <v>43090</v>
      </c>
      <c r="BT2896" s="4">
        <v>0.41388888888888892</v>
      </c>
      <c r="BU2896" s="2" t="s">
        <v>2869</v>
      </c>
      <c r="BV2896" s="2" t="s">
        <v>85</v>
      </c>
      <c r="BY2896" s="2">
        <v>1200</v>
      </c>
      <c r="CA2896" s="2" t="s">
        <v>767</v>
      </c>
      <c r="CC2896" s="2" t="s">
        <v>137</v>
      </c>
      <c r="CD2896" s="2">
        <v>6045</v>
      </c>
      <c r="CE2896" s="2" t="s">
        <v>2749</v>
      </c>
      <c r="CF2896" s="3">
        <v>43096</v>
      </c>
      <c r="CI2896" s="2">
        <v>1</v>
      </c>
      <c r="CJ2896" s="2">
        <v>1</v>
      </c>
      <c r="CK2896" s="2">
        <v>21</v>
      </c>
      <c r="CL2896" s="2" t="s">
        <v>89</v>
      </c>
    </row>
    <row r="2897" spans="1:90">
      <c r="A2897" s="2" t="s">
        <v>71</v>
      </c>
      <c r="B2897" s="2" t="s">
        <v>72</v>
      </c>
      <c r="C2897" s="2" t="s">
        <v>73</v>
      </c>
      <c r="E2897" s="2" t="str">
        <f>"FES1162597061"</f>
        <v>FES1162597061</v>
      </c>
      <c r="F2897" s="3">
        <v>43089</v>
      </c>
      <c r="G2897" s="2">
        <v>201806</v>
      </c>
      <c r="H2897" s="2" t="s">
        <v>74</v>
      </c>
      <c r="I2897" s="2" t="s">
        <v>75</v>
      </c>
      <c r="J2897" s="2" t="s">
        <v>97</v>
      </c>
      <c r="K2897" s="2" t="s">
        <v>77</v>
      </c>
      <c r="L2897" s="2" t="s">
        <v>145</v>
      </c>
      <c r="M2897" s="2" t="s">
        <v>146</v>
      </c>
      <c r="N2897" s="2" t="s">
        <v>922</v>
      </c>
      <c r="O2897" s="2" t="s">
        <v>101</v>
      </c>
      <c r="P2897" s="2" t="str">
        <f>"2170608269                    "</f>
        <v xml:space="preserve">2170608269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6.43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</v>
      </c>
      <c r="BJ2897" s="2">
        <v>0.2</v>
      </c>
      <c r="BK2897" s="2">
        <v>1</v>
      </c>
      <c r="BL2897" s="2">
        <v>45.93</v>
      </c>
      <c r="BM2897" s="2">
        <v>6.43</v>
      </c>
      <c r="BN2897" s="2">
        <v>52.36</v>
      </c>
      <c r="BO2897" s="2">
        <v>52.36</v>
      </c>
      <c r="BQ2897" s="2" t="s">
        <v>102</v>
      </c>
      <c r="BR2897" s="2" t="s">
        <v>103</v>
      </c>
      <c r="BS2897" s="3">
        <v>43090</v>
      </c>
      <c r="BT2897" s="4">
        <v>0.33819444444444446</v>
      </c>
      <c r="BU2897" s="2" t="s">
        <v>2870</v>
      </c>
      <c r="BV2897" s="2" t="s">
        <v>85</v>
      </c>
      <c r="BY2897" s="2">
        <v>1200</v>
      </c>
      <c r="CA2897" s="2" t="s">
        <v>629</v>
      </c>
      <c r="CC2897" s="2" t="s">
        <v>146</v>
      </c>
      <c r="CD2897" s="2">
        <v>5201</v>
      </c>
      <c r="CE2897" s="2" t="s">
        <v>2749</v>
      </c>
      <c r="CF2897" s="3">
        <v>43091</v>
      </c>
      <c r="CI2897" s="2">
        <v>1</v>
      </c>
      <c r="CJ2897" s="2">
        <v>1</v>
      </c>
      <c r="CK2897" s="2">
        <v>21</v>
      </c>
      <c r="CL2897" s="2" t="s">
        <v>89</v>
      </c>
    </row>
    <row r="2898" spans="1:90">
      <c r="A2898" s="2" t="s">
        <v>71</v>
      </c>
      <c r="B2898" s="2" t="s">
        <v>72</v>
      </c>
      <c r="C2898" s="2" t="s">
        <v>73</v>
      </c>
      <c r="E2898" s="2" t="str">
        <f>"FES1162597002"</f>
        <v>FES1162597002</v>
      </c>
      <c r="F2898" s="3">
        <v>43089</v>
      </c>
      <c r="G2898" s="2">
        <v>201806</v>
      </c>
      <c r="H2898" s="2" t="s">
        <v>74</v>
      </c>
      <c r="I2898" s="2" t="s">
        <v>75</v>
      </c>
      <c r="J2898" s="2" t="s">
        <v>97</v>
      </c>
      <c r="K2898" s="2" t="s">
        <v>77</v>
      </c>
      <c r="L2898" s="2" t="s">
        <v>136</v>
      </c>
      <c r="M2898" s="2" t="s">
        <v>137</v>
      </c>
      <c r="N2898" s="2" t="s">
        <v>540</v>
      </c>
      <c r="O2898" s="2" t="s">
        <v>101</v>
      </c>
      <c r="P2898" s="2" t="str">
        <f>"2170605817                    "</f>
        <v xml:space="preserve">2170605817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6.43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1.2</v>
      </c>
      <c r="BJ2898" s="2">
        <v>1.9</v>
      </c>
      <c r="BK2898" s="2">
        <v>2</v>
      </c>
      <c r="BL2898" s="2">
        <v>45.93</v>
      </c>
      <c r="BM2898" s="2">
        <v>6.43</v>
      </c>
      <c r="BN2898" s="2">
        <v>52.36</v>
      </c>
      <c r="BO2898" s="2">
        <v>52.36</v>
      </c>
      <c r="BQ2898" s="2" t="s">
        <v>541</v>
      </c>
      <c r="BR2898" s="2" t="s">
        <v>103</v>
      </c>
      <c r="BS2898" s="3">
        <v>43090</v>
      </c>
      <c r="BT2898" s="4">
        <v>0.41388888888888892</v>
      </c>
      <c r="BU2898" s="2" t="s">
        <v>2869</v>
      </c>
      <c r="BV2898" s="2" t="s">
        <v>85</v>
      </c>
      <c r="BY2898" s="2">
        <v>9261.56</v>
      </c>
      <c r="CA2898" s="2" t="s">
        <v>767</v>
      </c>
      <c r="CC2898" s="2" t="s">
        <v>137</v>
      </c>
      <c r="CD2898" s="2">
        <v>6045</v>
      </c>
      <c r="CE2898" s="2" t="s">
        <v>2863</v>
      </c>
      <c r="CF2898" s="3">
        <v>43096</v>
      </c>
      <c r="CI2898" s="2">
        <v>1</v>
      </c>
      <c r="CJ2898" s="2">
        <v>1</v>
      </c>
      <c r="CK2898" s="2">
        <v>21</v>
      </c>
      <c r="CL2898" s="2" t="s">
        <v>89</v>
      </c>
    </row>
    <row r="2899" spans="1:90">
      <c r="A2899" s="2" t="s">
        <v>71</v>
      </c>
      <c r="B2899" s="2" t="s">
        <v>72</v>
      </c>
      <c r="C2899" s="2" t="s">
        <v>73</v>
      </c>
      <c r="E2899" s="2" t="str">
        <f>"FES1162597017"</f>
        <v>FES1162597017</v>
      </c>
      <c r="F2899" s="3">
        <v>43089</v>
      </c>
      <c r="G2899" s="2">
        <v>201806</v>
      </c>
      <c r="H2899" s="2" t="s">
        <v>74</v>
      </c>
      <c r="I2899" s="2" t="s">
        <v>75</v>
      </c>
      <c r="J2899" s="2" t="s">
        <v>97</v>
      </c>
      <c r="K2899" s="2" t="s">
        <v>77</v>
      </c>
      <c r="L2899" s="2" t="s">
        <v>136</v>
      </c>
      <c r="M2899" s="2" t="s">
        <v>137</v>
      </c>
      <c r="N2899" s="2" t="s">
        <v>138</v>
      </c>
      <c r="O2899" s="2" t="s">
        <v>101</v>
      </c>
      <c r="P2899" s="2" t="str">
        <f>"2170607036                    "</f>
        <v xml:space="preserve">2170607036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49.85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2</v>
      </c>
      <c r="BI2899" s="2">
        <v>7</v>
      </c>
      <c r="BJ2899" s="2">
        <v>15.2</v>
      </c>
      <c r="BK2899" s="2">
        <v>15.5</v>
      </c>
      <c r="BL2899" s="2">
        <v>355.84</v>
      </c>
      <c r="BM2899" s="2">
        <v>49.82</v>
      </c>
      <c r="BN2899" s="2">
        <v>405.66</v>
      </c>
      <c r="BO2899" s="2">
        <v>405.66</v>
      </c>
      <c r="BQ2899" s="2" t="s">
        <v>82</v>
      </c>
      <c r="BR2899" s="2" t="s">
        <v>103</v>
      </c>
      <c r="BS2899" s="3">
        <v>43090</v>
      </c>
      <c r="BT2899" s="4">
        <v>0.33333333333333331</v>
      </c>
      <c r="BU2899" s="2" t="s">
        <v>732</v>
      </c>
      <c r="BV2899" s="2" t="s">
        <v>85</v>
      </c>
      <c r="BY2899" s="2">
        <v>76085.03</v>
      </c>
      <c r="CC2899" s="2" t="s">
        <v>137</v>
      </c>
      <c r="CD2899" s="2">
        <v>6001</v>
      </c>
      <c r="CE2899" s="2" t="s">
        <v>2871</v>
      </c>
      <c r="CF2899" s="3">
        <v>43096</v>
      </c>
      <c r="CI2899" s="2">
        <v>1</v>
      </c>
      <c r="CJ2899" s="2">
        <v>1</v>
      </c>
      <c r="CK2899" s="2">
        <v>21</v>
      </c>
      <c r="CL2899" s="2" t="s">
        <v>89</v>
      </c>
    </row>
    <row r="2900" spans="1:90">
      <c r="A2900" s="2" t="s">
        <v>71</v>
      </c>
      <c r="B2900" s="2" t="s">
        <v>72</v>
      </c>
      <c r="C2900" s="2" t="s">
        <v>73</v>
      </c>
      <c r="E2900" s="2" t="str">
        <f>"FES1162597020"</f>
        <v>FES1162597020</v>
      </c>
      <c r="F2900" s="3">
        <v>43089</v>
      </c>
      <c r="G2900" s="2">
        <v>201806</v>
      </c>
      <c r="H2900" s="2" t="s">
        <v>74</v>
      </c>
      <c r="I2900" s="2" t="s">
        <v>75</v>
      </c>
      <c r="J2900" s="2" t="s">
        <v>97</v>
      </c>
      <c r="K2900" s="2" t="s">
        <v>77</v>
      </c>
      <c r="L2900" s="2" t="s">
        <v>136</v>
      </c>
      <c r="M2900" s="2" t="s">
        <v>137</v>
      </c>
      <c r="N2900" s="2" t="s">
        <v>138</v>
      </c>
      <c r="O2900" s="2" t="s">
        <v>101</v>
      </c>
      <c r="P2900" s="2" t="str">
        <f>"2170600039                    "</f>
        <v xml:space="preserve">2170600039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59.49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14.7</v>
      </c>
      <c r="BJ2900" s="2">
        <v>18.5</v>
      </c>
      <c r="BK2900" s="2">
        <v>18.5</v>
      </c>
      <c r="BL2900" s="2">
        <v>424.7</v>
      </c>
      <c r="BM2900" s="2">
        <v>59.46</v>
      </c>
      <c r="BN2900" s="2">
        <v>484.16</v>
      </c>
      <c r="BO2900" s="2">
        <v>484.16</v>
      </c>
      <c r="BQ2900" s="2" t="s">
        <v>82</v>
      </c>
      <c r="BR2900" s="2" t="s">
        <v>103</v>
      </c>
      <c r="BS2900" s="3">
        <v>43090</v>
      </c>
      <c r="BT2900" s="4">
        <v>0.33333333333333331</v>
      </c>
      <c r="BU2900" s="2" t="s">
        <v>732</v>
      </c>
      <c r="BV2900" s="2" t="s">
        <v>85</v>
      </c>
      <c r="BY2900" s="2">
        <v>92537.03</v>
      </c>
      <c r="CC2900" s="2" t="s">
        <v>137</v>
      </c>
      <c r="CD2900" s="2">
        <v>6001</v>
      </c>
      <c r="CE2900" s="2" t="s">
        <v>2858</v>
      </c>
      <c r="CF2900" s="3">
        <v>43096</v>
      </c>
      <c r="CI2900" s="2">
        <v>1</v>
      </c>
      <c r="CJ2900" s="2">
        <v>1</v>
      </c>
      <c r="CK2900" s="2">
        <v>21</v>
      </c>
      <c r="CL2900" s="2" t="s">
        <v>89</v>
      </c>
    </row>
    <row r="2901" spans="1:90">
      <c r="A2901" s="2" t="s">
        <v>71</v>
      </c>
      <c r="B2901" s="2" t="s">
        <v>72</v>
      </c>
      <c r="C2901" s="2" t="s">
        <v>73</v>
      </c>
      <c r="E2901" s="2" t="str">
        <f>"FES1162597029"</f>
        <v>FES1162597029</v>
      </c>
      <c r="F2901" s="3">
        <v>43089</v>
      </c>
      <c r="G2901" s="2">
        <v>201806</v>
      </c>
      <c r="H2901" s="2" t="s">
        <v>74</v>
      </c>
      <c r="I2901" s="2" t="s">
        <v>75</v>
      </c>
      <c r="J2901" s="2" t="s">
        <v>97</v>
      </c>
      <c r="K2901" s="2" t="s">
        <v>77</v>
      </c>
      <c r="L2901" s="2" t="s">
        <v>262</v>
      </c>
      <c r="M2901" s="2" t="s">
        <v>263</v>
      </c>
      <c r="N2901" s="2" t="s">
        <v>264</v>
      </c>
      <c r="O2901" s="2" t="s">
        <v>101</v>
      </c>
      <c r="P2901" s="2" t="str">
        <f>"21708542                      "</f>
        <v xml:space="preserve">21708542  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62.71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11.2</v>
      </c>
      <c r="BJ2901" s="2">
        <v>19.100000000000001</v>
      </c>
      <c r="BK2901" s="2">
        <v>19.5</v>
      </c>
      <c r="BL2901" s="2">
        <v>447.66</v>
      </c>
      <c r="BM2901" s="2">
        <v>62.67</v>
      </c>
      <c r="BN2901" s="2">
        <v>510.33</v>
      </c>
      <c r="BO2901" s="2">
        <v>510.33</v>
      </c>
      <c r="BQ2901" s="2" t="s">
        <v>102</v>
      </c>
      <c r="BR2901" s="2" t="s">
        <v>103</v>
      </c>
      <c r="BS2901" s="2" t="s">
        <v>185</v>
      </c>
      <c r="BY2901" s="2">
        <v>95396.52</v>
      </c>
      <c r="CC2901" s="2" t="s">
        <v>263</v>
      </c>
      <c r="CD2901" s="2">
        <v>6230</v>
      </c>
      <c r="CE2901" s="2" t="s">
        <v>2858</v>
      </c>
      <c r="CI2901" s="2">
        <v>1</v>
      </c>
      <c r="CJ2901" s="2" t="s">
        <v>185</v>
      </c>
      <c r="CK2901" s="2">
        <v>21</v>
      </c>
      <c r="CL2901" s="2" t="s">
        <v>89</v>
      </c>
    </row>
    <row r="2902" spans="1:90">
      <c r="A2902" s="2" t="s">
        <v>71</v>
      </c>
      <c r="B2902" s="2" t="s">
        <v>72</v>
      </c>
      <c r="C2902" s="2" t="s">
        <v>73</v>
      </c>
      <c r="E2902" s="2" t="str">
        <f>"FES1162597021"</f>
        <v>FES1162597021</v>
      </c>
      <c r="F2902" s="3">
        <v>43089</v>
      </c>
      <c r="G2902" s="2">
        <v>201806</v>
      </c>
      <c r="H2902" s="2" t="s">
        <v>74</v>
      </c>
      <c r="I2902" s="2" t="s">
        <v>75</v>
      </c>
      <c r="J2902" s="2" t="s">
        <v>97</v>
      </c>
      <c r="K2902" s="2" t="s">
        <v>77</v>
      </c>
      <c r="L2902" s="2" t="s">
        <v>136</v>
      </c>
      <c r="M2902" s="2" t="s">
        <v>137</v>
      </c>
      <c r="N2902" s="2" t="s">
        <v>1586</v>
      </c>
      <c r="O2902" s="2" t="s">
        <v>101</v>
      </c>
      <c r="P2902" s="2" t="str">
        <f>"2170598721                    "</f>
        <v xml:space="preserve">2170598721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35.380000000000003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2</v>
      </c>
      <c r="BI2902" s="2">
        <v>10.9</v>
      </c>
      <c r="BJ2902" s="2">
        <v>5.8</v>
      </c>
      <c r="BK2902" s="2">
        <v>11</v>
      </c>
      <c r="BL2902" s="2">
        <v>252.54</v>
      </c>
      <c r="BM2902" s="2">
        <v>35.36</v>
      </c>
      <c r="BN2902" s="2">
        <v>287.89999999999998</v>
      </c>
      <c r="BO2902" s="2">
        <v>287.89999999999998</v>
      </c>
      <c r="BQ2902" s="2" t="s">
        <v>82</v>
      </c>
      <c r="BR2902" s="2" t="s">
        <v>103</v>
      </c>
      <c r="BS2902" s="3">
        <v>43090</v>
      </c>
      <c r="BT2902" s="4">
        <v>0.38194444444444442</v>
      </c>
      <c r="BU2902" s="2" t="s">
        <v>106</v>
      </c>
      <c r="BV2902" s="2" t="s">
        <v>85</v>
      </c>
      <c r="BY2902" s="2">
        <v>28848.23</v>
      </c>
      <c r="CC2902" s="2" t="s">
        <v>137</v>
      </c>
      <c r="CD2902" s="2">
        <v>6045</v>
      </c>
      <c r="CE2902" s="2" t="s">
        <v>2872</v>
      </c>
      <c r="CF2902" s="3">
        <v>43096</v>
      </c>
      <c r="CI2902" s="2">
        <v>1</v>
      </c>
      <c r="CJ2902" s="2">
        <v>1</v>
      </c>
      <c r="CK2902" s="2">
        <v>21</v>
      </c>
      <c r="CL2902" s="2" t="s">
        <v>89</v>
      </c>
    </row>
    <row r="2903" spans="1:90">
      <c r="A2903" s="2" t="s">
        <v>71</v>
      </c>
      <c r="B2903" s="2" t="s">
        <v>72</v>
      </c>
      <c r="C2903" s="2" t="s">
        <v>73</v>
      </c>
      <c r="E2903" s="2" t="str">
        <f>"FES1162597058"</f>
        <v>FES1162597058</v>
      </c>
      <c r="F2903" s="3">
        <v>43089</v>
      </c>
      <c r="G2903" s="2">
        <v>201806</v>
      </c>
      <c r="H2903" s="2" t="s">
        <v>74</v>
      </c>
      <c r="I2903" s="2" t="s">
        <v>75</v>
      </c>
      <c r="J2903" s="2" t="s">
        <v>97</v>
      </c>
      <c r="K2903" s="2" t="s">
        <v>77</v>
      </c>
      <c r="L2903" s="2" t="s">
        <v>490</v>
      </c>
      <c r="M2903" s="2" t="s">
        <v>491</v>
      </c>
      <c r="N2903" s="2" t="s">
        <v>1307</v>
      </c>
      <c r="O2903" s="2" t="s">
        <v>101</v>
      </c>
      <c r="P2903" s="2" t="str">
        <f>"2170608124                    "</f>
        <v xml:space="preserve">2170608124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46.63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6.8</v>
      </c>
      <c r="BJ2903" s="2">
        <v>14.3</v>
      </c>
      <c r="BK2903" s="2">
        <v>14.5</v>
      </c>
      <c r="BL2903" s="2">
        <v>332.88</v>
      </c>
      <c r="BM2903" s="2">
        <v>46.6</v>
      </c>
      <c r="BN2903" s="2">
        <v>379.48</v>
      </c>
      <c r="BO2903" s="2">
        <v>379.48</v>
      </c>
      <c r="BQ2903" s="2" t="s">
        <v>1308</v>
      </c>
      <c r="BR2903" s="2" t="s">
        <v>103</v>
      </c>
      <c r="BS2903" s="3">
        <v>43090</v>
      </c>
      <c r="BT2903" s="4">
        <v>0.4375</v>
      </c>
      <c r="BU2903" s="2" t="s">
        <v>2752</v>
      </c>
      <c r="BV2903" s="2" t="s">
        <v>85</v>
      </c>
      <c r="BY2903" s="2">
        <v>71647.199999999997</v>
      </c>
      <c r="CA2903" s="2" t="s">
        <v>494</v>
      </c>
      <c r="CC2903" s="2" t="s">
        <v>491</v>
      </c>
      <c r="CD2903" s="2">
        <v>3699</v>
      </c>
      <c r="CE2903" s="2" t="s">
        <v>2863</v>
      </c>
      <c r="CF2903" s="3">
        <v>43091</v>
      </c>
      <c r="CI2903" s="2">
        <v>1</v>
      </c>
      <c r="CJ2903" s="2">
        <v>1</v>
      </c>
      <c r="CK2903" s="2">
        <v>21</v>
      </c>
      <c r="CL2903" s="2" t="s">
        <v>89</v>
      </c>
    </row>
    <row r="2904" spans="1:90">
      <c r="A2904" s="2" t="s">
        <v>71</v>
      </c>
      <c r="B2904" s="2" t="s">
        <v>72</v>
      </c>
      <c r="C2904" s="2" t="s">
        <v>73</v>
      </c>
      <c r="E2904" s="2" t="str">
        <f>"FES1162597073"</f>
        <v>FES1162597073</v>
      </c>
      <c r="F2904" s="3">
        <v>43089</v>
      </c>
      <c r="G2904" s="2">
        <v>201806</v>
      </c>
      <c r="H2904" s="2" t="s">
        <v>74</v>
      </c>
      <c r="I2904" s="2" t="s">
        <v>75</v>
      </c>
      <c r="J2904" s="2" t="s">
        <v>97</v>
      </c>
      <c r="K2904" s="2" t="s">
        <v>77</v>
      </c>
      <c r="L2904" s="2" t="s">
        <v>125</v>
      </c>
      <c r="M2904" s="2" t="s">
        <v>126</v>
      </c>
      <c r="N2904" s="2" t="s">
        <v>664</v>
      </c>
      <c r="O2904" s="2" t="s">
        <v>101</v>
      </c>
      <c r="P2904" s="2" t="str">
        <f>"2170607473                    "</f>
        <v xml:space="preserve">2170607473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11.26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2.2000000000000002</v>
      </c>
      <c r="BJ2904" s="2">
        <v>3.5</v>
      </c>
      <c r="BK2904" s="2">
        <v>3.5</v>
      </c>
      <c r="BL2904" s="2">
        <v>80.37</v>
      </c>
      <c r="BM2904" s="2">
        <v>11.25</v>
      </c>
      <c r="BN2904" s="2">
        <v>91.62</v>
      </c>
      <c r="BO2904" s="2">
        <v>91.62</v>
      </c>
      <c r="BQ2904" s="2" t="s">
        <v>102</v>
      </c>
      <c r="BR2904" s="2" t="s">
        <v>103</v>
      </c>
      <c r="BS2904" s="3">
        <v>43090</v>
      </c>
      <c r="BT2904" s="4">
        <v>0.41666666666666669</v>
      </c>
      <c r="BU2904" s="2" t="s">
        <v>2873</v>
      </c>
      <c r="BV2904" s="2" t="s">
        <v>85</v>
      </c>
      <c r="BY2904" s="2">
        <v>17378.39</v>
      </c>
      <c r="CA2904" s="2" t="s">
        <v>2874</v>
      </c>
      <c r="CC2904" s="2" t="s">
        <v>126</v>
      </c>
      <c r="CD2904" s="2">
        <v>4001</v>
      </c>
      <c r="CE2904" s="2" t="s">
        <v>2858</v>
      </c>
      <c r="CF2904" s="3">
        <v>43091</v>
      </c>
      <c r="CI2904" s="2">
        <v>1</v>
      </c>
      <c r="CJ2904" s="2">
        <v>1</v>
      </c>
      <c r="CK2904" s="2">
        <v>21</v>
      </c>
      <c r="CL2904" s="2" t="s">
        <v>89</v>
      </c>
    </row>
    <row r="2905" spans="1:90">
      <c r="A2905" s="2" t="s">
        <v>71</v>
      </c>
      <c r="B2905" s="2" t="s">
        <v>72</v>
      </c>
      <c r="C2905" s="2" t="s">
        <v>73</v>
      </c>
      <c r="E2905" s="2" t="str">
        <f>"FES1162597072"</f>
        <v>FES1162597072</v>
      </c>
      <c r="F2905" s="3">
        <v>43089</v>
      </c>
      <c r="G2905" s="2">
        <v>201806</v>
      </c>
      <c r="H2905" s="2" t="s">
        <v>74</v>
      </c>
      <c r="I2905" s="2" t="s">
        <v>75</v>
      </c>
      <c r="J2905" s="2" t="s">
        <v>97</v>
      </c>
      <c r="K2905" s="2" t="s">
        <v>77</v>
      </c>
      <c r="L2905" s="2" t="s">
        <v>125</v>
      </c>
      <c r="M2905" s="2" t="s">
        <v>126</v>
      </c>
      <c r="N2905" s="2" t="s">
        <v>664</v>
      </c>
      <c r="O2905" s="2" t="s">
        <v>101</v>
      </c>
      <c r="P2905" s="2" t="str">
        <f>"2170607470                    "</f>
        <v xml:space="preserve">2170607470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12.87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2.2999999999999998</v>
      </c>
      <c r="BJ2905" s="2">
        <v>3.8</v>
      </c>
      <c r="BK2905" s="2">
        <v>4</v>
      </c>
      <c r="BL2905" s="2">
        <v>91.85</v>
      </c>
      <c r="BM2905" s="2">
        <v>12.86</v>
      </c>
      <c r="BN2905" s="2">
        <v>104.71</v>
      </c>
      <c r="BO2905" s="2">
        <v>104.71</v>
      </c>
      <c r="BQ2905" s="2" t="s">
        <v>102</v>
      </c>
      <c r="BR2905" s="2" t="s">
        <v>103</v>
      </c>
      <c r="BS2905" s="3">
        <v>43090</v>
      </c>
      <c r="BT2905" s="4">
        <v>0.41666666666666669</v>
      </c>
      <c r="BU2905" s="2" t="s">
        <v>2873</v>
      </c>
      <c r="BV2905" s="2" t="s">
        <v>85</v>
      </c>
      <c r="BY2905" s="2">
        <v>18895.29</v>
      </c>
      <c r="CA2905" s="2" t="s">
        <v>2874</v>
      </c>
      <c r="CC2905" s="2" t="s">
        <v>126</v>
      </c>
      <c r="CD2905" s="2">
        <v>4001</v>
      </c>
      <c r="CE2905" s="2" t="s">
        <v>2858</v>
      </c>
      <c r="CF2905" s="3">
        <v>43091</v>
      </c>
      <c r="CI2905" s="2">
        <v>1</v>
      </c>
      <c r="CJ2905" s="2">
        <v>1</v>
      </c>
      <c r="CK2905" s="2">
        <v>21</v>
      </c>
      <c r="CL2905" s="2" t="s">
        <v>89</v>
      </c>
    </row>
    <row r="2906" spans="1:90">
      <c r="A2906" s="2" t="s">
        <v>71</v>
      </c>
      <c r="B2906" s="2" t="s">
        <v>72</v>
      </c>
      <c r="C2906" s="2" t="s">
        <v>73</v>
      </c>
      <c r="E2906" s="2" t="str">
        <f>"FES1162596946"</f>
        <v>FES1162596946</v>
      </c>
      <c r="F2906" s="3">
        <v>43089</v>
      </c>
      <c r="G2906" s="2">
        <v>201806</v>
      </c>
      <c r="H2906" s="2" t="s">
        <v>74</v>
      </c>
      <c r="I2906" s="2" t="s">
        <v>75</v>
      </c>
      <c r="J2906" s="2" t="s">
        <v>97</v>
      </c>
      <c r="K2906" s="2" t="s">
        <v>77</v>
      </c>
      <c r="L2906" s="2" t="s">
        <v>173</v>
      </c>
      <c r="M2906" s="2" t="s">
        <v>174</v>
      </c>
      <c r="N2906" s="2" t="s">
        <v>323</v>
      </c>
      <c r="O2906" s="2" t="s">
        <v>101</v>
      </c>
      <c r="P2906" s="2" t="str">
        <f>"2170608494                    "</f>
        <v xml:space="preserve">2170608494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19.3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2</v>
      </c>
      <c r="BI2906" s="2">
        <v>5.6</v>
      </c>
      <c r="BJ2906" s="2">
        <v>2.9</v>
      </c>
      <c r="BK2906" s="2">
        <v>6</v>
      </c>
      <c r="BL2906" s="2">
        <v>137.76</v>
      </c>
      <c r="BM2906" s="2">
        <v>19.29</v>
      </c>
      <c r="BN2906" s="2">
        <v>157.05000000000001</v>
      </c>
      <c r="BO2906" s="2">
        <v>157.05000000000001</v>
      </c>
      <c r="BQ2906" s="2" t="s">
        <v>82</v>
      </c>
      <c r="BR2906" s="2" t="s">
        <v>103</v>
      </c>
      <c r="BS2906" s="3">
        <v>43090</v>
      </c>
      <c r="BT2906" s="4">
        <v>0.52986111111111112</v>
      </c>
      <c r="BU2906" s="2" t="s">
        <v>2875</v>
      </c>
      <c r="BV2906" s="2" t="s">
        <v>89</v>
      </c>
      <c r="BW2906" s="2" t="s">
        <v>149</v>
      </c>
      <c r="BX2906" s="2" t="s">
        <v>246</v>
      </c>
      <c r="BY2906" s="2">
        <v>14501.23</v>
      </c>
      <c r="CA2906" s="2" t="s">
        <v>177</v>
      </c>
      <c r="CC2906" s="2" t="s">
        <v>174</v>
      </c>
      <c r="CD2906" s="2">
        <v>7405</v>
      </c>
      <c r="CE2906" s="2" t="s">
        <v>2876</v>
      </c>
      <c r="CF2906" s="3">
        <v>43091</v>
      </c>
      <c r="CI2906" s="2">
        <v>1</v>
      </c>
      <c r="CJ2906" s="2">
        <v>1</v>
      </c>
      <c r="CK2906" s="2">
        <v>21</v>
      </c>
      <c r="CL2906" s="2" t="s">
        <v>89</v>
      </c>
    </row>
    <row r="2907" spans="1:90">
      <c r="A2907" s="2" t="s">
        <v>71</v>
      </c>
      <c r="B2907" s="2" t="s">
        <v>72</v>
      </c>
      <c r="C2907" s="2" t="s">
        <v>73</v>
      </c>
      <c r="E2907" s="2" t="str">
        <f>"FES1162597044"</f>
        <v>FES1162597044</v>
      </c>
      <c r="F2907" s="3">
        <v>43089</v>
      </c>
      <c r="G2907" s="2">
        <v>201806</v>
      </c>
      <c r="H2907" s="2" t="s">
        <v>74</v>
      </c>
      <c r="I2907" s="2" t="s">
        <v>75</v>
      </c>
      <c r="J2907" s="2" t="s">
        <v>97</v>
      </c>
      <c r="K2907" s="2" t="s">
        <v>77</v>
      </c>
      <c r="L2907" s="2" t="s">
        <v>173</v>
      </c>
      <c r="M2907" s="2" t="s">
        <v>174</v>
      </c>
      <c r="N2907" s="2" t="s">
        <v>1039</v>
      </c>
      <c r="O2907" s="2" t="s">
        <v>101</v>
      </c>
      <c r="P2907" s="2" t="str">
        <f>"2170608541                    "</f>
        <v xml:space="preserve">2170608541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53.06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16.5</v>
      </c>
      <c r="BJ2907" s="2">
        <v>9.1</v>
      </c>
      <c r="BK2907" s="2">
        <v>16.5</v>
      </c>
      <c r="BL2907" s="2">
        <v>378.79</v>
      </c>
      <c r="BM2907" s="2">
        <v>53.03</v>
      </c>
      <c r="BN2907" s="2">
        <v>431.82</v>
      </c>
      <c r="BO2907" s="2">
        <v>431.82</v>
      </c>
      <c r="BQ2907" s="2" t="s">
        <v>1040</v>
      </c>
      <c r="BR2907" s="2" t="s">
        <v>103</v>
      </c>
      <c r="BS2907" s="3">
        <v>43090</v>
      </c>
      <c r="BT2907" s="4">
        <v>0.36388888888888887</v>
      </c>
      <c r="BU2907" s="2" t="s">
        <v>1041</v>
      </c>
      <c r="BV2907" s="2" t="s">
        <v>85</v>
      </c>
      <c r="BY2907" s="2">
        <v>45726.13</v>
      </c>
      <c r="CA2907" s="2" t="s">
        <v>234</v>
      </c>
      <c r="CC2907" s="2" t="s">
        <v>174</v>
      </c>
      <c r="CD2907" s="2">
        <v>7530</v>
      </c>
      <c r="CE2907" s="2" t="s">
        <v>2858</v>
      </c>
      <c r="CF2907" s="3">
        <v>43091</v>
      </c>
      <c r="CI2907" s="2">
        <v>1</v>
      </c>
      <c r="CJ2907" s="2">
        <v>1</v>
      </c>
      <c r="CK2907" s="2">
        <v>21</v>
      </c>
      <c r="CL2907" s="2" t="s">
        <v>89</v>
      </c>
    </row>
    <row r="2908" spans="1:90">
      <c r="A2908" s="2" t="s">
        <v>71</v>
      </c>
      <c r="B2908" s="2" t="s">
        <v>72</v>
      </c>
      <c r="C2908" s="2" t="s">
        <v>73</v>
      </c>
      <c r="E2908" s="2" t="str">
        <f>"FES1162597043"</f>
        <v>FES1162597043</v>
      </c>
      <c r="F2908" s="3">
        <v>43089</v>
      </c>
      <c r="G2908" s="2">
        <v>201806</v>
      </c>
      <c r="H2908" s="2" t="s">
        <v>74</v>
      </c>
      <c r="I2908" s="2" t="s">
        <v>75</v>
      </c>
      <c r="J2908" s="2" t="s">
        <v>97</v>
      </c>
      <c r="K2908" s="2" t="s">
        <v>77</v>
      </c>
      <c r="L2908" s="2" t="s">
        <v>173</v>
      </c>
      <c r="M2908" s="2" t="s">
        <v>174</v>
      </c>
      <c r="N2908" s="2" t="s">
        <v>2258</v>
      </c>
      <c r="O2908" s="2" t="s">
        <v>101</v>
      </c>
      <c r="P2908" s="2" t="str">
        <f>"21706092                      "</f>
        <v xml:space="preserve">21706092  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8.0399999999999991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2.2999999999999998</v>
      </c>
      <c r="BJ2908" s="2">
        <v>0.9</v>
      </c>
      <c r="BK2908" s="2">
        <v>2.5</v>
      </c>
      <c r="BL2908" s="2">
        <v>57.41</v>
      </c>
      <c r="BM2908" s="2">
        <v>8.0399999999999991</v>
      </c>
      <c r="BN2908" s="2">
        <v>65.45</v>
      </c>
      <c r="BO2908" s="2">
        <v>65.45</v>
      </c>
      <c r="BQ2908" s="2" t="s">
        <v>82</v>
      </c>
      <c r="BR2908" s="2" t="s">
        <v>103</v>
      </c>
      <c r="BS2908" s="3">
        <v>43090</v>
      </c>
      <c r="BT2908" s="4">
        <v>0.43055555555555558</v>
      </c>
      <c r="BU2908" s="2" t="s">
        <v>2877</v>
      </c>
      <c r="BV2908" s="2" t="s">
        <v>85</v>
      </c>
      <c r="BY2908" s="2">
        <v>4469</v>
      </c>
      <c r="CC2908" s="2" t="s">
        <v>174</v>
      </c>
      <c r="CD2908" s="2">
        <v>7500</v>
      </c>
      <c r="CE2908" s="2" t="s">
        <v>2863</v>
      </c>
      <c r="CF2908" s="3">
        <v>43091</v>
      </c>
      <c r="CI2908" s="2">
        <v>1</v>
      </c>
      <c r="CJ2908" s="2">
        <v>1</v>
      </c>
      <c r="CK2908" s="2">
        <v>21</v>
      </c>
      <c r="CL2908" s="2" t="s">
        <v>89</v>
      </c>
    </row>
    <row r="2909" spans="1:90">
      <c r="A2909" s="2" t="s">
        <v>71</v>
      </c>
      <c r="B2909" s="2" t="s">
        <v>72</v>
      </c>
      <c r="C2909" s="2" t="s">
        <v>73</v>
      </c>
      <c r="E2909" s="2" t="str">
        <f>"FES1162596908"</f>
        <v>FES1162596908</v>
      </c>
      <c r="F2909" s="3">
        <v>43089</v>
      </c>
      <c r="G2909" s="2">
        <v>201806</v>
      </c>
      <c r="H2909" s="2" t="s">
        <v>74</v>
      </c>
      <c r="I2909" s="2" t="s">
        <v>75</v>
      </c>
      <c r="J2909" s="2" t="s">
        <v>97</v>
      </c>
      <c r="K2909" s="2" t="s">
        <v>77</v>
      </c>
      <c r="L2909" s="2" t="s">
        <v>106</v>
      </c>
      <c r="M2909" s="2" t="s">
        <v>107</v>
      </c>
      <c r="N2909" s="2" t="s">
        <v>108</v>
      </c>
      <c r="O2909" s="2" t="s">
        <v>101</v>
      </c>
      <c r="P2909" s="2" t="str">
        <f>"2170607267                    "</f>
        <v xml:space="preserve">2170607267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5.03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35.89</v>
      </c>
      <c r="BM2909" s="2">
        <v>5.0199999999999996</v>
      </c>
      <c r="BN2909" s="2">
        <v>40.909999999999997</v>
      </c>
      <c r="BO2909" s="2">
        <v>40.909999999999997</v>
      </c>
      <c r="BQ2909" s="2" t="s">
        <v>82</v>
      </c>
      <c r="BR2909" s="2" t="s">
        <v>103</v>
      </c>
      <c r="BS2909" s="3">
        <v>43090</v>
      </c>
      <c r="BT2909" s="4">
        <v>0.3888888888888889</v>
      </c>
      <c r="BU2909" s="2" t="s">
        <v>328</v>
      </c>
      <c r="BV2909" s="2" t="s">
        <v>85</v>
      </c>
      <c r="BY2909" s="2">
        <v>1200</v>
      </c>
      <c r="CC2909" s="2" t="s">
        <v>107</v>
      </c>
      <c r="CD2909" s="2">
        <v>2094</v>
      </c>
      <c r="CE2909" s="2" t="s">
        <v>2749</v>
      </c>
      <c r="CF2909" s="3">
        <v>43096</v>
      </c>
      <c r="CI2909" s="2">
        <v>1</v>
      </c>
      <c r="CJ2909" s="2">
        <v>1</v>
      </c>
      <c r="CK2909" s="2">
        <v>22</v>
      </c>
      <c r="CL2909" s="2" t="s">
        <v>89</v>
      </c>
    </row>
    <row r="2910" spans="1:90">
      <c r="A2910" s="2" t="s">
        <v>71</v>
      </c>
      <c r="B2910" s="2" t="s">
        <v>72</v>
      </c>
      <c r="C2910" s="2" t="s">
        <v>73</v>
      </c>
      <c r="E2910" s="2" t="str">
        <f>"FES1162597114"</f>
        <v>FES1162597114</v>
      </c>
      <c r="F2910" s="3">
        <v>43089</v>
      </c>
      <c r="G2910" s="2">
        <v>201806</v>
      </c>
      <c r="H2910" s="2" t="s">
        <v>74</v>
      </c>
      <c r="I2910" s="2" t="s">
        <v>75</v>
      </c>
      <c r="J2910" s="2" t="s">
        <v>97</v>
      </c>
      <c r="K2910" s="2" t="s">
        <v>77</v>
      </c>
      <c r="L2910" s="2" t="s">
        <v>74</v>
      </c>
      <c r="M2910" s="2" t="s">
        <v>75</v>
      </c>
      <c r="N2910" s="2" t="s">
        <v>201</v>
      </c>
      <c r="O2910" s="2" t="s">
        <v>101</v>
      </c>
      <c r="P2910" s="2" t="str">
        <f>"2170604493                    "</f>
        <v xml:space="preserve">2170604493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5.03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1</v>
      </c>
      <c r="BJ2910" s="2">
        <v>0.2</v>
      </c>
      <c r="BK2910" s="2">
        <v>1</v>
      </c>
      <c r="BL2910" s="2">
        <v>35.89</v>
      </c>
      <c r="BM2910" s="2">
        <v>5.0199999999999996</v>
      </c>
      <c r="BN2910" s="2">
        <v>40.909999999999997</v>
      </c>
      <c r="BO2910" s="2">
        <v>40.909999999999997</v>
      </c>
      <c r="BQ2910" s="2" t="s">
        <v>102</v>
      </c>
      <c r="BR2910" s="2" t="s">
        <v>103</v>
      </c>
      <c r="BS2910" s="3">
        <v>43090</v>
      </c>
      <c r="BT2910" s="4">
        <v>0.41666666666666669</v>
      </c>
      <c r="BU2910" s="2" t="s">
        <v>202</v>
      </c>
      <c r="BV2910" s="2" t="s">
        <v>85</v>
      </c>
      <c r="BY2910" s="2">
        <v>1200</v>
      </c>
      <c r="CC2910" s="2" t="s">
        <v>75</v>
      </c>
      <c r="CD2910" s="2">
        <v>1665</v>
      </c>
      <c r="CE2910" s="2" t="s">
        <v>2749</v>
      </c>
      <c r="CF2910" s="3">
        <v>43091</v>
      </c>
      <c r="CI2910" s="2">
        <v>1</v>
      </c>
      <c r="CJ2910" s="2">
        <v>1</v>
      </c>
      <c r="CK2910" s="2">
        <v>22</v>
      </c>
      <c r="CL2910" s="2" t="s">
        <v>89</v>
      </c>
    </row>
    <row r="2911" spans="1:90">
      <c r="A2911" s="2" t="s">
        <v>71</v>
      </c>
      <c r="B2911" s="2" t="s">
        <v>72</v>
      </c>
      <c r="C2911" s="2" t="s">
        <v>73</v>
      </c>
      <c r="E2911" s="2" t="str">
        <f>"FES1162596826"</f>
        <v>FES1162596826</v>
      </c>
      <c r="F2911" s="3">
        <v>43089</v>
      </c>
      <c r="G2911" s="2">
        <v>201806</v>
      </c>
      <c r="H2911" s="2" t="s">
        <v>74</v>
      </c>
      <c r="I2911" s="2" t="s">
        <v>75</v>
      </c>
      <c r="J2911" s="2" t="s">
        <v>97</v>
      </c>
      <c r="K2911" s="2" t="s">
        <v>77</v>
      </c>
      <c r="L2911" s="2" t="s">
        <v>74</v>
      </c>
      <c r="M2911" s="2" t="s">
        <v>75</v>
      </c>
      <c r="N2911" s="2" t="s">
        <v>201</v>
      </c>
      <c r="O2911" s="2" t="s">
        <v>101</v>
      </c>
      <c r="P2911" s="2" t="str">
        <f>"2170604438                    "</f>
        <v xml:space="preserve">2170604438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5.03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35.89</v>
      </c>
      <c r="BM2911" s="2">
        <v>5.0199999999999996</v>
      </c>
      <c r="BN2911" s="2">
        <v>40.909999999999997</v>
      </c>
      <c r="BO2911" s="2">
        <v>40.909999999999997</v>
      </c>
      <c r="BQ2911" s="2" t="s">
        <v>102</v>
      </c>
      <c r="BR2911" s="2" t="s">
        <v>103</v>
      </c>
      <c r="BS2911" s="3">
        <v>43090</v>
      </c>
      <c r="BT2911" s="4">
        <v>0.41666666666666669</v>
      </c>
      <c r="BU2911" s="2" t="s">
        <v>205</v>
      </c>
      <c r="BV2911" s="2" t="s">
        <v>85</v>
      </c>
      <c r="BY2911" s="2">
        <v>1200</v>
      </c>
      <c r="CC2911" s="2" t="s">
        <v>75</v>
      </c>
      <c r="CD2911" s="2">
        <v>1665</v>
      </c>
      <c r="CE2911" s="2" t="s">
        <v>2749</v>
      </c>
      <c r="CF2911" s="3">
        <v>43091</v>
      </c>
      <c r="CI2911" s="2">
        <v>1</v>
      </c>
      <c r="CJ2911" s="2">
        <v>1</v>
      </c>
      <c r="CK2911" s="2">
        <v>22</v>
      </c>
      <c r="CL2911" s="2" t="s">
        <v>89</v>
      </c>
    </row>
    <row r="2912" spans="1:90">
      <c r="A2912" s="2" t="s">
        <v>71</v>
      </c>
      <c r="B2912" s="2" t="s">
        <v>72</v>
      </c>
      <c r="C2912" s="2" t="s">
        <v>73</v>
      </c>
      <c r="E2912" s="2" t="str">
        <f>"FES1162596855"</f>
        <v>FES1162596855</v>
      </c>
      <c r="F2912" s="3">
        <v>43089</v>
      </c>
      <c r="G2912" s="2">
        <v>201806</v>
      </c>
      <c r="H2912" s="2" t="s">
        <v>74</v>
      </c>
      <c r="I2912" s="2" t="s">
        <v>75</v>
      </c>
      <c r="J2912" s="2" t="s">
        <v>97</v>
      </c>
      <c r="K2912" s="2" t="s">
        <v>77</v>
      </c>
      <c r="L2912" s="2" t="s">
        <v>90</v>
      </c>
      <c r="M2912" s="2" t="s">
        <v>91</v>
      </c>
      <c r="N2912" s="2" t="s">
        <v>2295</v>
      </c>
      <c r="O2912" s="2" t="s">
        <v>101</v>
      </c>
      <c r="P2912" s="2" t="str">
        <f>"2170605657                    "</f>
        <v xml:space="preserve">2170605657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5.03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</v>
      </c>
      <c r="BJ2912" s="2">
        <v>0.2</v>
      </c>
      <c r="BK2912" s="2">
        <v>1</v>
      </c>
      <c r="BL2912" s="2">
        <v>35.89</v>
      </c>
      <c r="BM2912" s="2">
        <v>5.0199999999999996</v>
      </c>
      <c r="BN2912" s="2">
        <v>40.909999999999997</v>
      </c>
      <c r="BO2912" s="2">
        <v>40.909999999999997</v>
      </c>
      <c r="BQ2912" s="2" t="s">
        <v>2296</v>
      </c>
      <c r="BR2912" s="2" t="s">
        <v>103</v>
      </c>
      <c r="BS2912" s="3">
        <v>43090</v>
      </c>
      <c r="BT2912" s="4">
        <v>0.41666666666666669</v>
      </c>
      <c r="BU2912" s="2" t="s">
        <v>2878</v>
      </c>
      <c r="BV2912" s="2" t="s">
        <v>85</v>
      </c>
      <c r="BY2912" s="2">
        <v>1200</v>
      </c>
      <c r="CC2912" s="2" t="s">
        <v>91</v>
      </c>
      <c r="CD2912" s="2">
        <v>1559</v>
      </c>
      <c r="CE2912" s="2" t="s">
        <v>2749</v>
      </c>
      <c r="CF2912" s="3">
        <v>43091</v>
      </c>
      <c r="CI2912" s="2">
        <v>1</v>
      </c>
      <c r="CJ2912" s="2">
        <v>1</v>
      </c>
      <c r="CK2912" s="2">
        <v>22</v>
      </c>
      <c r="CL2912" s="2" t="s">
        <v>89</v>
      </c>
    </row>
    <row r="2913" spans="1:90">
      <c r="A2913" s="2" t="s">
        <v>71</v>
      </c>
      <c r="B2913" s="2" t="s">
        <v>72</v>
      </c>
      <c r="C2913" s="2" t="s">
        <v>73</v>
      </c>
      <c r="E2913" s="2" t="str">
        <f>"FES1162597098"</f>
        <v>FES1162597098</v>
      </c>
      <c r="F2913" s="3">
        <v>43089</v>
      </c>
      <c r="G2913" s="2">
        <v>201806</v>
      </c>
      <c r="H2913" s="2" t="s">
        <v>74</v>
      </c>
      <c r="I2913" s="2" t="s">
        <v>75</v>
      </c>
      <c r="J2913" s="2" t="s">
        <v>97</v>
      </c>
      <c r="K2913" s="2" t="s">
        <v>77</v>
      </c>
      <c r="L2913" s="2" t="s">
        <v>526</v>
      </c>
      <c r="M2913" s="2" t="s">
        <v>527</v>
      </c>
      <c r="N2913" s="2" t="s">
        <v>528</v>
      </c>
      <c r="O2913" s="2" t="s">
        <v>101</v>
      </c>
      <c r="P2913" s="2" t="str">
        <f>"2170608439                    "</f>
        <v xml:space="preserve">2170608439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6.43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45.93</v>
      </c>
      <c r="BM2913" s="2">
        <v>6.43</v>
      </c>
      <c r="BN2913" s="2">
        <v>52.36</v>
      </c>
      <c r="BO2913" s="2">
        <v>52.36</v>
      </c>
      <c r="BQ2913" s="2" t="s">
        <v>128</v>
      </c>
      <c r="BR2913" s="2" t="s">
        <v>103</v>
      </c>
      <c r="BS2913" s="3">
        <v>43090</v>
      </c>
      <c r="BT2913" s="4">
        <v>0.4145833333333333</v>
      </c>
      <c r="BU2913" s="2" t="s">
        <v>2094</v>
      </c>
      <c r="BV2913" s="2" t="s">
        <v>85</v>
      </c>
      <c r="BY2913" s="2">
        <v>1200</v>
      </c>
      <c r="CC2913" s="2" t="s">
        <v>527</v>
      </c>
      <c r="CD2913" s="2">
        <v>6850</v>
      </c>
      <c r="CE2913" s="2" t="s">
        <v>2749</v>
      </c>
      <c r="CF2913" s="3">
        <v>43091</v>
      </c>
      <c r="CI2913" s="2">
        <v>3</v>
      </c>
      <c r="CJ2913" s="2">
        <v>1</v>
      </c>
      <c r="CK2913" s="2">
        <v>21</v>
      </c>
      <c r="CL2913" s="2" t="s">
        <v>89</v>
      </c>
    </row>
    <row r="2914" spans="1:90">
      <c r="A2914" s="2" t="s">
        <v>71</v>
      </c>
      <c r="B2914" s="2" t="s">
        <v>72</v>
      </c>
      <c r="C2914" s="2" t="s">
        <v>73</v>
      </c>
      <c r="E2914" s="2" t="str">
        <f>"FES1162597117"</f>
        <v>FES1162597117</v>
      </c>
      <c r="F2914" s="3">
        <v>43089</v>
      </c>
      <c r="G2914" s="2">
        <v>201806</v>
      </c>
      <c r="H2914" s="2" t="s">
        <v>74</v>
      </c>
      <c r="I2914" s="2" t="s">
        <v>75</v>
      </c>
      <c r="J2914" s="2" t="s">
        <v>97</v>
      </c>
      <c r="K2914" s="2" t="s">
        <v>77</v>
      </c>
      <c r="L2914" s="2" t="s">
        <v>173</v>
      </c>
      <c r="M2914" s="2" t="s">
        <v>174</v>
      </c>
      <c r="N2914" s="2" t="s">
        <v>1477</v>
      </c>
      <c r="O2914" s="2" t="s">
        <v>101</v>
      </c>
      <c r="P2914" s="2" t="str">
        <f>"2170604873                    "</f>
        <v xml:space="preserve">2170604873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6.43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</v>
      </c>
      <c r="BJ2914" s="2">
        <v>0.2</v>
      </c>
      <c r="BK2914" s="2">
        <v>1</v>
      </c>
      <c r="BL2914" s="2">
        <v>45.93</v>
      </c>
      <c r="BM2914" s="2">
        <v>6.43</v>
      </c>
      <c r="BN2914" s="2">
        <v>52.36</v>
      </c>
      <c r="BO2914" s="2">
        <v>52.36</v>
      </c>
      <c r="BQ2914" s="2" t="s">
        <v>82</v>
      </c>
      <c r="BR2914" s="2" t="s">
        <v>103</v>
      </c>
      <c r="BS2914" s="3">
        <v>43090</v>
      </c>
      <c r="BT2914" s="4">
        <v>0.44444444444444442</v>
      </c>
      <c r="BU2914" s="2" t="s">
        <v>2879</v>
      </c>
      <c r="BV2914" s="2" t="s">
        <v>85</v>
      </c>
      <c r="BY2914" s="2">
        <v>1200</v>
      </c>
      <c r="CC2914" s="2" t="s">
        <v>174</v>
      </c>
      <c r="CD2914" s="2">
        <v>7490</v>
      </c>
      <c r="CE2914" s="2" t="s">
        <v>2749</v>
      </c>
      <c r="CF2914" s="3">
        <v>43091</v>
      </c>
      <c r="CI2914" s="2">
        <v>1</v>
      </c>
      <c r="CJ2914" s="2">
        <v>1</v>
      </c>
      <c r="CK2914" s="2">
        <v>21</v>
      </c>
      <c r="CL2914" s="2" t="s">
        <v>89</v>
      </c>
    </row>
    <row r="2915" spans="1:90">
      <c r="A2915" s="2" t="s">
        <v>71</v>
      </c>
      <c r="B2915" s="2" t="s">
        <v>72</v>
      </c>
      <c r="C2915" s="2" t="s">
        <v>73</v>
      </c>
      <c r="E2915" s="2" t="str">
        <f>"FES1162596866"</f>
        <v>FES1162596866</v>
      </c>
      <c r="F2915" s="3">
        <v>43089</v>
      </c>
      <c r="G2915" s="2">
        <v>201806</v>
      </c>
      <c r="H2915" s="2" t="s">
        <v>74</v>
      </c>
      <c r="I2915" s="2" t="s">
        <v>75</v>
      </c>
      <c r="J2915" s="2" t="s">
        <v>97</v>
      </c>
      <c r="K2915" s="2" t="s">
        <v>77</v>
      </c>
      <c r="L2915" s="2" t="s">
        <v>106</v>
      </c>
      <c r="M2915" s="2" t="s">
        <v>107</v>
      </c>
      <c r="N2915" s="2" t="s">
        <v>427</v>
      </c>
      <c r="O2915" s="2" t="s">
        <v>101</v>
      </c>
      <c r="P2915" s="2" t="str">
        <f>"2170605741                    "</f>
        <v xml:space="preserve">2170605741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5.03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</v>
      </c>
      <c r="BJ2915" s="2">
        <v>0.2</v>
      </c>
      <c r="BK2915" s="2">
        <v>1</v>
      </c>
      <c r="BL2915" s="2">
        <v>35.89</v>
      </c>
      <c r="BM2915" s="2">
        <v>5.0199999999999996</v>
      </c>
      <c r="BN2915" s="2">
        <v>40.909999999999997</v>
      </c>
      <c r="BO2915" s="2">
        <v>40.909999999999997</v>
      </c>
      <c r="BQ2915" s="2" t="s">
        <v>102</v>
      </c>
      <c r="BR2915" s="2" t="s">
        <v>103</v>
      </c>
      <c r="BS2915" s="3">
        <v>43090</v>
      </c>
      <c r="BT2915" s="4">
        <v>0.4375</v>
      </c>
      <c r="BU2915" s="2" t="s">
        <v>428</v>
      </c>
      <c r="BV2915" s="2" t="s">
        <v>85</v>
      </c>
      <c r="BY2915" s="2">
        <v>1200</v>
      </c>
      <c r="CC2915" s="2" t="s">
        <v>107</v>
      </c>
      <c r="CD2915" s="2">
        <v>2091</v>
      </c>
      <c r="CE2915" s="2" t="s">
        <v>2749</v>
      </c>
      <c r="CF2915" s="3">
        <v>43096</v>
      </c>
      <c r="CI2915" s="2">
        <v>1</v>
      </c>
      <c r="CJ2915" s="2">
        <v>1</v>
      </c>
      <c r="CK2915" s="2">
        <v>22</v>
      </c>
      <c r="CL2915" s="2" t="s">
        <v>89</v>
      </c>
    </row>
    <row r="2916" spans="1:90">
      <c r="A2916" s="2" t="s">
        <v>71</v>
      </c>
      <c r="B2916" s="2" t="s">
        <v>72</v>
      </c>
      <c r="C2916" s="2" t="s">
        <v>73</v>
      </c>
      <c r="E2916" s="2" t="str">
        <f>"FES1162597041"</f>
        <v>FES1162597041</v>
      </c>
      <c r="F2916" s="3">
        <v>43089</v>
      </c>
      <c r="G2916" s="2">
        <v>201806</v>
      </c>
      <c r="H2916" s="2" t="s">
        <v>74</v>
      </c>
      <c r="I2916" s="2" t="s">
        <v>75</v>
      </c>
      <c r="J2916" s="2" t="s">
        <v>97</v>
      </c>
      <c r="K2916" s="2" t="s">
        <v>77</v>
      </c>
      <c r="L2916" s="2" t="s">
        <v>74</v>
      </c>
      <c r="M2916" s="2" t="s">
        <v>75</v>
      </c>
      <c r="N2916" s="2" t="s">
        <v>695</v>
      </c>
      <c r="O2916" s="2" t="s">
        <v>101</v>
      </c>
      <c r="P2916" s="2" t="str">
        <f>"2170608545                    "</f>
        <v xml:space="preserve">2170608545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5.03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35.89</v>
      </c>
      <c r="BM2916" s="2">
        <v>5.0199999999999996</v>
      </c>
      <c r="BN2916" s="2">
        <v>40.909999999999997</v>
      </c>
      <c r="BO2916" s="2">
        <v>40.909999999999997</v>
      </c>
      <c r="BQ2916" s="2" t="s">
        <v>696</v>
      </c>
      <c r="BR2916" s="2" t="s">
        <v>103</v>
      </c>
      <c r="BS2916" s="3">
        <v>43090</v>
      </c>
      <c r="BT2916" s="4">
        <v>0.36041666666666666</v>
      </c>
      <c r="BU2916" s="2" t="s">
        <v>2880</v>
      </c>
      <c r="BV2916" s="2" t="s">
        <v>85</v>
      </c>
      <c r="BY2916" s="2">
        <v>1200</v>
      </c>
      <c r="CA2916" s="2" t="s">
        <v>366</v>
      </c>
      <c r="CC2916" s="2" t="s">
        <v>75</v>
      </c>
      <c r="CD2916" s="2">
        <v>1601</v>
      </c>
      <c r="CE2916" s="2" t="s">
        <v>2749</v>
      </c>
      <c r="CF2916" s="3">
        <v>43091</v>
      </c>
      <c r="CI2916" s="2">
        <v>1</v>
      </c>
      <c r="CJ2916" s="2">
        <v>1</v>
      </c>
      <c r="CK2916" s="2">
        <v>22</v>
      </c>
      <c r="CL2916" s="2" t="s">
        <v>89</v>
      </c>
    </row>
    <row r="2917" spans="1:90">
      <c r="A2917" s="2" t="s">
        <v>71</v>
      </c>
      <c r="B2917" s="2" t="s">
        <v>72</v>
      </c>
      <c r="C2917" s="2" t="s">
        <v>73</v>
      </c>
      <c r="E2917" s="2" t="str">
        <f>"FES1162597149"</f>
        <v>FES1162597149</v>
      </c>
      <c r="F2917" s="3">
        <v>43089</v>
      </c>
      <c r="G2917" s="2">
        <v>201806</v>
      </c>
      <c r="H2917" s="2" t="s">
        <v>74</v>
      </c>
      <c r="I2917" s="2" t="s">
        <v>75</v>
      </c>
      <c r="J2917" s="2" t="s">
        <v>97</v>
      </c>
      <c r="K2917" s="2" t="s">
        <v>77</v>
      </c>
      <c r="L2917" s="2" t="s">
        <v>158</v>
      </c>
      <c r="M2917" s="2" t="s">
        <v>159</v>
      </c>
      <c r="N2917" s="2" t="s">
        <v>2014</v>
      </c>
      <c r="O2917" s="2" t="s">
        <v>101</v>
      </c>
      <c r="P2917" s="2" t="str">
        <f>"2170607141                    "</f>
        <v xml:space="preserve">2170607141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6.43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1</v>
      </c>
      <c r="BJ2917" s="2">
        <v>0.2</v>
      </c>
      <c r="BK2917" s="2">
        <v>1</v>
      </c>
      <c r="BL2917" s="2">
        <v>45.93</v>
      </c>
      <c r="BM2917" s="2">
        <v>6.43</v>
      </c>
      <c r="BN2917" s="2">
        <v>52.36</v>
      </c>
      <c r="BO2917" s="2">
        <v>52.36</v>
      </c>
      <c r="BQ2917" s="2" t="s">
        <v>2881</v>
      </c>
      <c r="BR2917" s="2" t="s">
        <v>103</v>
      </c>
      <c r="BS2917" s="3">
        <v>43090</v>
      </c>
      <c r="BT2917" s="4">
        <v>0.44722222222222219</v>
      </c>
      <c r="BU2917" s="2" t="s">
        <v>867</v>
      </c>
      <c r="BV2917" s="2" t="s">
        <v>85</v>
      </c>
      <c r="BY2917" s="2">
        <v>1200</v>
      </c>
      <c r="CC2917" s="2" t="s">
        <v>159</v>
      </c>
      <c r="CD2917" s="2">
        <v>30</v>
      </c>
      <c r="CE2917" s="2" t="s">
        <v>2749</v>
      </c>
      <c r="CF2917" s="3">
        <v>43091</v>
      </c>
      <c r="CI2917" s="2">
        <v>1</v>
      </c>
      <c r="CJ2917" s="2">
        <v>1</v>
      </c>
      <c r="CK2917" s="2">
        <v>21</v>
      </c>
      <c r="CL2917" s="2" t="s">
        <v>89</v>
      </c>
    </row>
    <row r="2918" spans="1:90">
      <c r="A2918" s="2" t="s">
        <v>71</v>
      </c>
      <c r="B2918" s="2" t="s">
        <v>72</v>
      </c>
      <c r="C2918" s="2" t="s">
        <v>73</v>
      </c>
      <c r="E2918" s="2" t="str">
        <f>"FES1162597105"</f>
        <v>FES1162597105</v>
      </c>
      <c r="F2918" s="3">
        <v>43089</v>
      </c>
      <c r="G2918" s="2">
        <v>201806</v>
      </c>
      <c r="H2918" s="2" t="s">
        <v>74</v>
      </c>
      <c r="I2918" s="2" t="s">
        <v>75</v>
      </c>
      <c r="J2918" s="2" t="s">
        <v>97</v>
      </c>
      <c r="K2918" s="2" t="s">
        <v>77</v>
      </c>
      <c r="L2918" s="2" t="s">
        <v>136</v>
      </c>
      <c r="M2918" s="2" t="s">
        <v>137</v>
      </c>
      <c r="N2918" s="2" t="s">
        <v>2882</v>
      </c>
      <c r="O2918" s="2" t="s">
        <v>101</v>
      </c>
      <c r="P2918" s="2" t="str">
        <f>"2170608584                    "</f>
        <v xml:space="preserve">2170608584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6.43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</v>
      </c>
      <c r="BJ2918" s="2">
        <v>0.2</v>
      </c>
      <c r="BK2918" s="2">
        <v>1</v>
      </c>
      <c r="BL2918" s="2">
        <v>45.93</v>
      </c>
      <c r="BM2918" s="2">
        <v>6.43</v>
      </c>
      <c r="BN2918" s="2">
        <v>52.36</v>
      </c>
      <c r="BO2918" s="2">
        <v>52.36</v>
      </c>
      <c r="BQ2918" s="2" t="s">
        <v>102</v>
      </c>
      <c r="BR2918" s="2" t="s">
        <v>103</v>
      </c>
      <c r="BS2918" s="3">
        <v>43090</v>
      </c>
      <c r="BT2918" s="4">
        <v>0.39861111111111108</v>
      </c>
      <c r="BU2918" s="2" t="s">
        <v>2642</v>
      </c>
      <c r="BV2918" s="2" t="s">
        <v>85</v>
      </c>
      <c r="BY2918" s="2">
        <v>1200</v>
      </c>
      <c r="CA2918" s="2" t="s">
        <v>180</v>
      </c>
      <c r="CC2918" s="2" t="s">
        <v>137</v>
      </c>
      <c r="CD2918" s="2">
        <v>6000</v>
      </c>
      <c r="CE2918" s="2" t="s">
        <v>2749</v>
      </c>
      <c r="CF2918" s="3">
        <v>43096</v>
      </c>
      <c r="CI2918" s="2">
        <v>1</v>
      </c>
      <c r="CJ2918" s="2">
        <v>1</v>
      </c>
      <c r="CK2918" s="2">
        <v>21</v>
      </c>
      <c r="CL2918" s="2" t="s">
        <v>89</v>
      </c>
    </row>
    <row r="2919" spans="1:90">
      <c r="A2919" s="2" t="s">
        <v>71</v>
      </c>
      <c r="B2919" s="2" t="s">
        <v>72</v>
      </c>
      <c r="C2919" s="2" t="s">
        <v>73</v>
      </c>
      <c r="E2919" s="2" t="str">
        <f>"FES1162596993"</f>
        <v>FES1162596993</v>
      </c>
      <c r="F2919" s="3">
        <v>43089</v>
      </c>
      <c r="G2919" s="2">
        <v>201806</v>
      </c>
      <c r="H2919" s="2" t="s">
        <v>74</v>
      </c>
      <c r="I2919" s="2" t="s">
        <v>75</v>
      </c>
      <c r="J2919" s="2" t="s">
        <v>97</v>
      </c>
      <c r="K2919" s="2" t="s">
        <v>77</v>
      </c>
      <c r="L2919" s="2" t="s">
        <v>106</v>
      </c>
      <c r="M2919" s="2" t="s">
        <v>107</v>
      </c>
      <c r="N2919" s="2" t="s">
        <v>108</v>
      </c>
      <c r="O2919" s="2" t="s">
        <v>101</v>
      </c>
      <c r="P2919" s="2" t="str">
        <f>"2170608336                    "</f>
        <v xml:space="preserve">2170608336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5.03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</v>
      </c>
      <c r="BJ2919" s="2">
        <v>0.2</v>
      </c>
      <c r="BK2919" s="2">
        <v>1</v>
      </c>
      <c r="BL2919" s="2">
        <v>35.89</v>
      </c>
      <c r="BM2919" s="2">
        <v>5.0199999999999996</v>
      </c>
      <c r="BN2919" s="2">
        <v>40.909999999999997</v>
      </c>
      <c r="BO2919" s="2">
        <v>40.909999999999997</v>
      </c>
      <c r="BQ2919" s="2" t="s">
        <v>82</v>
      </c>
      <c r="BR2919" s="2" t="s">
        <v>103</v>
      </c>
      <c r="BS2919" s="3">
        <v>43090</v>
      </c>
      <c r="BT2919" s="4">
        <v>0.3888888888888889</v>
      </c>
      <c r="BU2919" s="2" t="s">
        <v>328</v>
      </c>
      <c r="BV2919" s="2" t="s">
        <v>85</v>
      </c>
      <c r="BY2919" s="2">
        <v>1200</v>
      </c>
      <c r="CC2919" s="2" t="s">
        <v>107</v>
      </c>
      <c r="CD2919" s="2">
        <v>2094</v>
      </c>
      <c r="CE2919" s="2" t="s">
        <v>2749</v>
      </c>
      <c r="CF2919" s="3">
        <v>43096</v>
      </c>
      <c r="CI2919" s="2">
        <v>1</v>
      </c>
      <c r="CJ2919" s="2">
        <v>1</v>
      </c>
      <c r="CK2919" s="2">
        <v>22</v>
      </c>
      <c r="CL2919" s="2" t="s">
        <v>89</v>
      </c>
    </row>
    <row r="2920" spans="1:90">
      <c r="A2920" s="2" t="s">
        <v>71</v>
      </c>
      <c r="B2920" s="2" t="s">
        <v>72</v>
      </c>
      <c r="C2920" s="2" t="s">
        <v>73</v>
      </c>
      <c r="E2920" s="2" t="str">
        <f>"FES1162597125"</f>
        <v>FES1162597125</v>
      </c>
      <c r="F2920" s="3">
        <v>43089</v>
      </c>
      <c r="G2920" s="2">
        <v>201806</v>
      </c>
      <c r="H2920" s="2" t="s">
        <v>74</v>
      </c>
      <c r="I2920" s="2" t="s">
        <v>75</v>
      </c>
      <c r="J2920" s="2" t="s">
        <v>97</v>
      </c>
      <c r="K2920" s="2" t="s">
        <v>77</v>
      </c>
      <c r="L2920" s="2" t="s">
        <v>158</v>
      </c>
      <c r="M2920" s="2" t="s">
        <v>159</v>
      </c>
      <c r="N2920" s="2" t="s">
        <v>2883</v>
      </c>
      <c r="O2920" s="2" t="s">
        <v>101</v>
      </c>
      <c r="P2920" s="2" t="str">
        <f>"2170605217                    "</f>
        <v xml:space="preserve">2170605217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6.43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</v>
      </c>
      <c r="BJ2920" s="2">
        <v>0.2</v>
      </c>
      <c r="BK2920" s="2">
        <v>1</v>
      </c>
      <c r="BL2920" s="2">
        <v>45.93</v>
      </c>
      <c r="BM2920" s="2">
        <v>6.43</v>
      </c>
      <c r="BN2920" s="2">
        <v>52.36</v>
      </c>
      <c r="BO2920" s="2">
        <v>52.36</v>
      </c>
      <c r="BR2920" s="2" t="s">
        <v>103</v>
      </c>
      <c r="BS2920" s="3">
        <v>43090</v>
      </c>
      <c r="BT2920" s="4">
        <v>0.42708333333333331</v>
      </c>
      <c r="BU2920" s="2" t="s">
        <v>200</v>
      </c>
      <c r="BV2920" s="2" t="s">
        <v>85</v>
      </c>
      <c r="BY2920" s="2">
        <v>1200</v>
      </c>
      <c r="CC2920" s="2" t="s">
        <v>159</v>
      </c>
      <c r="CD2920" s="2">
        <v>200</v>
      </c>
      <c r="CE2920" s="2" t="s">
        <v>2749</v>
      </c>
      <c r="CF2920" s="3">
        <v>43091</v>
      </c>
      <c r="CI2920" s="2">
        <v>1</v>
      </c>
      <c r="CJ2920" s="2">
        <v>1</v>
      </c>
      <c r="CK2920" s="2">
        <v>21</v>
      </c>
      <c r="CL2920" s="2" t="s">
        <v>89</v>
      </c>
    </row>
    <row r="2921" spans="1:90">
      <c r="A2921" s="2" t="s">
        <v>71</v>
      </c>
      <c r="B2921" s="2" t="s">
        <v>72</v>
      </c>
      <c r="C2921" s="2" t="s">
        <v>73</v>
      </c>
      <c r="E2921" s="2" t="str">
        <f>"FES1162597147"</f>
        <v>FES1162597147</v>
      </c>
      <c r="F2921" s="3">
        <v>43089</v>
      </c>
      <c r="G2921" s="2">
        <v>201806</v>
      </c>
      <c r="H2921" s="2" t="s">
        <v>74</v>
      </c>
      <c r="I2921" s="2" t="s">
        <v>75</v>
      </c>
      <c r="J2921" s="2" t="s">
        <v>97</v>
      </c>
      <c r="K2921" s="2" t="s">
        <v>77</v>
      </c>
      <c r="L2921" s="2" t="s">
        <v>136</v>
      </c>
      <c r="M2921" s="2" t="s">
        <v>137</v>
      </c>
      <c r="N2921" s="2" t="s">
        <v>823</v>
      </c>
      <c r="O2921" s="2" t="s">
        <v>101</v>
      </c>
      <c r="P2921" s="2" t="str">
        <f>"217060677                     "</f>
        <v xml:space="preserve">217060677 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6.43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1</v>
      </c>
      <c r="BJ2921" s="2">
        <v>0.2</v>
      </c>
      <c r="BK2921" s="2">
        <v>1</v>
      </c>
      <c r="BL2921" s="2">
        <v>45.93</v>
      </c>
      <c r="BM2921" s="2">
        <v>6.43</v>
      </c>
      <c r="BN2921" s="2">
        <v>52.36</v>
      </c>
      <c r="BO2921" s="2">
        <v>52.36</v>
      </c>
      <c r="BQ2921" s="2" t="s">
        <v>924</v>
      </c>
      <c r="BR2921" s="2" t="s">
        <v>103</v>
      </c>
      <c r="BS2921" s="2" t="s">
        <v>185</v>
      </c>
      <c r="BY2921" s="2">
        <v>1200</v>
      </c>
      <c r="CC2921" s="2" t="s">
        <v>137</v>
      </c>
      <c r="CD2921" s="2">
        <v>6001</v>
      </c>
      <c r="CE2921" s="2" t="s">
        <v>2749</v>
      </c>
      <c r="CI2921" s="2">
        <v>1</v>
      </c>
      <c r="CJ2921" s="2" t="s">
        <v>185</v>
      </c>
      <c r="CK2921" s="2">
        <v>21</v>
      </c>
      <c r="CL2921" s="2" t="s">
        <v>89</v>
      </c>
    </row>
    <row r="2922" spans="1:90">
      <c r="A2922" s="2" t="s">
        <v>71</v>
      </c>
      <c r="B2922" s="2" t="s">
        <v>72</v>
      </c>
      <c r="C2922" s="2" t="s">
        <v>73</v>
      </c>
      <c r="E2922" s="2" t="str">
        <f>"FES1162596933"</f>
        <v>FES1162596933</v>
      </c>
      <c r="F2922" s="3">
        <v>43089</v>
      </c>
      <c r="G2922" s="2">
        <v>201806</v>
      </c>
      <c r="H2922" s="2" t="s">
        <v>74</v>
      </c>
      <c r="I2922" s="2" t="s">
        <v>75</v>
      </c>
      <c r="J2922" s="2" t="s">
        <v>97</v>
      </c>
      <c r="K2922" s="2" t="s">
        <v>77</v>
      </c>
      <c r="L2922" s="2" t="s">
        <v>1789</v>
      </c>
      <c r="M2922" s="2" t="s">
        <v>1790</v>
      </c>
      <c r="N2922" s="2" t="s">
        <v>2517</v>
      </c>
      <c r="O2922" s="2" t="s">
        <v>101</v>
      </c>
      <c r="P2922" s="2" t="str">
        <f>"2170603081                    "</f>
        <v xml:space="preserve">2170603081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9.0500000000000007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</v>
      </c>
      <c r="BJ2922" s="2">
        <v>0.2</v>
      </c>
      <c r="BK2922" s="2">
        <v>1</v>
      </c>
      <c r="BL2922" s="2">
        <v>64.599999999999994</v>
      </c>
      <c r="BM2922" s="2">
        <v>9.0399999999999991</v>
      </c>
      <c r="BN2922" s="2">
        <v>73.64</v>
      </c>
      <c r="BO2922" s="2">
        <v>73.64</v>
      </c>
      <c r="BQ2922" s="2" t="s">
        <v>2518</v>
      </c>
      <c r="BR2922" s="2" t="s">
        <v>103</v>
      </c>
      <c r="BS2922" s="2" t="s">
        <v>185</v>
      </c>
      <c r="BY2922" s="2">
        <v>1200</v>
      </c>
      <c r="CC2922" s="2" t="s">
        <v>1790</v>
      </c>
      <c r="CD2922" s="2">
        <v>1779</v>
      </c>
      <c r="CE2922" s="2" t="s">
        <v>2749</v>
      </c>
      <c r="CI2922" s="2">
        <v>1</v>
      </c>
      <c r="CJ2922" s="2" t="s">
        <v>185</v>
      </c>
      <c r="CK2922" s="2">
        <v>24</v>
      </c>
      <c r="CL2922" s="2" t="s">
        <v>89</v>
      </c>
    </row>
    <row r="2923" spans="1:90">
      <c r="A2923" s="2" t="s">
        <v>71</v>
      </c>
      <c r="B2923" s="2" t="s">
        <v>72</v>
      </c>
      <c r="C2923" s="2" t="s">
        <v>73</v>
      </c>
      <c r="E2923" s="2" t="str">
        <f>"FES1162596881"</f>
        <v>FES1162596881</v>
      </c>
      <c r="F2923" s="3">
        <v>43089</v>
      </c>
      <c r="G2923" s="2">
        <v>201806</v>
      </c>
      <c r="H2923" s="2" t="s">
        <v>74</v>
      </c>
      <c r="I2923" s="2" t="s">
        <v>75</v>
      </c>
      <c r="J2923" s="2" t="s">
        <v>97</v>
      </c>
      <c r="K2923" s="2" t="s">
        <v>77</v>
      </c>
      <c r="L2923" s="2" t="s">
        <v>162</v>
      </c>
      <c r="M2923" s="2" t="s">
        <v>163</v>
      </c>
      <c r="N2923" s="2" t="s">
        <v>1635</v>
      </c>
      <c r="O2923" s="2" t="s">
        <v>101</v>
      </c>
      <c r="P2923" s="2" t="str">
        <f>"2170605864                    "</f>
        <v xml:space="preserve">2170605864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5.03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</v>
      </c>
      <c r="BJ2923" s="2">
        <v>0.2</v>
      </c>
      <c r="BK2923" s="2">
        <v>1</v>
      </c>
      <c r="BL2923" s="2">
        <v>35.89</v>
      </c>
      <c r="BM2923" s="2">
        <v>5.0199999999999996</v>
      </c>
      <c r="BN2923" s="2">
        <v>40.909999999999997</v>
      </c>
      <c r="BO2923" s="2">
        <v>40.909999999999997</v>
      </c>
      <c r="BQ2923" s="2" t="s">
        <v>1636</v>
      </c>
      <c r="BR2923" s="2" t="s">
        <v>103</v>
      </c>
      <c r="BS2923" s="3">
        <v>43090</v>
      </c>
      <c r="BT2923" s="4">
        <v>0.47847222222222219</v>
      </c>
      <c r="BU2923" s="2" t="s">
        <v>2884</v>
      </c>
      <c r="BV2923" s="2" t="s">
        <v>89</v>
      </c>
      <c r="BY2923" s="2">
        <v>1200</v>
      </c>
      <c r="CA2923" s="2" t="s">
        <v>400</v>
      </c>
      <c r="CC2923" s="2" t="s">
        <v>163</v>
      </c>
      <c r="CD2923" s="2">
        <v>1449</v>
      </c>
      <c r="CE2923" s="2" t="s">
        <v>2749</v>
      </c>
      <c r="CF2923" s="3">
        <v>43091</v>
      </c>
      <c r="CI2923" s="2">
        <v>1</v>
      </c>
      <c r="CJ2923" s="2">
        <v>1</v>
      </c>
      <c r="CK2923" s="2">
        <v>22</v>
      </c>
      <c r="CL2923" s="2" t="s">
        <v>89</v>
      </c>
    </row>
    <row r="2924" spans="1:90">
      <c r="A2924" s="2" t="s">
        <v>71</v>
      </c>
      <c r="B2924" s="2" t="s">
        <v>72</v>
      </c>
      <c r="C2924" s="2" t="s">
        <v>73</v>
      </c>
      <c r="E2924" s="2" t="str">
        <f>"FES1162596831"</f>
        <v>FES1162596831</v>
      </c>
      <c r="F2924" s="3">
        <v>43089</v>
      </c>
      <c r="G2924" s="2">
        <v>201806</v>
      </c>
      <c r="H2924" s="2" t="s">
        <v>74</v>
      </c>
      <c r="I2924" s="2" t="s">
        <v>75</v>
      </c>
      <c r="J2924" s="2" t="s">
        <v>97</v>
      </c>
      <c r="K2924" s="2" t="s">
        <v>77</v>
      </c>
      <c r="L2924" s="2" t="s">
        <v>106</v>
      </c>
      <c r="M2924" s="2" t="s">
        <v>107</v>
      </c>
      <c r="N2924" s="2" t="s">
        <v>427</v>
      </c>
      <c r="O2924" s="2" t="s">
        <v>101</v>
      </c>
      <c r="P2924" s="2" t="str">
        <f>"2170604790                    "</f>
        <v xml:space="preserve">2170604790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5.03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1</v>
      </c>
      <c r="BJ2924" s="2">
        <v>0.2</v>
      </c>
      <c r="BK2924" s="2">
        <v>1</v>
      </c>
      <c r="BL2924" s="2">
        <v>35.89</v>
      </c>
      <c r="BM2924" s="2">
        <v>5.0199999999999996</v>
      </c>
      <c r="BN2924" s="2">
        <v>40.909999999999997</v>
      </c>
      <c r="BO2924" s="2">
        <v>40.909999999999997</v>
      </c>
      <c r="BQ2924" s="2" t="s">
        <v>102</v>
      </c>
      <c r="BR2924" s="2" t="s">
        <v>103</v>
      </c>
      <c r="BS2924" s="3">
        <v>43090</v>
      </c>
      <c r="BT2924" s="4">
        <v>0.4375</v>
      </c>
      <c r="BU2924" s="2" t="s">
        <v>428</v>
      </c>
      <c r="BV2924" s="2" t="s">
        <v>85</v>
      </c>
      <c r="BY2924" s="2">
        <v>1200</v>
      </c>
      <c r="CC2924" s="2" t="s">
        <v>107</v>
      </c>
      <c r="CD2924" s="2">
        <v>2091</v>
      </c>
      <c r="CE2924" s="2" t="s">
        <v>2749</v>
      </c>
      <c r="CF2924" s="3">
        <v>43096</v>
      </c>
      <c r="CI2924" s="2">
        <v>1</v>
      </c>
      <c r="CJ2924" s="2">
        <v>1</v>
      </c>
      <c r="CK2924" s="2">
        <v>22</v>
      </c>
      <c r="CL2924" s="2" t="s">
        <v>89</v>
      </c>
    </row>
    <row r="2925" spans="1:90">
      <c r="A2925" s="2" t="s">
        <v>71</v>
      </c>
      <c r="B2925" s="2" t="s">
        <v>72</v>
      </c>
      <c r="C2925" s="2" t="s">
        <v>73</v>
      </c>
      <c r="E2925" s="2" t="str">
        <f>"FES1162596987"</f>
        <v>FES1162596987</v>
      </c>
      <c r="F2925" s="3">
        <v>43089</v>
      </c>
      <c r="G2925" s="2">
        <v>201806</v>
      </c>
      <c r="H2925" s="2" t="s">
        <v>74</v>
      </c>
      <c r="I2925" s="2" t="s">
        <v>75</v>
      </c>
      <c r="J2925" s="2" t="s">
        <v>97</v>
      </c>
      <c r="K2925" s="2" t="s">
        <v>77</v>
      </c>
      <c r="L2925" s="2" t="s">
        <v>440</v>
      </c>
      <c r="M2925" s="2" t="s">
        <v>441</v>
      </c>
      <c r="N2925" s="2" t="s">
        <v>442</v>
      </c>
      <c r="O2925" s="2" t="s">
        <v>101</v>
      </c>
      <c r="P2925" s="2" t="str">
        <f>"2170607859                    "</f>
        <v xml:space="preserve">2170607859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9.0500000000000007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</v>
      </c>
      <c r="BJ2925" s="2">
        <v>0.2</v>
      </c>
      <c r="BK2925" s="2">
        <v>1</v>
      </c>
      <c r="BL2925" s="2">
        <v>64.599999999999994</v>
      </c>
      <c r="BM2925" s="2">
        <v>9.0399999999999991</v>
      </c>
      <c r="BN2925" s="2">
        <v>73.64</v>
      </c>
      <c r="BO2925" s="2">
        <v>73.64</v>
      </c>
      <c r="BQ2925" s="2" t="s">
        <v>102</v>
      </c>
      <c r="BR2925" s="2" t="s">
        <v>103</v>
      </c>
      <c r="BS2925" s="3">
        <v>43090</v>
      </c>
      <c r="BT2925" s="4">
        <v>0.76180555555555562</v>
      </c>
      <c r="BU2925" s="2" t="s">
        <v>2885</v>
      </c>
      <c r="BV2925" s="2" t="s">
        <v>89</v>
      </c>
      <c r="BY2925" s="2">
        <v>1200</v>
      </c>
      <c r="CA2925" s="2" t="s">
        <v>2886</v>
      </c>
      <c r="CC2925" s="2" t="s">
        <v>441</v>
      </c>
      <c r="CD2925" s="2">
        <v>1759</v>
      </c>
      <c r="CE2925" s="2" t="s">
        <v>2749</v>
      </c>
      <c r="CF2925" s="3">
        <v>43091</v>
      </c>
      <c r="CI2925" s="2">
        <v>1</v>
      </c>
      <c r="CJ2925" s="2">
        <v>1</v>
      </c>
      <c r="CK2925" s="2">
        <v>24</v>
      </c>
      <c r="CL2925" s="2" t="s">
        <v>89</v>
      </c>
    </row>
    <row r="2926" spans="1:90">
      <c r="A2926" s="2" t="s">
        <v>71</v>
      </c>
      <c r="B2926" s="2" t="s">
        <v>72</v>
      </c>
      <c r="C2926" s="2" t="s">
        <v>73</v>
      </c>
      <c r="E2926" s="2" t="str">
        <f>"FES1162597113"</f>
        <v>FES1162597113</v>
      </c>
      <c r="F2926" s="3">
        <v>43089</v>
      </c>
      <c r="G2926" s="2">
        <v>201806</v>
      </c>
      <c r="H2926" s="2" t="s">
        <v>74</v>
      </c>
      <c r="I2926" s="2" t="s">
        <v>75</v>
      </c>
      <c r="J2926" s="2" t="s">
        <v>97</v>
      </c>
      <c r="K2926" s="2" t="s">
        <v>77</v>
      </c>
      <c r="L2926" s="2" t="s">
        <v>74</v>
      </c>
      <c r="M2926" s="2" t="s">
        <v>75</v>
      </c>
      <c r="N2926" s="2" t="s">
        <v>201</v>
      </c>
      <c r="O2926" s="2" t="s">
        <v>101</v>
      </c>
      <c r="P2926" s="2" t="str">
        <f>"2170604474                    "</f>
        <v xml:space="preserve">2170604474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5.03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7.9</v>
      </c>
      <c r="BJ2926" s="2">
        <v>4.7</v>
      </c>
      <c r="BK2926" s="2">
        <v>8</v>
      </c>
      <c r="BL2926" s="2">
        <v>35.89</v>
      </c>
      <c r="BM2926" s="2">
        <v>5.0199999999999996</v>
      </c>
      <c r="BN2926" s="2">
        <v>40.909999999999997</v>
      </c>
      <c r="BO2926" s="2">
        <v>40.909999999999997</v>
      </c>
      <c r="BQ2926" s="2" t="s">
        <v>102</v>
      </c>
      <c r="BR2926" s="2" t="s">
        <v>103</v>
      </c>
      <c r="BS2926" s="3">
        <v>43090</v>
      </c>
      <c r="BT2926" s="4">
        <v>0.41666666666666669</v>
      </c>
      <c r="BU2926" s="2" t="s">
        <v>205</v>
      </c>
      <c r="BV2926" s="2" t="s">
        <v>85</v>
      </c>
      <c r="BY2926" s="2">
        <v>23612.18</v>
      </c>
      <c r="CC2926" s="2" t="s">
        <v>75</v>
      </c>
      <c r="CD2926" s="2">
        <v>1665</v>
      </c>
      <c r="CE2926" s="2" t="s">
        <v>2858</v>
      </c>
      <c r="CF2926" s="3">
        <v>43091</v>
      </c>
      <c r="CI2926" s="2">
        <v>1</v>
      </c>
      <c r="CJ2926" s="2">
        <v>1</v>
      </c>
      <c r="CK2926" s="2">
        <v>22</v>
      </c>
      <c r="CL2926" s="2" t="s">
        <v>89</v>
      </c>
    </row>
    <row r="2927" spans="1:90">
      <c r="A2927" s="2" t="s">
        <v>71</v>
      </c>
      <c r="B2927" s="2" t="s">
        <v>72</v>
      </c>
      <c r="C2927" s="2" t="s">
        <v>73</v>
      </c>
      <c r="E2927" s="2" t="str">
        <f>"FES1162596870"</f>
        <v>FES1162596870</v>
      </c>
      <c r="F2927" s="3">
        <v>43089</v>
      </c>
      <c r="G2927" s="2">
        <v>201806</v>
      </c>
      <c r="H2927" s="2" t="s">
        <v>74</v>
      </c>
      <c r="I2927" s="2" t="s">
        <v>75</v>
      </c>
      <c r="J2927" s="2" t="s">
        <v>97</v>
      </c>
      <c r="K2927" s="2" t="s">
        <v>77</v>
      </c>
      <c r="L2927" s="2" t="s">
        <v>152</v>
      </c>
      <c r="M2927" s="2" t="s">
        <v>153</v>
      </c>
      <c r="N2927" s="2" t="s">
        <v>2002</v>
      </c>
      <c r="O2927" s="2" t="s">
        <v>101</v>
      </c>
      <c r="P2927" s="2" t="str">
        <f>"2170607579                    "</f>
        <v xml:space="preserve">2170607579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5.63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8.5</v>
      </c>
      <c r="BJ2927" s="2">
        <v>1.9</v>
      </c>
      <c r="BK2927" s="2">
        <v>9</v>
      </c>
      <c r="BL2927" s="2">
        <v>40.19</v>
      </c>
      <c r="BM2927" s="2">
        <v>5.63</v>
      </c>
      <c r="BN2927" s="2">
        <v>45.82</v>
      </c>
      <c r="BO2927" s="2">
        <v>45.82</v>
      </c>
      <c r="BQ2927" s="2" t="s">
        <v>2003</v>
      </c>
      <c r="BR2927" s="2" t="s">
        <v>103</v>
      </c>
      <c r="BS2927" s="3">
        <v>43090</v>
      </c>
      <c r="BT2927" s="4">
        <v>0.40625</v>
      </c>
      <c r="BU2927" s="2" t="s">
        <v>2887</v>
      </c>
      <c r="BV2927" s="2" t="s">
        <v>85</v>
      </c>
      <c r="BY2927" s="2">
        <v>9596.16</v>
      </c>
      <c r="CA2927" s="2" t="s">
        <v>439</v>
      </c>
      <c r="CC2927" s="2" t="s">
        <v>153</v>
      </c>
      <c r="CD2927" s="2">
        <v>1422</v>
      </c>
      <c r="CE2927" s="2" t="s">
        <v>2858</v>
      </c>
      <c r="CF2927" s="3">
        <v>43096</v>
      </c>
      <c r="CI2927" s="2">
        <v>1</v>
      </c>
      <c r="CJ2927" s="2">
        <v>1</v>
      </c>
      <c r="CK2927" s="2">
        <v>22</v>
      </c>
      <c r="CL2927" s="2" t="s">
        <v>89</v>
      </c>
    </row>
    <row r="2928" spans="1:90">
      <c r="A2928" s="2" t="s">
        <v>71</v>
      </c>
      <c r="B2928" s="2" t="s">
        <v>72</v>
      </c>
      <c r="C2928" s="2" t="s">
        <v>73</v>
      </c>
      <c r="E2928" s="2" t="str">
        <f>"FES1162596962"</f>
        <v>FES1162596962</v>
      </c>
      <c r="F2928" s="3">
        <v>43089</v>
      </c>
      <c r="G2928" s="2">
        <v>201806</v>
      </c>
      <c r="H2928" s="2" t="s">
        <v>74</v>
      </c>
      <c r="I2928" s="2" t="s">
        <v>75</v>
      </c>
      <c r="J2928" s="2" t="s">
        <v>97</v>
      </c>
      <c r="K2928" s="2" t="s">
        <v>77</v>
      </c>
      <c r="L2928" s="2" t="s">
        <v>152</v>
      </c>
      <c r="M2928" s="2" t="s">
        <v>153</v>
      </c>
      <c r="N2928" s="2" t="s">
        <v>603</v>
      </c>
      <c r="O2928" s="2" t="s">
        <v>101</v>
      </c>
      <c r="P2928" s="2" t="str">
        <f>"2170602578                    "</f>
        <v xml:space="preserve">2170602578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5.03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0.8</v>
      </c>
      <c r="BJ2928" s="2">
        <v>1.3</v>
      </c>
      <c r="BK2928" s="2">
        <v>2</v>
      </c>
      <c r="BL2928" s="2">
        <v>35.89</v>
      </c>
      <c r="BM2928" s="2">
        <v>5.0199999999999996</v>
      </c>
      <c r="BN2928" s="2">
        <v>40.909999999999997</v>
      </c>
      <c r="BO2928" s="2">
        <v>40.909999999999997</v>
      </c>
      <c r="BQ2928" s="2" t="s">
        <v>707</v>
      </c>
      <c r="BR2928" s="2" t="s">
        <v>103</v>
      </c>
      <c r="BS2928" s="3">
        <v>43090</v>
      </c>
      <c r="BT2928" s="4">
        <v>0.38125000000000003</v>
      </c>
      <c r="BU2928" s="2" t="s">
        <v>2888</v>
      </c>
      <c r="BV2928" s="2" t="s">
        <v>85</v>
      </c>
      <c r="BY2928" s="2">
        <v>6448.44</v>
      </c>
      <c r="CA2928" s="2" t="s">
        <v>439</v>
      </c>
      <c r="CC2928" s="2" t="s">
        <v>153</v>
      </c>
      <c r="CD2928" s="2">
        <v>1422</v>
      </c>
      <c r="CE2928" s="2" t="s">
        <v>2858</v>
      </c>
      <c r="CF2928" s="3">
        <v>43096</v>
      </c>
      <c r="CI2928" s="2">
        <v>1</v>
      </c>
      <c r="CJ2928" s="2">
        <v>1</v>
      </c>
      <c r="CK2928" s="2">
        <v>22</v>
      </c>
      <c r="CL2928" s="2" t="s">
        <v>89</v>
      </c>
    </row>
    <row r="2929" spans="1:90">
      <c r="A2929" s="2" t="s">
        <v>71</v>
      </c>
      <c r="B2929" s="2" t="s">
        <v>72</v>
      </c>
      <c r="C2929" s="2" t="s">
        <v>73</v>
      </c>
      <c r="E2929" s="2" t="str">
        <f>"FES1162596921"</f>
        <v>FES1162596921</v>
      </c>
      <c r="F2929" s="3">
        <v>43089</v>
      </c>
      <c r="G2929" s="2">
        <v>201806</v>
      </c>
      <c r="H2929" s="2" t="s">
        <v>74</v>
      </c>
      <c r="I2929" s="2" t="s">
        <v>75</v>
      </c>
      <c r="J2929" s="2" t="s">
        <v>97</v>
      </c>
      <c r="K2929" s="2" t="s">
        <v>77</v>
      </c>
      <c r="L2929" s="2" t="s">
        <v>106</v>
      </c>
      <c r="M2929" s="2" t="s">
        <v>107</v>
      </c>
      <c r="N2929" s="2" t="s">
        <v>1785</v>
      </c>
      <c r="O2929" s="2" t="s">
        <v>101</v>
      </c>
      <c r="P2929" s="2" t="str">
        <f>"2170608449                    "</f>
        <v xml:space="preserve">2170608449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5.03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4</v>
      </c>
      <c r="BJ2929" s="2">
        <v>1.3</v>
      </c>
      <c r="BK2929" s="2">
        <v>4</v>
      </c>
      <c r="BL2929" s="2">
        <v>35.89</v>
      </c>
      <c r="BM2929" s="2">
        <v>5.0199999999999996</v>
      </c>
      <c r="BN2929" s="2">
        <v>40.909999999999997</v>
      </c>
      <c r="BO2929" s="2">
        <v>40.909999999999997</v>
      </c>
      <c r="BQ2929" s="2" t="s">
        <v>128</v>
      </c>
      <c r="BR2929" s="2" t="s">
        <v>103</v>
      </c>
      <c r="BS2929" s="3">
        <v>43090</v>
      </c>
      <c r="BT2929" s="4">
        <v>0.4375</v>
      </c>
      <c r="BU2929" s="2" t="s">
        <v>1786</v>
      </c>
      <c r="BV2929" s="2" t="s">
        <v>85</v>
      </c>
      <c r="BY2929" s="2">
        <v>6480</v>
      </c>
      <c r="CC2929" s="2" t="s">
        <v>107</v>
      </c>
      <c r="CD2929" s="2">
        <v>2013</v>
      </c>
      <c r="CE2929" s="2" t="s">
        <v>2863</v>
      </c>
      <c r="CF2929" s="3">
        <v>43096</v>
      </c>
      <c r="CI2929" s="2">
        <v>1</v>
      </c>
      <c r="CJ2929" s="2">
        <v>1</v>
      </c>
      <c r="CK2929" s="2">
        <v>22</v>
      </c>
      <c r="CL2929" s="2" t="s">
        <v>89</v>
      </c>
    </row>
    <row r="2930" spans="1:90">
      <c r="A2930" s="2" t="s">
        <v>71</v>
      </c>
      <c r="B2930" s="2" t="s">
        <v>72</v>
      </c>
      <c r="C2930" s="2" t="s">
        <v>73</v>
      </c>
      <c r="E2930" s="2" t="str">
        <f>"FES1162596835"</f>
        <v>FES1162596835</v>
      </c>
      <c r="F2930" s="3">
        <v>43089</v>
      </c>
      <c r="G2930" s="2">
        <v>201806</v>
      </c>
      <c r="H2930" s="2" t="s">
        <v>74</v>
      </c>
      <c r="I2930" s="2" t="s">
        <v>75</v>
      </c>
      <c r="J2930" s="2" t="s">
        <v>97</v>
      </c>
      <c r="K2930" s="2" t="s">
        <v>77</v>
      </c>
      <c r="L2930" s="2" t="s">
        <v>277</v>
      </c>
      <c r="M2930" s="2" t="s">
        <v>278</v>
      </c>
      <c r="N2930" s="2" t="s">
        <v>808</v>
      </c>
      <c r="O2930" s="2" t="s">
        <v>101</v>
      </c>
      <c r="P2930" s="2" t="str">
        <f>"2170605277                    "</f>
        <v xml:space="preserve">2170605277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5.03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1</v>
      </c>
      <c r="BJ2930" s="2">
        <v>0.2</v>
      </c>
      <c r="BK2930" s="2">
        <v>1</v>
      </c>
      <c r="BL2930" s="2">
        <v>35.89</v>
      </c>
      <c r="BM2930" s="2">
        <v>5.0199999999999996</v>
      </c>
      <c r="BN2930" s="2">
        <v>40.909999999999997</v>
      </c>
      <c r="BO2930" s="2">
        <v>40.909999999999997</v>
      </c>
      <c r="BQ2930" s="2" t="s">
        <v>2889</v>
      </c>
      <c r="BR2930" s="2" t="s">
        <v>103</v>
      </c>
      <c r="BS2930" s="3">
        <v>43090</v>
      </c>
      <c r="BT2930" s="4">
        <v>0.41666666666666669</v>
      </c>
      <c r="BU2930" s="2" t="s">
        <v>2890</v>
      </c>
      <c r="BV2930" s="2" t="s">
        <v>85</v>
      </c>
      <c r="BY2930" s="2">
        <v>1200</v>
      </c>
      <c r="CC2930" s="2" t="s">
        <v>278</v>
      </c>
      <c r="CD2930" s="2">
        <v>2170</v>
      </c>
      <c r="CE2930" s="2" t="s">
        <v>2749</v>
      </c>
      <c r="CF2930" s="3">
        <v>43091</v>
      </c>
      <c r="CI2930" s="2">
        <v>1</v>
      </c>
      <c r="CJ2930" s="2">
        <v>1</v>
      </c>
      <c r="CK2930" s="2">
        <v>22</v>
      </c>
      <c r="CL2930" s="2" t="s">
        <v>89</v>
      </c>
    </row>
    <row r="2931" spans="1:90">
      <c r="A2931" s="2" t="s">
        <v>71</v>
      </c>
      <c r="B2931" s="2" t="s">
        <v>72</v>
      </c>
      <c r="C2931" s="2" t="s">
        <v>73</v>
      </c>
      <c r="E2931" s="2" t="str">
        <f>"FES1162597134"</f>
        <v>FES1162597134</v>
      </c>
      <c r="F2931" s="3">
        <v>43089</v>
      </c>
      <c r="G2931" s="2">
        <v>201806</v>
      </c>
      <c r="H2931" s="2" t="s">
        <v>74</v>
      </c>
      <c r="I2931" s="2" t="s">
        <v>75</v>
      </c>
      <c r="J2931" s="2" t="s">
        <v>97</v>
      </c>
      <c r="K2931" s="2" t="s">
        <v>77</v>
      </c>
      <c r="L2931" s="2" t="s">
        <v>189</v>
      </c>
      <c r="M2931" s="2" t="s">
        <v>190</v>
      </c>
      <c r="N2931" s="2" t="s">
        <v>959</v>
      </c>
      <c r="O2931" s="2" t="s">
        <v>101</v>
      </c>
      <c r="P2931" s="2" t="str">
        <f>"2170605356                    "</f>
        <v xml:space="preserve">2170605356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6.43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1</v>
      </c>
      <c r="BJ2931" s="2">
        <v>0.2</v>
      </c>
      <c r="BK2931" s="2">
        <v>1</v>
      </c>
      <c r="BL2931" s="2">
        <v>45.93</v>
      </c>
      <c r="BM2931" s="2">
        <v>6.43</v>
      </c>
      <c r="BN2931" s="2">
        <v>52.36</v>
      </c>
      <c r="BO2931" s="2">
        <v>52.36</v>
      </c>
      <c r="BQ2931" s="2" t="s">
        <v>229</v>
      </c>
      <c r="BR2931" s="2" t="s">
        <v>103</v>
      </c>
      <c r="BS2931" s="2" t="s">
        <v>185</v>
      </c>
      <c r="BY2931" s="2">
        <v>1200</v>
      </c>
      <c r="CC2931" s="2" t="s">
        <v>190</v>
      </c>
      <c r="CD2931" s="2">
        <v>157</v>
      </c>
      <c r="CE2931" s="2" t="s">
        <v>2749</v>
      </c>
      <c r="CI2931" s="2">
        <v>1</v>
      </c>
      <c r="CJ2931" s="2" t="s">
        <v>185</v>
      </c>
      <c r="CK2931" s="2">
        <v>21</v>
      </c>
      <c r="CL2931" s="2" t="s">
        <v>89</v>
      </c>
    </row>
    <row r="2932" spans="1:90">
      <c r="A2932" s="2" t="s">
        <v>71</v>
      </c>
      <c r="B2932" s="2" t="s">
        <v>72</v>
      </c>
      <c r="C2932" s="2" t="s">
        <v>73</v>
      </c>
      <c r="E2932" s="2" t="str">
        <f>"FES1162597062"</f>
        <v>FES1162597062</v>
      </c>
      <c r="F2932" s="3">
        <v>43089</v>
      </c>
      <c r="G2932" s="2">
        <v>201806</v>
      </c>
      <c r="H2932" s="2" t="s">
        <v>74</v>
      </c>
      <c r="I2932" s="2" t="s">
        <v>75</v>
      </c>
      <c r="J2932" s="2" t="s">
        <v>97</v>
      </c>
      <c r="K2932" s="2" t="s">
        <v>77</v>
      </c>
      <c r="L2932" s="2" t="s">
        <v>145</v>
      </c>
      <c r="M2932" s="2" t="s">
        <v>146</v>
      </c>
      <c r="N2932" s="2" t="s">
        <v>922</v>
      </c>
      <c r="O2932" s="2" t="s">
        <v>101</v>
      </c>
      <c r="P2932" s="2" t="str">
        <f>"2170608285                    "</f>
        <v xml:space="preserve">2170608285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6.43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45.93</v>
      </c>
      <c r="BM2932" s="2">
        <v>6.43</v>
      </c>
      <c r="BN2932" s="2">
        <v>52.36</v>
      </c>
      <c r="BO2932" s="2">
        <v>52.36</v>
      </c>
      <c r="BQ2932" s="2" t="s">
        <v>102</v>
      </c>
      <c r="BR2932" s="2" t="s">
        <v>103</v>
      </c>
      <c r="BS2932" s="3">
        <v>43090</v>
      </c>
      <c r="BT2932" s="4">
        <v>0.33611111111111108</v>
      </c>
      <c r="BU2932" s="2" t="s">
        <v>2891</v>
      </c>
      <c r="BV2932" s="2" t="s">
        <v>85</v>
      </c>
      <c r="BY2932" s="2">
        <v>1200</v>
      </c>
      <c r="CA2932" s="2" t="s">
        <v>629</v>
      </c>
      <c r="CC2932" s="2" t="s">
        <v>146</v>
      </c>
      <c r="CD2932" s="2">
        <v>5201</v>
      </c>
      <c r="CE2932" s="2" t="s">
        <v>2749</v>
      </c>
      <c r="CF2932" s="3">
        <v>43091</v>
      </c>
      <c r="CI2932" s="2">
        <v>1</v>
      </c>
      <c r="CJ2932" s="2">
        <v>1</v>
      </c>
      <c r="CK2932" s="2">
        <v>21</v>
      </c>
      <c r="CL2932" s="2" t="s">
        <v>89</v>
      </c>
    </row>
    <row r="2933" spans="1:90">
      <c r="A2933" s="2" t="s">
        <v>71</v>
      </c>
      <c r="B2933" s="2" t="s">
        <v>72</v>
      </c>
      <c r="C2933" s="2" t="s">
        <v>73</v>
      </c>
      <c r="E2933" s="2" t="str">
        <f>"FES1162597131"</f>
        <v>FES1162597131</v>
      </c>
      <c r="F2933" s="3">
        <v>43089</v>
      </c>
      <c r="G2933" s="2">
        <v>201806</v>
      </c>
      <c r="H2933" s="2" t="s">
        <v>74</v>
      </c>
      <c r="I2933" s="2" t="s">
        <v>75</v>
      </c>
      <c r="J2933" s="2" t="s">
        <v>97</v>
      </c>
      <c r="K2933" s="2" t="s">
        <v>77</v>
      </c>
      <c r="L2933" s="2" t="s">
        <v>2126</v>
      </c>
      <c r="M2933" s="2" t="s">
        <v>2127</v>
      </c>
      <c r="N2933" s="2" t="s">
        <v>2128</v>
      </c>
      <c r="O2933" s="2" t="s">
        <v>101</v>
      </c>
      <c r="P2933" s="2" t="str">
        <f>"2170605270                    "</f>
        <v xml:space="preserve">2170605270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9.0500000000000007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</v>
      </c>
      <c r="BJ2933" s="2">
        <v>0.2</v>
      </c>
      <c r="BK2933" s="2">
        <v>1</v>
      </c>
      <c r="BL2933" s="2">
        <v>64.599999999999994</v>
      </c>
      <c r="BM2933" s="2">
        <v>9.0399999999999991</v>
      </c>
      <c r="BN2933" s="2">
        <v>73.64</v>
      </c>
      <c r="BO2933" s="2">
        <v>73.64</v>
      </c>
      <c r="BR2933" s="2" t="s">
        <v>103</v>
      </c>
      <c r="BS2933" s="3">
        <v>43090</v>
      </c>
      <c r="BT2933" s="4">
        <v>0.65</v>
      </c>
      <c r="BU2933" s="2" t="s">
        <v>2892</v>
      </c>
      <c r="BV2933" s="2" t="s">
        <v>89</v>
      </c>
      <c r="BY2933" s="2">
        <v>1200</v>
      </c>
      <c r="CA2933" s="2" t="s">
        <v>2893</v>
      </c>
      <c r="CC2933" s="2" t="s">
        <v>2127</v>
      </c>
      <c r="CD2933" s="2">
        <v>319</v>
      </c>
      <c r="CE2933" s="2" t="s">
        <v>2749</v>
      </c>
      <c r="CF2933" s="3">
        <v>43096</v>
      </c>
      <c r="CI2933" s="2">
        <v>1</v>
      </c>
      <c r="CJ2933" s="2">
        <v>1</v>
      </c>
      <c r="CK2933" s="2">
        <v>24</v>
      </c>
      <c r="CL2933" s="2" t="s">
        <v>89</v>
      </c>
    </row>
    <row r="2934" spans="1:90">
      <c r="A2934" s="2" t="s">
        <v>71</v>
      </c>
      <c r="B2934" s="2" t="s">
        <v>72</v>
      </c>
      <c r="C2934" s="2" t="s">
        <v>73</v>
      </c>
      <c r="E2934" s="2" t="str">
        <f>"FES1162597109"</f>
        <v>FES1162597109</v>
      </c>
      <c r="F2934" s="3">
        <v>43089</v>
      </c>
      <c r="G2934" s="2">
        <v>201806</v>
      </c>
      <c r="H2934" s="2" t="s">
        <v>74</v>
      </c>
      <c r="I2934" s="2" t="s">
        <v>75</v>
      </c>
      <c r="J2934" s="2" t="s">
        <v>97</v>
      </c>
      <c r="K2934" s="2" t="s">
        <v>77</v>
      </c>
      <c r="L2934" s="2" t="s">
        <v>136</v>
      </c>
      <c r="M2934" s="2" t="s">
        <v>137</v>
      </c>
      <c r="N2934" s="2" t="s">
        <v>178</v>
      </c>
      <c r="O2934" s="2" t="s">
        <v>101</v>
      </c>
      <c r="P2934" s="2" t="str">
        <f>"2170604085                    "</f>
        <v xml:space="preserve">2170604085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6.43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1</v>
      </c>
      <c r="BJ2934" s="2">
        <v>0.2</v>
      </c>
      <c r="BK2934" s="2">
        <v>1</v>
      </c>
      <c r="BL2934" s="2">
        <v>45.93</v>
      </c>
      <c r="BM2934" s="2">
        <v>6.43</v>
      </c>
      <c r="BN2934" s="2">
        <v>52.36</v>
      </c>
      <c r="BO2934" s="2">
        <v>52.36</v>
      </c>
      <c r="BQ2934" s="2" t="s">
        <v>102</v>
      </c>
      <c r="BR2934" s="2" t="s">
        <v>103</v>
      </c>
      <c r="BS2934" s="3">
        <v>43090</v>
      </c>
      <c r="BT2934" s="4">
        <v>0.3263888888888889</v>
      </c>
      <c r="BU2934" s="2" t="s">
        <v>2353</v>
      </c>
      <c r="BV2934" s="2" t="s">
        <v>85</v>
      </c>
      <c r="BY2934" s="2">
        <v>1200</v>
      </c>
      <c r="CA2934" s="2" t="s">
        <v>180</v>
      </c>
      <c r="CC2934" s="2" t="s">
        <v>137</v>
      </c>
      <c r="CD2934" s="2">
        <v>6001</v>
      </c>
      <c r="CE2934" s="2" t="s">
        <v>2749</v>
      </c>
      <c r="CF2934" s="3">
        <v>43096</v>
      </c>
      <c r="CI2934" s="2">
        <v>1</v>
      </c>
      <c r="CJ2934" s="2">
        <v>1</v>
      </c>
      <c r="CK2934" s="2">
        <v>21</v>
      </c>
      <c r="CL2934" s="2" t="s">
        <v>89</v>
      </c>
    </row>
    <row r="2935" spans="1:90">
      <c r="A2935" s="2" t="s">
        <v>71</v>
      </c>
      <c r="B2935" s="2" t="s">
        <v>72</v>
      </c>
      <c r="C2935" s="2" t="s">
        <v>73</v>
      </c>
      <c r="E2935" s="2" t="str">
        <f>"FES1162597135"</f>
        <v>FES1162597135</v>
      </c>
      <c r="F2935" s="3">
        <v>43089</v>
      </c>
      <c r="G2935" s="2">
        <v>201806</v>
      </c>
      <c r="H2935" s="2" t="s">
        <v>74</v>
      </c>
      <c r="I2935" s="2" t="s">
        <v>75</v>
      </c>
      <c r="J2935" s="2" t="s">
        <v>97</v>
      </c>
      <c r="K2935" s="2" t="s">
        <v>77</v>
      </c>
      <c r="L2935" s="2" t="s">
        <v>136</v>
      </c>
      <c r="M2935" s="2" t="s">
        <v>137</v>
      </c>
      <c r="N2935" s="2" t="s">
        <v>1542</v>
      </c>
      <c r="O2935" s="2" t="s">
        <v>101</v>
      </c>
      <c r="P2935" s="2" t="str">
        <f>"2170605358                    "</f>
        <v xml:space="preserve">2170605358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6.43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45.93</v>
      </c>
      <c r="BM2935" s="2">
        <v>6.43</v>
      </c>
      <c r="BN2935" s="2">
        <v>52.36</v>
      </c>
      <c r="BO2935" s="2">
        <v>52.36</v>
      </c>
      <c r="BQ2935" s="2" t="s">
        <v>128</v>
      </c>
      <c r="BR2935" s="2" t="s">
        <v>103</v>
      </c>
      <c r="BS2935" s="3">
        <v>43090</v>
      </c>
      <c r="BT2935" s="4">
        <v>0.32708333333333334</v>
      </c>
      <c r="BU2935" s="2" t="s">
        <v>2894</v>
      </c>
      <c r="BV2935" s="2" t="s">
        <v>85</v>
      </c>
      <c r="BY2935" s="2">
        <v>1200</v>
      </c>
      <c r="CC2935" s="2" t="s">
        <v>137</v>
      </c>
      <c r="CD2935" s="2">
        <v>6001</v>
      </c>
      <c r="CE2935" s="2" t="s">
        <v>2749</v>
      </c>
      <c r="CF2935" s="3">
        <v>43096</v>
      </c>
      <c r="CI2935" s="2">
        <v>1</v>
      </c>
      <c r="CJ2935" s="2">
        <v>1</v>
      </c>
      <c r="CK2935" s="2">
        <v>21</v>
      </c>
      <c r="CL2935" s="2" t="s">
        <v>89</v>
      </c>
    </row>
    <row r="2936" spans="1:90">
      <c r="A2936" s="2" t="s">
        <v>71</v>
      </c>
      <c r="B2936" s="2" t="s">
        <v>72</v>
      </c>
      <c r="C2936" s="2" t="s">
        <v>73</v>
      </c>
      <c r="E2936" s="2" t="str">
        <f>"FES1162597089"</f>
        <v>FES1162597089</v>
      </c>
      <c r="F2936" s="3">
        <v>43089</v>
      </c>
      <c r="G2936" s="2">
        <v>201806</v>
      </c>
      <c r="H2936" s="2" t="s">
        <v>74</v>
      </c>
      <c r="I2936" s="2" t="s">
        <v>75</v>
      </c>
      <c r="J2936" s="2" t="s">
        <v>97</v>
      </c>
      <c r="K2936" s="2" t="s">
        <v>77</v>
      </c>
      <c r="L2936" s="2" t="s">
        <v>136</v>
      </c>
      <c r="M2936" s="2" t="s">
        <v>137</v>
      </c>
      <c r="N2936" s="2" t="s">
        <v>2539</v>
      </c>
      <c r="O2936" s="2" t="s">
        <v>101</v>
      </c>
      <c r="P2936" s="2" t="str">
        <f>"2170608011                    "</f>
        <v xml:space="preserve">2170608011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6.43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45.93</v>
      </c>
      <c r="BM2936" s="2">
        <v>6.43</v>
      </c>
      <c r="BN2936" s="2">
        <v>52.36</v>
      </c>
      <c r="BO2936" s="2">
        <v>52.36</v>
      </c>
      <c r="BQ2936" s="2" t="s">
        <v>187</v>
      </c>
      <c r="BR2936" s="2" t="s">
        <v>103</v>
      </c>
      <c r="BS2936" s="3">
        <v>43090</v>
      </c>
      <c r="BT2936" s="4">
        <v>0.38194444444444442</v>
      </c>
      <c r="BU2936" s="2" t="s">
        <v>2895</v>
      </c>
      <c r="BV2936" s="2" t="s">
        <v>85</v>
      </c>
      <c r="BY2936" s="2">
        <v>1200</v>
      </c>
      <c r="CC2936" s="2" t="s">
        <v>137</v>
      </c>
      <c r="CD2936" s="2">
        <v>6001</v>
      </c>
      <c r="CE2936" s="2" t="s">
        <v>2749</v>
      </c>
      <c r="CF2936" s="3">
        <v>43096</v>
      </c>
      <c r="CI2936" s="2">
        <v>1</v>
      </c>
      <c r="CJ2936" s="2">
        <v>1</v>
      </c>
      <c r="CK2936" s="2">
        <v>21</v>
      </c>
      <c r="CL2936" s="2" t="s">
        <v>89</v>
      </c>
    </row>
    <row r="2937" spans="1:90">
      <c r="A2937" s="2" t="s">
        <v>71</v>
      </c>
      <c r="B2937" s="2" t="s">
        <v>72</v>
      </c>
      <c r="C2937" s="2" t="s">
        <v>73</v>
      </c>
      <c r="E2937" s="2" t="str">
        <f>"FES1162597132"</f>
        <v>FES1162597132</v>
      </c>
      <c r="F2937" s="3">
        <v>43089</v>
      </c>
      <c r="G2937" s="2">
        <v>201806</v>
      </c>
      <c r="H2937" s="2" t="s">
        <v>74</v>
      </c>
      <c r="I2937" s="2" t="s">
        <v>75</v>
      </c>
      <c r="J2937" s="2" t="s">
        <v>97</v>
      </c>
      <c r="K2937" s="2" t="s">
        <v>77</v>
      </c>
      <c r="L2937" s="2" t="s">
        <v>136</v>
      </c>
      <c r="M2937" s="2" t="s">
        <v>137</v>
      </c>
      <c r="N2937" s="2" t="s">
        <v>147</v>
      </c>
      <c r="O2937" s="2" t="s">
        <v>101</v>
      </c>
      <c r="P2937" s="2" t="str">
        <f>"2170605317                    "</f>
        <v xml:space="preserve">2170605317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62.71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19.100000000000001</v>
      </c>
      <c r="BJ2937" s="2">
        <v>6.5</v>
      </c>
      <c r="BK2937" s="2">
        <v>19.5</v>
      </c>
      <c r="BL2937" s="2">
        <v>447.66</v>
      </c>
      <c r="BM2937" s="2">
        <v>62.67</v>
      </c>
      <c r="BN2937" s="2">
        <v>510.33</v>
      </c>
      <c r="BO2937" s="2">
        <v>510.33</v>
      </c>
      <c r="BQ2937" s="2" t="s">
        <v>82</v>
      </c>
      <c r="BR2937" s="2" t="s">
        <v>103</v>
      </c>
      <c r="BS2937" s="3">
        <v>43090</v>
      </c>
      <c r="BT2937" s="4">
        <v>0.3215277777777778</v>
      </c>
      <c r="BU2937" s="2" t="s">
        <v>2896</v>
      </c>
      <c r="BV2937" s="2" t="s">
        <v>85</v>
      </c>
      <c r="BY2937" s="2">
        <v>32692.46</v>
      </c>
      <c r="CC2937" s="2" t="s">
        <v>137</v>
      </c>
      <c r="CD2937" s="2">
        <v>6014</v>
      </c>
      <c r="CE2937" s="2" t="s">
        <v>2897</v>
      </c>
      <c r="CF2937" s="3">
        <v>43096</v>
      </c>
      <c r="CI2937" s="2">
        <v>1</v>
      </c>
      <c r="CJ2937" s="2">
        <v>1</v>
      </c>
      <c r="CK2937" s="2">
        <v>21</v>
      </c>
      <c r="CL2937" s="2" t="s">
        <v>89</v>
      </c>
    </row>
    <row r="2938" spans="1:90">
      <c r="A2938" s="2" t="s">
        <v>71</v>
      </c>
      <c r="B2938" s="2" t="s">
        <v>72</v>
      </c>
      <c r="C2938" s="2" t="s">
        <v>73</v>
      </c>
      <c r="E2938" s="2" t="str">
        <f>"FES1162597081"</f>
        <v>FES1162597081</v>
      </c>
      <c r="F2938" s="3">
        <v>43089</v>
      </c>
      <c r="G2938" s="2">
        <v>201806</v>
      </c>
      <c r="H2938" s="2" t="s">
        <v>74</v>
      </c>
      <c r="I2938" s="2" t="s">
        <v>75</v>
      </c>
      <c r="J2938" s="2" t="s">
        <v>97</v>
      </c>
      <c r="K2938" s="2" t="s">
        <v>77</v>
      </c>
      <c r="L2938" s="2" t="s">
        <v>262</v>
      </c>
      <c r="M2938" s="2" t="s">
        <v>263</v>
      </c>
      <c r="N2938" s="2" t="s">
        <v>264</v>
      </c>
      <c r="O2938" s="2" t="s">
        <v>101</v>
      </c>
      <c r="P2938" s="2" t="str">
        <f>"2170608542                    "</f>
        <v xml:space="preserve">2170608542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11.26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1.9</v>
      </c>
      <c r="BJ2938" s="2">
        <v>3.2</v>
      </c>
      <c r="BK2938" s="2">
        <v>3.5</v>
      </c>
      <c r="BL2938" s="2">
        <v>80.37</v>
      </c>
      <c r="BM2938" s="2">
        <v>11.25</v>
      </c>
      <c r="BN2938" s="2">
        <v>91.62</v>
      </c>
      <c r="BO2938" s="2">
        <v>91.62</v>
      </c>
      <c r="BQ2938" s="2" t="s">
        <v>102</v>
      </c>
      <c r="BR2938" s="2" t="s">
        <v>103</v>
      </c>
      <c r="BS2938" s="2" t="s">
        <v>185</v>
      </c>
      <c r="BY2938" s="2">
        <v>16244.64</v>
      </c>
      <c r="CC2938" s="2" t="s">
        <v>263</v>
      </c>
      <c r="CD2938" s="2">
        <v>6230</v>
      </c>
      <c r="CE2938" s="2" t="s">
        <v>2858</v>
      </c>
      <c r="CI2938" s="2">
        <v>1</v>
      </c>
      <c r="CJ2938" s="2" t="s">
        <v>185</v>
      </c>
      <c r="CK2938" s="2">
        <v>21</v>
      </c>
      <c r="CL2938" s="2" t="s">
        <v>89</v>
      </c>
    </row>
    <row r="2939" spans="1:90">
      <c r="A2939" s="2" t="s">
        <v>71</v>
      </c>
      <c r="B2939" s="2" t="s">
        <v>72</v>
      </c>
      <c r="C2939" s="2" t="s">
        <v>73</v>
      </c>
      <c r="E2939" s="2" t="str">
        <f>"FES1162597183"</f>
        <v>FES1162597183</v>
      </c>
      <c r="F2939" s="3">
        <v>43089</v>
      </c>
      <c r="G2939" s="2">
        <v>201806</v>
      </c>
      <c r="H2939" s="2" t="s">
        <v>74</v>
      </c>
      <c r="I2939" s="2" t="s">
        <v>75</v>
      </c>
      <c r="J2939" s="2" t="s">
        <v>97</v>
      </c>
      <c r="K2939" s="2" t="s">
        <v>77</v>
      </c>
      <c r="L2939" s="2" t="s">
        <v>173</v>
      </c>
      <c r="M2939" s="2" t="s">
        <v>174</v>
      </c>
      <c r="N2939" s="2" t="s">
        <v>175</v>
      </c>
      <c r="O2939" s="2" t="s">
        <v>101</v>
      </c>
      <c r="P2939" s="2" t="str">
        <f>"2170605685                    "</f>
        <v xml:space="preserve">2170605685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6.43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45.93</v>
      </c>
      <c r="BM2939" s="2">
        <v>6.43</v>
      </c>
      <c r="BN2939" s="2">
        <v>52.36</v>
      </c>
      <c r="BO2939" s="2">
        <v>52.36</v>
      </c>
      <c r="BQ2939" s="2" t="s">
        <v>102</v>
      </c>
      <c r="BR2939" s="2" t="s">
        <v>103</v>
      </c>
      <c r="BS2939" s="3">
        <v>43090</v>
      </c>
      <c r="BT2939" s="4">
        <v>0.52777777777777779</v>
      </c>
      <c r="BU2939" s="2" t="s">
        <v>2898</v>
      </c>
      <c r="BV2939" s="2" t="s">
        <v>89</v>
      </c>
      <c r="BW2939" s="2" t="s">
        <v>149</v>
      </c>
      <c r="BX2939" s="2" t="s">
        <v>246</v>
      </c>
      <c r="BY2939" s="2">
        <v>1200</v>
      </c>
      <c r="CA2939" s="2" t="s">
        <v>177</v>
      </c>
      <c r="CC2939" s="2" t="s">
        <v>174</v>
      </c>
      <c r="CD2939" s="2">
        <v>7405</v>
      </c>
      <c r="CE2939" s="2" t="s">
        <v>2749</v>
      </c>
      <c r="CF2939" s="3">
        <v>43091</v>
      </c>
      <c r="CI2939" s="2">
        <v>1</v>
      </c>
      <c r="CJ2939" s="2">
        <v>1</v>
      </c>
      <c r="CK2939" s="2">
        <v>21</v>
      </c>
      <c r="CL2939" s="2" t="s">
        <v>89</v>
      </c>
    </row>
    <row r="2940" spans="1:90">
      <c r="A2940" s="2" t="s">
        <v>71</v>
      </c>
      <c r="B2940" s="2" t="s">
        <v>72</v>
      </c>
      <c r="C2940" s="2" t="s">
        <v>73</v>
      </c>
      <c r="E2940" s="2" t="str">
        <f>"FES1162597214"</f>
        <v>FES1162597214</v>
      </c>
      <c r="F2940" s="3">
        <v>43089</v>
      </c>
      <c r="G2940" s="2">
        <v>201806</v>
      </c>
      <c r="H2940" s="2" t="s">
        <v>74</v>
      </c>
      <c r="I2940" s="2" t="s">
        <v>75</v>
      </c>
      <c r="J2940" s="2" t="s">
        <v>97</v>
      </c>
      <c r="K2940" s="2" t="s">
        <v>77</v>
      </c>
      <c r="L2940" s="2" t="s">
        <v>173</v>
      </c>
      <c r="M2940" s="2" t="s">
        <v>174</v>
      </c>
      <c r="N2940" s="2" t="s">
        <v>2484</v>
      </c>
      <c r="O2940" s="2" t="s">
        <v>101</v>
      </c>
      <c r="P2940" s="2" t="str">
        <f>"2170607935                    "</f>
        <v xml:space="preserve">2170607935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6.43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1</v>
      </c>
      <c r="BJ2940" s="2">
        <v>0.2</v>
      </c>
      <c r="BK2940" s="2">
        <v>1</v>
      </c>
      <c r="BL2940" s="2">
        <v>45.93</v>
      </c>
      <c r="BM2940" s="2">
        <v>6.43</v>
      </c>
      <c r="BN2940" s="2">
        <v>52.36</v>
      </c>
      <c r="BO2940" s="2">
        <v>52.36</v>
      </c>
      <c r="BQ2940" s="2" t="s">
        <v>142</v>
      </c>
      <c r="BR2940" s="2" t="s">
        <v>103</v>
      </c>
      <c r="BS2940" s="3">
        <v>43090</v>
      </c>
      <c r="BT2940" s="4">
        <v>0.41666666666666669</v>
      </c>
      <c r="BU2940" s="2" t="s">
        <v>114</v>
      </c>
      <c r="BV2940" s="2" t="s">
        <v>85</v>
      </c>
      <c r="BY2940" s="2">
        <v>1200</v>
      </c>
      <c r="CC2940" s="2" t="s">
        <v>174</v>
      </c>
      <c r="CD2940" s="2">
        <v>7945</v>
      </c>
      <c r="CE2940" s="2" t="s">
        <v>2749</v>
      </c>
      <c r="CF2940" s="3">
        <v>43091</v>
      </c>
      <c r="CI2940" s="2">
        <v>1</v>
      </c>
      <c r="CJ2940" s="2">
        <v>1</v>
      </c>
      <c r="CK2940" s="2">
        <v>21</v>
      </c>
      <c r="CL2940" s="2" t="s">
        <v>89</v>
      </c>
    </row>
    <row r="2941" spans="1:90">
      <c r="A2941" s="2" t="s">
        <v>71</v>
      </c>
      <c r="B2941" s="2" t="s">
        <v>72</v>
      </c>
      <c r="C2941" s="2" t="s">
        <v>73</v>
      </c>
      <c r="E2941" s="2" t="str">
        <f>"FES1162597216"</f>
        <v>FES1162597216</v>
      </c>
      <c r="F2941" s="3">
        <v>43089</v>
      </c>
      <c r="G2941" s="2">
        <v>201806</v>
      </c>
      <c r="H2941" s="2" t="s">
        <v>74</v>
      </c>
      <c r="I2941" s="2" t="s">
        <v>75</v>
      </c>
      <c r="J2941" s="2" t="s">
        <v>97</v>
      </c>
      <c r="K2941" s="2" t="s">
        <v>77</v>
      </c>
      <c r="L2941" s="2" t="s">
        <v>173</v>
      </c>
      <c r="M2941" s="2" t="s">
        <v>174</v>
      </c>
      <c r="N2941" s="2" t="s">
        <v>1574</v>
      </c>
      <c r="O2941" s="2" t="s">
        <v>101</v>
      </c>
      <c r="P2941" s="2" t="str">
        <f>"2170608125                    "</f>
        <v xml:space="preserve">2170608125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6.43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45.93</v>
      </c>
      <c r="BM2941" s="2">
        <v>6.43</v>
      </c>
      <c r="BN2941" s="2">
        <v>52.36</v>
      </c>
      <c r="BO2941" s="2">
        <v>52.36</v>
      </c>
      <c r="BQ2941" s="2" t="s">
        <v>2509</v>
      </c>
      <c r="BR2941" s="2" t="s">
        <v>103</v>
      </c>
      <c r="BS2941" s="3">
        <v>43090</v>
      </c>
      <c r="BT2941" s="4">
        <v>0.35486111111111113</v>
      </c>
      <c r="BU2941" s="2" t="s">
        <v>2510</v>
      </c>
      <c r="BV2941" s="2" t="s">
        <v>85</v>
      </c>
      <c r="BY2941" s="2">
        <v>1200</v>
      </c>
      <c r="CA2941" s="2" t="s">
        <v>1389</v>
      </c>
      <c r="CC2941" s="2" t="s">
        <v>174</v>
      </c>
      <c r="CD2941" s="2">
        <v>7460</v>
      </c>
      <c r="CE2941" s="2" t="s">
        <v>2749</v>
      </c>
      <c r="CF2941" s="3">
        <v>43091</v>
      </c>
      <c r="CI2941" s="2">
        <v>1</v>
      </c>
      <c r="CJ2941" s="2">
        <v>1</v>
      </c>
      <c r="CK2941" s="2">
        <v>21</v>
      </c>
      <c r="CL2941" s="2" t="s">
        <v>89</v>
      </c>
    </row>
    <row r="2942" spans="1:90">
      <c r="A2942" s="2" t="s">
        <v>71</v>
      </c>
      <c r="B2942" s="2" t="s">
        <v>72</v>
      </c>
      <c r="C2942" s="2" t="s">
        <v>73</v>
      </c>
      <c r="E2942" s="2" t="str">
        <f>"FES1162597253"</f>
        <v>FES1162597253</v>
      </c>
      <c r="F2942" s="3">
        <v>43089</v>
      </c>
      <c r="G2942" s="2">
        <v>201806</v>
      </c>
      <c r="H2942" s="2" t="s">
        <v>74</v>
      </c>
      <c r="I2942" s="2" t="s">
        <v>75</v>
      </c>
      <c r="J2942" s="2" t="s">
        <v>97</v>
      </c>
      <c r="K2942" s="2" t="s">
        <v>77</v>
      </c>
      <c r="L2942" s="2" t="s">
        <v>173</v>
      </c>
      <c r="M2942" s="2" t="s">
        <v>174</v>
      </c>
      <c r="N2942" s="2" t="s">
        <v>1939</v>
      </c>
      <c r="O2942" s="2" t="s">
        <v>101</v>
      </c>
      <c r="P2942" s="2" t="str">
        <f>"2170608613                    "</f>
        <v xml:space="preserve">2170608613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6.43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1</v>
      </c>
      <c r="BJ2942" s="2">
        <v>0.2</v>
      </c>
      <c r="BK2942" s="2">
        <v>1</v>
      </c>
      <c r="BL2942" s="2">
        <v>45.93</v>
      </c>
      <c r="BM2942" s="2">
        <v>6.43</v>
      </c>
      <c r="BN2942" s="2">
        <v>52.36</v>
      </c>
      <c r="BO2942" s="2">
        <v>52.36</v>
      </c>
      <c r="BQ2942" s="2" t="s">
        <v>102</v>
      </c>
      <c r="BR2942" s="2" t="s">
        <v>103</v>
      </c>
      <c r="BS2942" s="2" t="s">
        <v>185</v>
      </c>
      <c r="BY2942" s="2">
        <v>1200</v>
      </c>
      <c r="CC2942" s="2" t="s">
        <v>174</v>
      </c>
      <c r="CD2942" s="2">
        <v>7945</v>
      </c>
      <c r="CE2942" s="2" t="s">
        <v>2749</v>
      </c>
      <c r="CI2942" s="2">
        <v>1</v>
      </c>
      <c r="CJ2942" s="2" t="s">
        <v>185</v>
      </c>
      <c r="CK2942" s="2">
        <v>21</v>
      </c>
      <c r="CL2942" s="2" t="s">
        <v>89</v>
      </c>
    </row>
    <row r="2943" spans="1:90">
      <c r="A2943" s="2" t="s">
        <v>71</v>
      </c>
      <c r="B2943" s="2" t="s">
        <v>72</v>
      </c>
      <c r="C2943" s="2" t="s">
        <v>73</v>
      </c>
      <c r="E2943" s="2" t="str">
        <f>"FES1162597226"</f>
        <v>FES1162597226</v>
      </c>
      <c r="F2943" s="3">
        <v>43089</v>
      </c>
      <c r="G2943" s="2">
        <v>201806</v>
      </c>
      <c r="H2943" s="2" t="s">
        <v>74</v>
      </c>
      <c r="I2943" s="2" t="s">
        <v>75</v>
      </c>
      <c r="J2943" s="2" t="s">
        <v>97</v>
      </c>
      <c r="K2943" s="2" t="s">
        <v>77</v>
      </c>
      <c r="L2943" s="2" t="s">
        <v>173</v>
      </c>
      <c r="M2943" s="2" t="s">
        <v>174</v>
      </c>
      <c r="N2943" s="2" t="s">
        <v>1259</v>
      </c>
      <c r="O2943" s="2" t="s">
        <v>101</v>
      </c>
      <c r="P2943" s="2" t="str">
        <f>"2170608553                    "</f>
        <v xml:space="preserve">2170608553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6.43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0.2</v>
      </c>
      <c r="BK2943" s="2">
        <v>1</v>
      </c>
      <c r="BL2943" s="2">
        <v>45.93</v>
      </c>
      <c r="BM2943" s="2">
        <v>6.43</v>
      </c>
      <c r="BN2943" s="2">
        <v>52.36</v>
      </c>
      <c r="BO2943" s="2">
        <v>52.36</v>
      </c>
      <c r="BQ2943" s="2" t="s">
        <v>82</v>
      </c>
      <c r="BR2943" s="2" t="s">
        <v>103</v>
      </c>
      <c r="BS2943" s="3">
        <v>43090</v>
      </c>
      <c r="BT2943" s="4">
        <v>0.41666666666666669</v>
      </c>
      <c r="BU2943" s="2" t="s">
        <v>755</v>
      </c>
      <c r="BV2943" s="2" t="s">
        <v>85</v>
      </c>
      <c r="BY2943" s="2">
        <v>1200</v>
      </c>
      <c r="CC2943" s="2" t="s">
        <v>174</v>
      </c>
      <c r="CD2943" s="2">
        <v>7800</v>
      </c>
      <c r="CE2943" s="2" t="s">
        <v>2749</v>
      </c>
      <c r="CF2943" s="3">
        <v>43091</v>
      </c>
      <c r="CI2943" s="2">
        <v>1</v>
      </c>
      <c r="CJ2943" s="2">
        <v>1</v>
      </c>
      <c r="CK2943" s="2">
        <v>21</v>
      </c>
      <c r="CL2943" s="2" t="s">
        <v>89</v>
      </c>
    </row>
    <row r="2944" spans="1:90">
      <c r="A2944" s="2" t="s">
        <v>71</v>
      </c>
      <c r="B2944" s="2" t="s">
        <v>72</v>
      </c>
      <c r="C2944" s="2" t="s">
        <v>73</v>
      </c>
      <c r="E2944" s="2" t="str">
        <f>"FES1162597063"</f>
        <v>FES1162597063</v>
      </c>
      <c r="F2944" s="3">
        <v>43089</v>
      </c>
      <c r="G2944" s="2">
        <v>201806</v>
      </c>
      <c r="H2944" s="2" t="s">
        <v>74</v>
      </c>
      <c r="I2944" s="2" t="s">
        <v>75</v>
      </c>
      <c r="J2944" s="2" t="s">
        <v>97</v>
      </c>
      <c r="K2944" s="2" t="s">
        <v>77</v>
      </c>
      <c r="L2944" s="2" t="s">
        <v>145</v>
      </c>
      <c r="M2944" s="2" t="s">
        <v>146</v>
      </c>
      <c r="N2944" s="2" t="s">
        <v>922</v>
      </c>
      <c r="O2944" s="2" t="s">
        <v>101</v>
      </c>
      <c r="P2944" s="2" t="str">
        <f>"2170608431                    "</f>
        <v xml:space="preserve">2170608431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6.43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</v>
      </c>
      <c r="BJ2944" s="2">
        <v>0.2</v>
      </c>
      <c r="BK2944" s="2">
        <v>1</v>
      </c>
      <c r="BL2944" s="2">
        <v>45.93</v>
      </c>
      <c r="BM2944" s="2">
        <v>6.43</v>
      </c>
      <c r="BN2944" s="2">
        <v>52.36</v>
      </c>
      <c r="BO2944" s="2">
        <v>52.36</v>
      </c>
      <c r="BQ2944" s="2" t="s">
        <v>102</v>
      </c>
      <c r="BR2944" s="2" t="s">
        <v>103</v>
      </c>
      <c r="BS2944" s="3">
        <v>43090</v>
      </c>
      <c r="BT2944" s="4">
        <v>0.33611111111111108</v>
      </c>
      <c r="BU2944" s="2" t="s">
        <v>2891</v>
      </c>
      <c r="BV2944" s="2" t="s">
        <v>85</v>
      </c>
      <c r="BY2944" s="2">
        <v>1200</v>
      </c>
      <c r="CA2944" s="2" t="s">
        <v>629</v>
      </c>
      <c r="CC2944" s="2" t="s">
        <v>146</v>
      </c>
      <c r="CD2944" s="2">
        <v>5201</v>
      </c>
      <c r="CE2944" s="2" t="s">
        <v>2749</v>
      </c>
      <c r="CF2944" s="3">
        <v>43091</v>
      </c>
      <c r="CI2944" s="2">
        <v>1</v>
      </c>
      <c r="CJ2944" s="2">
        <v>1</v>
      </c>
      <c r="CK2944" s="2">
        <v>21</v>
      </c>
      <c r="CL2944" s="2" t="s">
        <v>89</v>
      </c>
    </row>
    <row r="2945" spans="1:90">
      <c r="A2945" s="2" t="s">
        <v>71</v>
      </c>
      <c r="B2945" s="2" t="s">
        <v>72</v>
      </c>
      <c r="C2945" s="2" t="s">
        <v>73</v>
      </c>
      <c r="E2945" s="2" t="str">
        <f>"FES1162597161"</f>
        <v>FES1162597161</v>
      </c>
      <c r="F2945" s="3">
        <v>43089</v>
      </c>
      <c r="G2945" s="2">
        <v>201806</v>
      </c>
      <c r="H2945" s="2" t="s">
        <v>74</v>
      </c>
      <c r="I2945" s="2" t="s">
        <v>75</v>
      </c>
      <c r="J2945" s="2" t="s">
        <v>97</v>
      </c>
      <c r="K2945" s="2" t="s">
        <v>77</v>
      </c>
      <c r="L2945" s="2" t="s">
        <v>125</v>
      </c>
      <c r="M2945" s="2" t="s">
        <v>126</v>
      </c>
      <c r="N2945" s="2" t="s">
        <v>2899</v>
      </c>
      <c r="O2945" s="2" t="s">
        <v>101</v>
      </c>
      <c r="P2945" s="2" t="str">
        <f>"2170608044                    "</f>
        <v xml:space="preserve">2170608044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6.43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1</v>
      </c>
      <c r="BJ2945" s="2">
        <v>0.2</v>
      </c>
      <c r="BK2945" s="2">
        <v>1</v>
      </c>
      <c r="BL2945" s="2">
        <v>45.93</v>
      </c>
      <c r="BM2945" s="2">
        <v>6.43</v>
      </c>
      <c r="BN2945" s="2">
        <v>52.36</v>
      </c>
      <c r="BO2945" s="2">
        <v>52.36</v>
      </c>
      <c r="BQ2945" s="2" t="s">
        <v>128</v>
      </c>
      <c r="BR2945" s="2" t="s">
        <v>103</v>
      </c>
      <c r="BS2945" s="3">
        <v>43090</v>
      </c>
      <c r="BT2945" s="4">
        <v>0.35625000000000001</v>
      </c>
      <c r="BU2945" s="2" t="s">
        <v>2900</v>
      </c>
      <c r="BV2945" s="2" t="s">
        <v>85</v>
      </c>
      <c r="BY2945" s="2">
        <v>1200</v>
      </c>
      <c r="CC2945" s="2" t="s">
        <v>126</v>
      </c>
      <c r="CD2945" s="2">
        <v>4064</v>
      </c>
      <c r="CE2945" s="2" t="s">
        <v>2749</v>
      </c>
      <c r="CF2945" s="3">
        <v>43091</v>
      </c>
      <c r="CI2945" s="2">
        <v>1</v>
      </c>
      <c r="CJ2945" s="2">
        <v>1</v>
      </c>
      <c r="CK2945" s="2">
        <v>21</v>
      </c>
      <c r="CL2945" s="2" t="s">
        <v>89</v>
      </c>
    </row>
    <row r="2946" spans="1:90">
      <c r="A2946" s="2" t="s">
        <v>71</v>
      </c>
      <c r="B2946" s="2" t="s">
        <v>72</v>
      </c>
      <c r="C2946" s="2" t="s">
        <v>73</v>
      </c>
      <c r="E2946" s="2" t="str">
        <f>"FES1162597026"</f>
        <v>FES1162597026</v>
      </c>
      <c r="F2946" s="3">
        <v>43089</v>
      </c>
      <c r="G2946" s="2">
        <v>201806</v>
      </c>
      <c r="H2946" s="2" t="s">
        <v>74</v>
      </c>
      <c r="I2946" s="2" t="s">
        <v>75</v>
      </c>
      <c r="J2946" s="2" t="s">
        <v>97</v>
      </c>
      <c r="K2946" s="2" t="s">
        <v>77</v>
      </c>
      <c r="L2946" s="2" t="s">
        <v>106</v>
      </c>
      <c r="M2946" s="2" t="s">
        <v>107</v>
      </c>
      <c r="N2946" s="2" t="s">
        <v>108</v>
      </c>
      <c r="O2946" s="2" t="s">
        <v>101</v>
      </c>
      <c r="P2946" s="2" t="str">
        <f>"2170608539                    "</f>
        <v xml:space="preserve">2170608539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5.03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</v>
      </c>
      <c r="BJ2946" s="2">
        <v>0.2</v>
      </c>
      <c r="BK2946" s="2">
        <v>1</v>
      </c>
      <c r="BL2946" s="2">
        <v>35.89</v>
      </c>
      <c r="BM2946" s="2">
        <v>5.0199999999999996</v>
      </c>
      <c r="BN2946" s="2">
        <v>40.909999999999997</v>
      </c>
      <c r="BO2946" s="2">
        <v>40.909999999999997</v>
      </c>
      <c r="BQ2946" s="2" t="s">
        <v>82</v>
      </c>
      <c r="BR2946" s="2" t="s">
        <v>103</v>
      </c>
      <c r="BS2946" s="3">
        <v>43090</v>
      </c>
      <c r="BT2946" s="4">
        <v>0.3888888888888889</v>
      </c>
      <c r="BU2946" s="2" t="s">
        <v>328</v>
      </c>
      <c r="BV2946" s="2" t="s">
        <v>85</v>
      </c>
      <c r="BY2946" s="2">
        <v>1200</v>
      </c>
      <c r="CC2946" s="2" t="s">
        <v>107</v>
      </c>
      <c r="CD2946" s="2">
        <v>2094</v>
      </c>
      <c r="CE2946" s="2" t="s">
        <v>2749</v>
      </c>
      <c r="CF2946" s="3">
        <v>43096</v>
      </c>
      <c r="CI2946" s="2">
        <v>1</v>
      </c>
      <c r="CJ2946" s="2">
        <v>1</v>
      </c>
      <c r="CK2946" s="2">
        <v>22</v>
      </c>
      <c r="CL2946" s="2" t="s">
        <v>89</v>
      </c>
    </row>
    <row r="2947" spans="1:90">
      <c r="A2947" s="2" t="s">
        <v>71</v>
      </c>
      <c r="B2947" s="2" t="s">
        <v>72</v>
      </c>
      <c r="C2947" s="2" t="s">
        <v>73</v>
      </c>
      <c r="E2947" s="2" t="str">
        <f>"FES1162597162"</f>
        <v>FES1162597162</v>
      </c>
      <c r="F2947" s="3">
        <v>43089</v>
      </c>
      <c r="G2947" s="2">
        <v>201806</v>
      </c>
      <c r="H2947" s="2" t="s">
        <v>74</v>
      </c>
      <c r="I2947" s="2" t="s">
        <v>75</v>
      </c>
      <c r="J2947" s="2" t="s">
        <v>97</v>
      </c>
      <c r="K2947" s="2" t="s">
        <v>77</v>
      </c>
      <c r="L2947" s="2" t="s">
        <v>238</v>
      </c>
      <c r="M2947" s="2" t="s">
        <v>239</v>
      </c>
      <c r="N2947" s="2" t="s">
        <v>240</v>
      </c>
      <c r="O2947" s="2" t="s">
        <v>101</v>
      </c>
      <c r="P2947" s="2" t="str">
        <f>"2170608045                    "</f>
        <v xml:space="preserve">2170608045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9.0500000000000007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1</v>
      </c>
      <c r="BJ2947" s="2">
        <v>0.2</v>
      </c>
      <c r="BK2947" s="2">
        <v>1</v>
      </c>
      <c r="BL2947" s="2">
        <v>64.599999999999994</v>
      </c>
      <c r="BM2947" s="2">
        <v>9.0399999999999991</v>
      </c>
      <c r="BN2947" s="2">
        <v>73.64</v>
      </c>
      <c r="BO2947" s="2">
        <v>73.64</v>
      </c>
      <c r="BQ2947" s="2" t="s">
        <v>1337</v>
      </c>
      <c r="BR2947" s="2" t="s">
        <v>103</v>
      </c>
      <c r="BS2947" s="3">
        <v>43090</v>
      </c>
      <c r="BT2947" s="4">
        <v>0.39930555555555558</v>
      </c>
      <c r="BU2947" s="2" t="s">
        <v>2901</v>
      </c>
      <c r="BV2947" s="2" t="s">
        <v>85</v>
      </c>
      <c r="BY2947" s="2">
        <v>1200</v>
      </c>
      <c r="CC2947" s="2" t="s">
        <v>239</v>
      </c>
      <c r="CD2947" s="2">
        <v>299</v>
      </c>
      <c r="CE2947" s="2" t="s">
        <v>2749</v>
      </c>
      <c r="CF2947" s="3">
        <v>43096</v>
      </c>
      <c r="CI2947" s="2">
        <v>1</v>
      </c>
      <c r="CJ2947" s="2">
        <v>1</v>
      </c>
      <c r="CK2947" s="2">
        <v>24</v>
      </c>
      <c r="CL2947" s="2" t="s">
        <v>89</v>
      </c>
    </row>
    <row r="2948" spans="1:90">
      <c r="A2948" s="2" t="s">
        <v>71</v>
      </c>
      <c r="B2948" s="2" t="s">
        <v>72</v>
      </c>
      <c r="C2948" s="2" t="s">
        <v>73</v>
      </c>
      <c r="E2948" s="2" t="str">
        <f>"FES1162596994"</f>
        <v>FES1162596994</v>
      </c>
      <c r="F2948" s="3">
        <v>43089</v>
      </c>
      <c r="G2948" s="2">
        <v>201806</v>
      </c>
      <c r="H2948" s="2" t="s">
        <v>74</v>
      </c>
      <c r="I2948" s="2" t="s">
        <v>75</v>
      </c>
      <c r="J2948" s="2" t="s">
        <v>97</v>
      </c>
      <c r="K2948" s="2" t="s">
        <v>77</v>
      </c>
      <c r="L2948" s="2" t="s">
        <v>106</v>
      </c>
      <c r="M2948" s="2" t="s">
        <v>107</v>
      </c>
      <c r="N2948" s="2" t="s">
        <v>108</v>
      </c>
      <c r="O2948" s="2" t="s">
        <v>101</v>
      </c>
      <c r="P2948" s="2" t="str">
        <f>"2170608516                    "</f>
        <v xml:space="preserve">2170608516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5.03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35.89</v>
      </c>
      <c r="BM2948" s="2">
        <v>5.0199999999999996</v>
      </c>
      <c r="BN2948" s="2">
        <v>40.909999999999997</v>
      </c>
      <c r="BO2948" s="2">
        <v>40.909999999999997</v>
      </c>
      <c r="BQ2948" s="2" t="s">
        <v>82</v>
      </c>
      <c r="BR2948" s="2" t="s">
        <v>103</v>
      </c>
      <c r="BS2948" s="3">
        <v>43090</v>
      </c>
      <c r="BT2948" s="4">
        <v>0.3888888888888889</v>
      </c>
      <c r="BU2948" s="2" t="s">
        <v>328</v>
      </c>
      <c r="BV2948" s="2" t="s">
        <v>85</v>
      </c>
      <c r="BY2948" s="2">
        <v>1200</v>
      </c>
      <c r="CC2948" s="2" t="s">
        <v>107</v>
      </c>
      <c r="CD2948" s="2">
        <v>2094</v>
      </c>
      <c r="CE2948" s="2" t="s">
        <v>2749</v>
      </c>
      <c r="CF2948" s="3">
        <v>43096</v>
      </c>
      <c r="CI2948" s="2">
        <v>1</v>
      </c>
      <c r="CJ2948" s="2">
        <v>1</v>
      </c>
      <c r="CK2948" s="2">
        <v>22</v>
      </c>
      <c r="CL2948" s="2" t="s">
        <v>89</v>
      </c>
    </row>
    <row r="2949" spans="1:90">
      <c r="A2949" s="2" t="s">
        <v>71</v>
      </c>
      <c r="B2949" s="2" t="s">
        <v>72</v>
      </c>
      <c r="C2949" s="2" t="s">
        <v>73</v>
      </c>
      <c r="E2949" s="2" t="str">
        <f>"FES1162597172"</f>
        <v>FES1162597172</v>
      </c>
      <c r="F2949" s="3">
        <v>43089</v>
      </c>
      <c r="G2949" s="2">
        <v>201806</v>
      </c>
      <c r="H2949" s="2" t="s">
        <v>74</v>
      </c>
      <c r="I2949" s="2" t="s">
        <v>75</v>
      </c>
      <c r="J2949" s="2" t="s">
        <v>97</v>
      </c>
      <c r="K2949" s="2" t="s">
        <v>77</v>
      </c>
      <c r="L2949" s="2" t="s">
        <v>125</v>
      </c>
      <c r="M2949" s="2" t="s">
        <v>126</v>
      </c>
      <c r="N2949" s="2" t="s">
        <v>664</v>
      </c>
      <c r="O2949" s="2" t="s">
        <v>101</v>
      </c>
      <c r="P2949" s="2" t="str">
        <f>"217060859                     "</f>
        <v xml:space="preserve">217060859 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6.43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</v>
      </c>
      <c r="BJ2949" s="2">
        <v>0.5</v>
      </c>
      <c r="BK2949" s="2">
        <v>1</v>
      </c>
      <c r="BL2949" s="2">
        <v>45.93</v>
      </c>
      <c r="BM2949" s="2">
        <v>6.43</v>
      </c>
      <c r="BN2949" s="2">
        <v>52.36</v>
      </c>
      <c r="BO2949" s="2">
        <v>52.36</v>
      </c>
      <c r="BQ2949" s="2" t="s">
        <v>102</v>
      </c>
      <c r="BR2949" s="2" t="s">
        <v>103</v>
      </c>
      <c r="BS2949" s="3">
        <v>43090</v>
      </c>
      <c r="BT2949" s="4">
        <v>0.41666666666666669</v>
      </c>
      <c r="BU2949" s="2" t="s">
        <v>2873</v>
      </c>
      <c r="BV2949" s="2" t="s">
        <v>85</v>
      </c>
      <c r="BY2949" s="2">
        <v>2400</v>
      </c>
      <c r="CA2949" s="2" t="s">
        <v>2874</v>
      </c>
      <c r="CC2949" s="2" t="s">
        <v>126</v>
      </c>
      <c r="CD2949" s="2">
        <v>4001</v>
      </c>
      <c r="CE2949" s="2" t="s">
        <v>2749</v>
      </c>
      <c r="CF2949" s="3">
        <v>43091</v>
      </c>
      <c r="CI2949" s="2">
        <v>1</v>
      </c>
      <c r="CJ2949" s="2">
        <v>1</v>
      </c>
      <c r="CK2949" s="2">
        <v>21</v>
      </c>
      <c r="CL2949" s="2" t="s">
        <v>89</v>
      </c>
    </row>
    <row r="2950" spans="1:90">
      <c r="A2950" s="2" t="s">
        <v>71</v>
      </c>
      <c r="B2950" s="2" t="s">
        <v>72</v>
      </c>
      <c r="C2950" s="2" t="s">
        <v>73</v>
      </c>
      <c r="E2950" s="2" t="str">
        <f>"FES1162597111"</f>
        <v>FES1162597111</v>
      </c>
      <c r="F2950" s="3">
        <v>43089</v>
      </c>
      <c r="G2950" s="2">
        <v>201806</v>
      </c>
      <c r="H2950" s="2" t="s">
        <v>74</v>
      </c>
      <c r="I2950" s="2" t="s">
        <v>75</v>
      </c>
      <c r="J2950" s="2" t="s">
        <v>97</v>
      </c>
      <c r="K2950" s="2" t="s">
        <v>77</v>
      </c>
      <c r="L2950" s="2" t="s">
        <v>173</v>
      </c>
      <c r="M2950" s="2" t="s">
        <v>174</v>
      </c>
      <c r="N2950" s="2" t="s">
        <v>175</v>
      </c>
      <c r="O2950" s="2" t="s">
        <v>101</v>
      </c>
      <c r="P2950" s="2" t="str">
        <f>"2170604378                    "</f>
        <v xml:space="preserve">2170604378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6.43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45.93</v>
      </c>
      <c r="BM2950" s="2">
        <v>6.43</v>
      </c>
      <c r="BN2950" s="2">
        <v>52.36</v>
      </c>
      <c r="BO2950" s="2">
        <v>52.36</v>
      </c>
      <c r="BQ2950" s="2" t="s">
        <v>102</v>
      </c>
      <c r="BR2950" s="2" t="s">
        <v>103</v>
      </c>
      <c r="BS2950" s="3">
        <v>43090</v>
      </c>
      <c r="BT2950" s="4">
        <v>0.52777777777777779</v>
      </c>
      <c r="BU2950" s="2" t="s">
        <v>2898</v>
      </c>
      <c r="BV2950" s="2" t="s">
        <v>89</v>
      </c>
      <c r="BW2950" s="2" t="s">
        <v>149</v>
      </c>
      <c r="BX2950" s="2" t="s">
        <v>246</v>
      </c>
      <c r="BY2950" s="2">
        <v>1200</v>
      </c>
      <c r="CA2950" s="2" t="s">
        <v>177</v>
      </c>
      <c r="CC2950" s="2" t="s">
        <v>174</v>
      </c>
      <c r="CD2950" s="2">
        <v>7405</v>
      </c>
      <c r="CE2950" s="2" t="s">
        <v>2749</v>
      </c>
      <c r="CF2950" s="3">
        <v>43091</v>
      </c>
      <c r="CI2950" s="2">
        <v>1</v>
      </c>
      <c r="CJ2950" s="2">
        <v>1</v>
      </c>
      <c r="CK2950" s="2">
        <v>21</v>
      </c>
      <c r="CL2950" s="2" t="s">
        <v>89</v>
      </c>
    </row>
    <row r="2951" spans="1:90">
      <c r="A2951" s="2" t="s">
        <v>71</v>
      </c>
      <c r="B2951" s="2" t="s">
        <v>72</v>
      </c>
      <c r="C2951" s="2" t="s">
        <v>73</v>
      </c>
      <c r="E2951" s="2" t="str">
        <f>"FES1162596824"</f>
        <v>FES1162596824</v>
      </c>
      <c r="F2951" s="3">
        <v>43089</v>
      </c>
      <c r="G2951" s="2">
        <v>201806</v>
      </c>
      <c r="H2951" s="2" t="s">
        <v>74</v>
      </c>
      <c r="I2951" s="2" t="s">
        <v>75</v>
      </c>
      <c r="J2951" s="2" t="s">
        <v>97</v>
      </c>
      <c r="K2951" s="2" t="s">
        <v>77</v>
      </c>
      <c r="L2951" s="2" t="s">
        <v>277</v>
      </c>
      <c r="M2951" s="2" t="s">
        <v>278</v>
      </c>
      <c r="N2951" s="2" t="s">
        <v>920</v>
      </c>
      <c r="O2951" s="2" t="s">
        <v>101</v>
      </c>
      <c r="P2951" s="2" t="str">
        <f>"2170603927                    "</f>
        <v xml:space="preserve">2170603927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5.03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1</v>
      </c>
      <c r="BJ2951" s="2">
        <v>0.2</v>
      </c>
      <c r="BK2951" s="2">
        <v>1</v>
      </c>
      <c r="BL2951" s="2">
        <v>35.89</v>
      </c>
      <c r="BM2951" s="2">
        <v>5.0199999999999996</v>
      </c>
      <c r="BN2951" s="2">
        <v>40.909999999999997</v>
      </c>
      <c r="BO2951" s="2">
        <v>40.909999999999997</v>
      </c>
      <c r="BQ2951" s="2" t="s">
        <v>128</v>
      </c>
      <c r="BR2951" s="2" t="s">
        <v>103</v>
      </c>
      <c r="BS2951" s="3">
        <v>43090</v>
      </c>
      <c r="BT2951" s="4">
        <v>0.41666666666666669</v>
      </c>
      <c r="BU2951" s="2" t="s">
        <v>205</v>
      </c>
      <c r="BV2951" s="2" t="s">
        <v>85</v>
      </c>
      <c r="BY2951" s="2">
        <v>1200</v>
      </c>
      <c r="CC2951" s="2" t="s">
        <v>278</v>
      </c>
      <c r="CD2951" s="2">
        <v>2162</v>
      </c>
      <c r="CE2951" s="2" t="s">
        <v>2749</v>
      </c>
      <c r="CF2951" s="3">
        <v>43091</v>
      </c>
      <c r="CI2951" s="2">
        <v>1</v>
      </c>
      <c r="CJ2951" s="2">
        <v>1</v>
      </c>
      <c r="CK2951" s="2">
        <v>22</v>
      </c>
      <c r="CL2951" s="2" t="s">
        <v>89</v>
      </c>
    </row>
    <row r="2952" spans="1:90">
      <c r="A2952" s="2" t="s">
        <v>71</v>
      </c>
      <c r="B2952" s="2" t="s">
        <v>72</v>
      </c>
      <c r="C2952" s="2" t="s">
        <v>73</v>
      </c>
      <c r="E2952" s="2" t="str">
        <f>"FES1162597145"</f>
        <v>FES1162597145</v>
      </c>
      <c r="F2952" s="3">
        <v>43089</v>
      </c>
      <c r="G2952" s="2">
        <v>201806</v>
      </c>
      <c r="H2952" s="2" t="s">
        <v>74</v>
      </c>
      <c r="I2952" s="2" t="s">
        <v>75</v>
      </c>
      <c r="J2952" s="2" t="s">
        <v>97</v>
      </c>
      <c r="K2952" s="2" t="s">
        <v>77</v>
      </c>
      <c r="L2952" s="2" t="s">
        <v>168</v>
      </c>
      <c r="M2952" s="2" t="s">
        <v>169</v>
      </c>
      <c r="N2952" s="2" t="s">
        <v>351</v>
      </c>
      <c r="O2952" s="2" t="s">
        <v>101</v>
      </c>
      <c r="P2952" s="2" t="str">
        <f>"2170606482                    "</f>
        <v xml:space="preserve">2170606482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6.43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</v>
      </c>
      <c r="BJ2952" s="2">
        <v>0.2</v>
      </c>
      <c r="BK2952" s="2">
        <v>1</v>
      </c>
      <c r="BL2952" s="2">
        <v>45.93</v>
      </c>
      <c r="BM2952" s="2">
        <v>6.43</v>
      </c>
      <c r="BN2952" s="2">
        <v>52.36</v>
      </c>
      <c r="BO2952" s="2">
        <v>52.36</v>
      </c>
      <c r="BQ2952" s="2" t="s">
        <v>102</v>
      </c>
      <c r="BR2952" s="2" t="s">
        <v>103</v>
      </c>
      <c r="BS2952" s="3">
        <v>43090</v>
      </c>
      <c r="BT2952" s="4">
        <v>0.3354166666666667</v>
      </c>
      <c r="BU2952" s="2" t="s">
        <v>868</v>
      </c>
      <c r="BV2952" s="2" t="s">
        <v>85</v>
      </c>
      <c r="BY2952" s="2">
        <v>1200</v>
      </c>
      <c r="CA2952" s="2" t="s">
        <v>220</v>
      </c>
      <c r="CC2952" s="2" t="s">
        <v>169</v>
      </c>
      <c r="CD2952" s="2">
        <v>3610</v>
      </c>
      <c r="CE2952" s="2" t="s">
        <v>2749</v>
      </c>
      <c r="CF2952" s="3">
        <v>43091</v>
      </c>
      <c r="CI2952" s="2">
        <v>1</v>
      </c>
      <c r="CJ2952" s="2">
        <v>1</v>
      </c>
      <c r="CK2952" s="2">
        <v>21</v>
      </c>
      <c r="CL2952" s="2" t="s">
        <v>89</v>
      </c>
    </row>
    <row r="2953" spans="1:90">
      <c r="A2953" s="2" t="s">
        <v>71</v>
      </c>
      <c r="B2953" s="2" t="s">
        <v>72</v>
      </c>
      <c r="C2953" s="2" t="s">
        <v>73</v>
      </c>
      <c r="E2953" s="2" t="str">
        <f>"FES1162597166"</f>
        <v>FES1162597166</v>
      </c>
      <c r="F2953" s="3">
        <v>43089</v>
      </c>
      <c r="G2953" s="2">
        <v>201806</v>
      </c>
      <c r="H2953" s="2" t="s">
        <v>74</v>
      </c>
      <c r="I2953" s="2" t="s">
        <v>75</v>
      </c>
      <c r="J2953" s="2" t="s">
        <v>97</v>
      </c>
      <c r="K2953" s="2" t="s">
        <v>77</v>
      </c>
      <c r="L2953" s="2" t="s">
        <v>136</v>
      </c>
      <c r="M2953" s="2" t="s">
        <v>137</v>
      </c>
      <c r="N2953" s="2" t="s">
        <v>1861</v>
      </c>
      <c r="O2953" s="2" t="s">
        <v>101</v>
      </c>
      <c r="P2953" s="2" t="str">
        <f>"2170608339                    "</f>
        <v xml:space="preserve">2170608339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6.43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1</v>
      </c>
      <c r="BJ2953" s="2">
        <v>0.2</v>
      </c>
      <c r="BK2953" s="2">
        <v>1</v>
      </c>
      <c r="BL2953" s="2">
        <v>45.93</v>
      </c>
      <c r="BM2953" s="2">
        <v>6.43</v>
      </c>
      <c r="BN2953" s="2">
        <v>52.36</v>
      </c>
      <c r="BO2953" s="2">
        <v>52.36</v>
      </c>
      <c r="BQ2953" s="2" t="s">
        <v>1862</v>
      </c>
      <c r="BR2953" s="2" t="s">
        <v>103</v>
      </c>
      <c r="BS2953" s="3">
        <v>43090</v>
      </c>
      <c r="BT2953" s="4">
        <v>0.33333333333333331</v>
      </c>
      <c r="BU2953" s="2" t="s">
        <v>2902</v>
      </c>
      <c r="BV2953" s="2" t="s">
        <v>85</v>
      </c>
      <c r="BY2953" s="2">
        <v>1200</v>
      </c>
      <c r="CA2953" s="2" t="s">
        <v>180</v>
      </c>
      <c r="CC2953" s="2" t="s">
        <v>137</v>
      </c>
      <c r="CD2953" s="2">
        <v>6001</v>
      </c>
      <c r="CE2953" s="2" t="s">
        <v>2749</v>
      </c>
      <c r="CF2953" s="3">
        <v>43096</v>
      </c>
      <c r="CI2953" s="2">
        <v>1</v>
      </c>
      <c r="CJ2953" s="2">
        <v>1</v>
      </c>
      <c r="CK2953" s="2">
        <v>21</v>
      </c>
      <c r="CL2953" s="2" t="s">
        <v>89</v>
      </c>
    </row>
    <row r="2954" spans="1:90">
      <c r="A2954" s="2" t="s">
        <v>71</v>
      </c>
      <c r="B2954" s="2" t="s">
        <v>72</v>
      </c>
      <c r="C2954" s="2" t="s">
        <v>73</v>
      </c>
      <c r="E2954" s="2" t="str">
        <f>"FES1162597047"</f>
        <v>FES1162597047</v>
      </c>
      <c r="F2954" s="3">
        <v>43089</v>
      </c>
      <c r="G2954" s="2">
        <v>201806</v>
      </c>
      <c r="H2954" s="2" t="s">
        <v>74</v>
      </c>
      <c r="I2954" s="2" t="s">
        <v>75</v>
      </c>
      <c r="J2954" s="2" t="s">
        <v>97</v>
      </c>
      <c r="K2954" s="2" t="s">
        <v>77</v>
      </c>
      <c r="L2954" s="2" t="s">
        <v>173</v>
      </c>
      <c r="M2954" s="2" t="s">
        <v>174</v>
      </c>
      <c r="N2954" s="2" t="s">
        <v>1259</v>
      </c>
      <c r="O2954" s="2" t="s">
        <v>101</v>
      </c>
      <c r="P2954" s="2" t="str">
        <f>"2170608553                    "</f>
        <v xml:space="preserve">2170608553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6.43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45.93</v>
      </c>
      <c r="BM2954" s="2">
        <v>6.43</v>
      </c>
      <c r="BN2954" s="2">
        <v>52.36</v>
      </c>
      <c r="BO2954" s="2">
        <v>52.36</v>
      </c>
      <c r="BQ2954" s="2" t="s">
        <v>82</v>
      </c>
      <c r="BR2954" s="2" t="s">
        <v>103</v>
      </c>
      <c r="BS2954" s="3">
        <v>43090</v>
      </c>
      <c r="BT2954" s="4">
        <v>0.41666666666666669</v>
      </c>
      <c r="BU2954" s="2" t="s">
        <v>755</v>
      </c>
      <c r="BV2954" s="2" t="s">
        <v>85</v>
      </c>
      <c r="BY2954" s="2">
        <v>1200</v>
      </c>
      <c r="CC2954" s="2" t="s">
        <v>174</v>
      </c>
      <c r="CD2954" s="2">
        <v>7800</v>
      </c>
      <c r="CE2954" s="2" t="s">
        <v>2749</v>
      </c>
      <c r="CF2954" s="3">
        <v>43091</v>
      </c>
      <c r="CI2954" s="2">
        <v>1</v>
      </c>
      <c r="CJ2954" s="2">
        <v>1</v>
      </c>
      <c r="CK2954" s="2">
        <v>21</v>
      </c>
      <c r="CL2954" s="2" t="s">
        <v>89</v>
      </c>
    </row>
    <row r="2955" spans="1:90">
      <c r="A2955" s="2" t="s">
        <v>71</v>
      </c>
      <c r="B2955" s="2" t="s">
        <v>72</v>
      </c>
      <c r="C2955" s="2" t="s">
        <v>73</v>
      </c>
      <c r="E2955" s="2" t="str">
        <f>"FES1162597040"</f>
        <v>FES1162597040</v>
      </c>
      <c r="F2955" s="3">
        <v>43089</v>
      </c>
      <c r="G2955" s="2">
        <v>201806</v>
      </c>
      <c r="H2955" s="2" t="s">
        <v>74</v>
      </c>
      <c r="I2955" s="2" t="s">
        <v>75</v>
      </c>
      <c r="J2955" s="2" t="s">
        <v>97</v>
      </c>
      <c r="K2955" s="2" t="s">
        <v>77</v>
      </c>
      <c r="L2955" s="2" t="s">
        <v>212</v>
      </c>
      <c r="M2955" s="2" t="s">
        <v>212</v>
      </c>
      <c r="N2955" s="2" t="s">
        <v>370</v>
      </c>
      <c r="O2955" s="2" t="s">
        <v>101</v>
      </c>
      <c r="P2955" s="2" t="str">
        <f>"2170608554                    "</f>
        <v xml:space="preserve">2170608554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6.43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1</v>
      </c>
      <c r="BJ2955" s="2">
        <v>0.2</v>
      </c>
      <c r="BK2955" s="2">
        <v>1</v>
      </c>
      <c r="BL2955" s="2">
        <v>45.93</v>
      </c>
      <c r="BM2955" s="2">
        <v>6.43</v>
      </c>
      <c r="BN2955" s="2">
        <v>52.36</v>
      </c>
      <c r="BO2955" s="2">
        <v>52.36</v>
      </c>
      <c r="BQ2955" s="2" t="s">
        <v>102</v>
      </c>
      <c r="BR2955" s="2" t="s">
        <v>103</v>
      </c>
      <c r="BS2955" s="3">
        <v>43090</v>
      </c>
      <c r="BT2955" s="4">
        <v>0.53472222222222221</v>
      </c>
      <c r="BU2955" s="2" t="s">
        <v>2903</v>
      </c>
      <c r="BV2955" s="2" t="s">
        <v>85</v>
      </c>
      <c r="BY2955" s="2">
        <v>1200</v>
      </c>
      <c r="CC2955" s="2" t="s">
        <v>212</v>
      </c>
      <c r="CD2955" s="2">
        <v>7646</v>
      </c>
      <c r="CE2955" s="2" t="s">
        <v>2749</v>
      </c>
      <c r="CF2955" s="3">
        <v>43091</v>
      </c>
      <c r="CI2955" s="2">
        <v>1</v>
      </c>
      <c r="CJ2955" s="2">
        <v>1</v>
      </c>
      <c r="CK2955" s="2">
        <v>21</v>
      </c>
      <c r="CL2955" s="2" t="s">
        <v>89</v>
      </c>
    </row>
    <row r="2956" spans="1:90">
      <c r="A2956" s="2" t="s">
        <v>71</v>
      </c>
      <c r="B2956" s="2" t="s">
        <v>72</v>
      </c>
      <c r="C2956" s="2" t="s">
        <v>73</v>
      </c>
      <c r="E2956" s="2" t="str">
        <f>"FES1162597142"</f>
        <v>FES1162597142</v>
      </c>
      <c r="F2956" s="3">
        <v>43089</v>
      </c>
      <c r="G2956" s="2">
        <v>201806</v>
      </c>
      <c r="H2956" s="2" t="s">
        <v>74</v>
      </c>
      <c r="I2956" s="2" t="s">
        <v>75</v>
      </c>
      <c r="J2956" s="2" t="s">
        <v>97</v>
      </c>
      <c r="K2956" s="2" t="s">
        <v>77</v>
      </c>
      <c r="L2956" s="2" t="s">
        <v>136</v>
      </c>
      <c r="M2956" s="2" t="s">
        <v>137</v>
      </c>
      <c r="N2956" s="2" t="s">
        <v>823</v>
      </c>
      <c r="O2956" s="2" t="s">
        <v>101</v>
      </c>
      <c r="P2956" s="2" t="str">
        <f>"2170606363                    "</f>
        <v xml:space="preserve">2170606363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6.43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1</v>
      </c>
      <c r="BJ2956" s="2">
        <v>0.2</v>
      </c>
      <c r="BK2956" s="2">
        <v>1</v>
      </c>
      <c r="BL2956" s="2">
        <v>45.93</v>
      </c>
      <c r="BM2956" s="2">
        <v>6.43</v>
      </c>
      <c r="BN2956" s="2">
        <v>52.36</v>
      </c>
      <c r="BO2956" s="2">
        <v>52.36</v>
      </c>
      <c r="BQ2956" s="2" t="s">
        <v>924</v>
      </c>
      <c r="BR2956" s="2" t="s">
        <v>103</v>
      </c>
      <c r="BS2956" s="2" t="s">
        <v>185</v>
      </c>
      <c r="BY2956" s="2">
        <v>1200</v>
      </c>
      <c r="CC2956" s="2" t="s">
        <v>137</v>
      </c>
      <c r="CD2956" s="2">
        <v>6001</v>
      </c>
      <c r="CE2956" s="2" t="s">
        <v>2749</v>
      </c>
      <c r="CI2956" s="2">
        <v>1</v>
      </c>
      <c r="CJ2956" s="2" t="s">
        <v>185</v>
      </c>
      <c r="CK2956" s="2">
        <v>21</v>
      </c>
      <c r="CL2956" s="2" t="s">
        <v>89</v>
      </c>
    </row>
    <row r="2957" spans="1:90">
      <c r="A2957" s="2" t="s">
        <v>71</v>
      </c>
      <c r="B2957" s="2" t="s">
        <v>72</v>
      </c>
      <c r="C2957" s="2" t="s">
        <v>73</v>
      </c>
      <c r="E2957" s="2" t="str">
        <f>"FES1162597157"</f>
        <v>FES1162597157</v>
      </c>
      <c r="F2957" s="3">
        <v>43089</v>
      </c>
      <c r="G2957" s="2">
        <v>201806</v>
      </c>
      <c r="H2957" s="2" t="s">
        <v>74</v>
      </c>
      <c r="I2957" s="2" t="s">
        <v>75</v>
      </c>
      <c r="J2957" s="2" t="s">
        <v>97</v>
      </c>
      <c r="K2957" s="2" t="s">
        <v>77</v>
      </c>
      <c r="L2957" s="2" t="s">
        <v>136</v>
      </c>
      <c r="M2957" s="2" t="s">
        <v>137</v>
      </c>
      <c r="N2957" s="2" t="s">
        <v>138</v>
      </c>
      <c r="O2957" s="2" t="s">
        <v>101</v>
      </c>
      <c r="P2957" s="2" t="str">
        <f>"2170607748                    "</f>
        <v xml:space="preserve">2170607748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6.43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1</v>
      </c>
      <c r="BJ2957" s="2">
        <v>0.2</v>
      </c>
      <c r="BK2957" s="2">
        <v>1</v>
      </c>
      <c r="BL2957" s="2">
        <v>45.93</v>
      </c>
      <c r="BM2957" s="2">
        <v>6.43</v>
      </c>
      <c r="BN2957" s="2">
        <v>52.36</v>
      </c>
      <c r="BO2957" s="2">
        <v>52.36</v>
      </c>
      <c r="BQ2957" s="2" t="s">
        <v>82</v>
      </c>
      <c r="BR2957" s="2" t="s">
        <v>103</v>
      </c>
      <c r="BS2957" s="2" t="s">
        <v>185</v>
      </c>
      <c r="BY2957" s="2">
        <v>1200</v>
      </c>
      <c r="CC2957" s="2" t="s">
        <v>137</v>
      </c>
      <c r="CD2957" s="2">
        <v>6001</v>
      </c>
      <c r="CE2957" s="2" t="s">
        <v>2749</v>
      </c>
      <c r="CI2957" s="2">
        <v>1</v>
      </c>
      <c r="CJ2957" s="2" t="s">
        <v>185</v>
      </c>
      <c r="CK2957" s="2">
        <v>21</v>
      </c>
      <c r="CL2957" s="2" t="s">
        <v>89</v>
      </c>
    </row>
    <row r="2958" spans="1:90">
      <c r="A2958" s="2" t="s">
        <v>71</v>
      </c>
      <c r="B2958" s="2" t="s">
        <v>72</v>
      </c>
      <c r="C2958" s="2" t="s">
        <v>73</v>
      </c>
      <c r="E2958" s="2" t="str">
        <f>"FES1162597140"</f>
        <v>FES1162597140</v>
      </c>
      <c r="F2958" s="3">
        <v>43089</v>
      </c>
      <c r="G2958" s="2">
        <v>201806</v>
      </c>
      <c r="H2958" s="2" t="s">
        <v>74</v>
      </c>
      <c r="I2958" s="2" t="s">
        <v>75</v>
      </c>
      <c r="J2958" s="2" t="s">
        <v>97</v>
      </c>
      <c r="K2958" s="2" t="s">
        <v>77</v>
      </c>
      <c r="L2958" s="2" t="s">
        <v>136</v>
      </c>
      <c r="M2958" s="2" t="s">
        <v>137</v>
      </c>
      <c r="N2958" s="2" t="s">
        <v>258</v>
      </c>
      <c r="O2958" s="2" t="s">
        <v>101</v>
      </c>
      <c r="P2958" s="2" t="str">
        <f>"2170605879                    "</f>
        <v xml:space="preserve">2170605879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6.43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1</v>
      </c>
      <c r="BJ2958" s="2">
        <v>0.2</v>
      </c>
      <c r="BK2958" s="2">
        <v>1</v>
      </c>
      <c r="BL2958" s="2">
        <v>45.93</v>
      </c>
      <c r="BM2958" s="2">
        <v>6.43</v>
      </c>
      <c r="BN2958" s="2">
        <v>52.36</v>
      </c>
      <c r="BO2958" s="2">
        <v>52.36</v>
      </c>
      <c r="BQ2958" s="2" t="s">
        <v>102</v>
      </c>
      <c r="BR2958" s="2" t="s">
        <v>103</v>
      </c>
      <c r="BS2958" s="3">
        <v>43090</v>
      </c>
      <c r="BT2958" s="4">
        <v>0.26041666666666669</v>
      </c>
      <c r="BU2958" s="2" t="s">
        <v>2904</v>
      </c>
      <c r="BV2958" s="2" t="s">
        <v>85</v>
      </c>
      <c r="BY2958" s="2">
        <v>1200</v>
      </c>
      <c r="CC2958" s="2" t="s">
        <v>137</v>
      </c>
      <c r="CD2958" s="2">
        <v>6001</v>
      </c>
      <c r="CE2958" s="2" t="s">
        <v>2749</v>
      </c>
      <c r="CF2958" s="3">
        <v>43096</v>
      </c>
      <c r="CI2958" s="2">
        <v>1</v>
      </c>
      <c r="CJ2958" s="2">
        <v>1</v>
      </c>
      <c r="CK2958" s="2">
        <v>21</v>
      </c>
      <c r="CL2958" s="2" t="s">
        <v>89</v>
      </c>
    </row>
    <row r="2959" spans="1:90">
      <c r="A2959" s="2" t="s">
        <v>71</v>
      </c>
      <c r="B2959" s="2" t="s">
        <v>72</v>
      </c>
      <c r="C2959" s="2" t="s">
        <v>73</v>
      </c>
      <c r="E2959" s="2" t="str">
        <f>"FES1162597060"</f>
        <v>FES1162597060</v>
      </c>
      <c r="F2959" s="3">
        <v>43089</v>
      </c>
      <c r="G2959" s="2">
        <v>201806</v>
      </c>
      <c r="H2959" s="2" t="s">
        <v>74</v>
      </c>
      <c r="I2959" s="2" t="s">
        <v>75</v>
      </c>
      <c r="J2959" s="2" t="s">
        <v>97</v>
      </c>
      <c r="K2959" s="2" t="s">
        <v>77</v>
      </c>
      <c r="L2959" s="2" t="s">
        <v>145</v>
      </c>
      <c r="M2959" s="2" t="s">
        <v>146</v>
      </c>
      <c r="N2959" s="2" t="s">
        <v>922</v>
      </c>
      <c r="O2959" s="2" t="s">
        <v>101</v>
      </c>
      <c r="P2959" s="2" t="str">
        <f>"2170608265                    "</f>
        <v xml:space="preserve">2170608265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6.43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1</v>
      </c>
      <c r="BJ2959" s="2">
        <v>0.2</v>
      </c>
      <c r="BK2959" s="2">
        <v>1</v>
      </c>
      <c r="BL2959" s="2">
        <v>45.93</v>
      </c>
      <c r="BM2959" s="2">
        <v>6.43</v>
      </c>
      <c r="BN2959" s="2">
        <v>52.36</v>
      </c>
      <c r="BO2959" s="2">
        <v>52.36</v>
      </c>
      <c r="BQ2959" s="2" t="s">
        <v>102</v>
      </c>
      <c r="BR2959" s="2" t="s">
        <v>103</v>
      </c>
      <c r="BS2959" s="3">
        <v>43090</v>
      </c>
      <c r="BT2959" s="4">
        <v>0.3354166666666667</v>
      </c>
      <c r="BU2959" s="2" t="s">
        <v>2891</v>
      </c>
      <c r="BV2959" s="2" t="s">
        <v>85</v>
      </c>
      <c r="BY2959" s="2">
        <v>1200</v>
      </c>
      <c r="CA2959" s="2" t="s">
        <v>629</v>
      </c>
      <c r="CC2959" s="2" t="s">
        <v>146</v>
      </c>
      <c r="CD2959" s="2">
        <v>5201</v>
      </c>
      <c r="CE2959" s="2" t="s">
        <v>2749</v>
      </c>
      <c r="CF2959" s="3">
        <v>43091</v>
      </c>
      <c r="CI2959" s="2">
        <v>1</v>
      </c>
      <c r="CJ2959" s="2">
        <v>1</v>
      </c>
      <c r="CK2959" s="2">
        <v>21</v>
      </c>
      <c r="CL2959" s="2" t="s">
        <v>89</v>
      </c>
    </row>
    <row r="2960" spans="1:90">
      <c r="A2960" s="2" t="s">
        <v>71</v>
      </c>
      <c r="B2960" s="2" t="s">
        <v>72</v>
      </c>
      <c r="C2960" s="2" t="s">
        <v>73</v>
      </c>
      <c r="E2960" s="2" t="str">
        <f>"FES1162597085"</f>
        <v>FES1162597085</v>
      </c>
      <c r="F2960" s="3">
        <v>43089</v>
      </c>
      <c r="G2960" s="2">
        <v>201806</v>
      </c>
      <c r="H2960" s="2" t="s">
        <v>74</v>
      </c>
      <c r="I2960" s="2" t="s">
        <v>75</v>
      </c>
      <c r="J2960" s="2" t="s">
        <v>97</v>
      </c>
      <c r="K2960" s="2" t="s">
        <v>77</v>
      </c>
      <c r="L2960" s="2" t="s">
        <v>145</v>
      </c>
      <c r="M2960" s="2" t="s">
        <v>146</v>
      </c>
      <c r="N2960" s="2" t="s">
        <v>147</v>
      </c>
      <c r="O2960" s="2" t="s">
        <v>101</v>
      </c>
      <c r="P2960" s="2" t="str">
        <f>"2170608573                    "</f>
        <v xml:space="preserve">2170608573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6.43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1</v>
      </c>
      <c r="BJ2960" s="2">
        <v>0.2</v>
      </c>
      <c r="BK2960" s="2">
        <v>1</v>
      </c>
      <c r="BL2960" s="2">
        <v>45.93</v>
      </c>
      <c r="BM2960" s="2">
        <v>6.43</v>
      </c>
      <c r="BN2960" s="2">
        <v>52.36</v>
      </c>
      <c r="BO2960" s="2">
        <v>52.36</v>
      </c>
      <c r="BQ2960" s="2" t="s">
        <v>686</v>
      </c>
      <c r="BR2960" s="2" t="s">
        <v>103</v>
      </c>
      <c r="BS2960" s="3">
        <v>43090</v>
      </c>
      <c r="BT2960" s="4">
        <v>0.41666666666666669</v>
      </c>
      <c r="BU2960" s="2" t="s">
        <v>2905</v>
      </c>
      <c r="BV2960" s="2" t="s">
        <v>85</v>
      </c>
      <c r="BY2960" s="2">
        <v>1200</v>
      </c>
      <c r="CC2960" s="2" t="s">
        <v>146</v>
      </c>
      <c r="CD2960" s="2">
        <v>5201</v>
      </c>
      <c r="CE2960" s="2" t="s">
        <v>2749</v>
      </c>
      <c r="CF2960" s="3">
        <v>43096</v>
      </c>
      <c r="CI2960" s="2">
        <v>1</v>
      </c>
      <c r="CJ2960" s="2">
        <v>1</v>
      </c>
      <c r="CK2960" s="2">
        <v>21</v>
      </c>
      <c r="CL2960" s="2" t="s">
        <v>89</v>
      </c>
    </row>
    <row r="2961" spans="1:90">
      <c r="A2961" s="2" t="s">
        <v>71</v>
      </c>
      <c r="B2961" s="2" t="s">
        <v>72</v>
      </c>
      <c r="C2961" s="2" t="s">
        <v>73</v>
      </c>
      <c r="E2961" s="2" t="str">
        <f>"FES1162596965"</f>
        <v>FES1162596965</v>
      </c>
      <c r="F2961" s="3">
        <v>43089</v>
      </c>
      <c r="G2961" s="2">
        <v>201806</v>
      </c>
      <c r="H2961" s="2" t="s">
        <v>74</v>
      </c>
      <c r="I2961" s="2" t="s">
        <v>75</v>
      </c>
      <c r="J2961" s="2" t="s">
        <v>97</v>
      </c>
      <c r="K2961" s="2" t="s">
        <v>77</v>
      </c>
      <c r="L2961" s="2" t="s">
        <v>162</v>
      </c>
      <c r="M2961" s="2" t="s">
        <v>163</v>
      </c>
      <c r="N2961" s="2" t="s">
        <v>1515</v>
      </c>
      <c r="O2961" s="2" t="s">
        <v>101</v>
      </c>
      <c r="P2961" s="2" t="str">
        <f>"2170603662                    "</f>
        <v xml:space="preserve">2170603662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5.03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2.7</v>
      </c>
      <c r="BJ2961" s="2">
        <v>5.6</v>
      </c>
      <c r="BK2961" s="2">
        <v>6</v>
      </c>
      <c r="BL2961" s="2">
        <v>35.89</v>
      </c>
      <c r="BM2961" s="2">
        <v>5.0199999999999996</v>
      </c>
      <c r="BN2961" s="2">
        <v>40.909999999999997</v>
      </c>
      <c r="BO2961" s="2">
        <v>40.909999999999997</v>
      </c>
      <c r="BQ2961" s="2" t="s">
        <v>1866</v>
      </c>
      <c r="BR2961" s="2" t="s">
        <v>103</v>
      </c>
      <c r="BS2961" s="3">
        <v>43090</v>
      </c>
      <c r="BT2961" s="4">
        <v>0.5541666666666667</v>
      </c>
      <c r="BU2961" s="2" t="s">
        <v>2906</v>
      </c>
      <c r="BV2961" s="2" t="s">
        <v>89</v>
      </c>
      <c r="BY2961" s="2">
        <v>27985</v>
      </c>
      <c r="CA2961" s="2" t="s">
        <v>1226</v>
      </c>
      <c r="CC2961" s="2" t="s">
        <v>163</v>
      </c>
      <c r="CD2961" s="2">
        <v>1451</v>
      </c>
      <c r="CE2961" s="2" t="s">
        <v>2863</v>
      </c>
      <c r="CF2961" s="3">
        <v>43096</v>
      </c>
      <c r="CI2961" s="2">
        <v>1</v>
      </c>
      <c r="CJ2961" s="2">
        <v>1</v>
      </c>
      <c r="CK2961" s="2">
        <v>22</v>
      </c>
      <c r="CL2961" s="2" t="s">
        <v>89</v>
      </c>
    </row>
    <row r="2962" spans="1:90">
      <c r="A2962" s="2" t="s">
        <v>71</v>
      </c>
      <c r="B2962" s="2" t="s">
        <v>72</v>
      </c>
      <c r="C2962" s="2" t="s">
        <v>73</v>
      </c>
      <c r="E2962" s="2" t="str">
        <f>"FES1162597151"</f>
        <v>FES1162597151</v>
      </c>
      <c r="F2962" s="3">
        <v>43089</v>
      </c>
      <c r="G2962" s="2">
        <v>201806</v>
      </c>
      <c r="H2962" s="2" t="s">
        <v>74</v>
      </c>
      <c r="I2962" s="2" t="s">
        <v>75</v>
      </c>
      <c r="J2962" s="2" t="s">
        <v>97</v>
      </c>
      <c r="K2962" s="2" t="s">
        <v>77</v>
      </c>
      <c r="L2962" s="2" t="s">
        <v>136</v>
      </c>
      <c r="M2962" s="2" t="s">
        <v>137</v>
      </c>
      <c r="N2962" s="2" t="s">
        <v>259</v>
      </c>
      <c r="O2962" s="2" t="s">
        <v>101</v>
      </c>
      <c r="P2962" s="2" t="str">
        <f>"21707262                      "</f>
        <v xml:space="preserve">21707262  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9.65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3</v>
      </c>
      <c r="BJ2962" s="2">
        <v>1.7</v>
      </c>
      <c r="BK2962" s="2">
        <v>3</v>
      </c>
      <c r="BL2962" s="2">
        <v>68.89</v>
      </c>
      <c r="BM2962" s="2">
        <v>9.64</v>
      </c>
      <c r="BN2962" s="2">
        <v>78.53</v>
      </c>
      <c r="BO2962" s="2">
        <v>78.53</v>
      </c>
      <c r="BQ2962" s="2" t="s">
        <v>102</v>
      </c>
      <c r="BR2962" s="2" t="s">
        <v>103</v>
      </c>
      <c r="BS2962" s="2" t="s">
        <v>185</v>
      </c>
      <c r="BY2962" s="2">
        <v>8669.9500000000007</v>
      </c>
      <c r="CC2962" s="2" t="s">
        <v>137</v>
      </c>
      <c r="CD2962" s="2">
        <v>6001</v>
      </c>
      <c r="CE2962" s="2" t="s">
        <v>2863</v>
      </c>
      <c r="CI2962" s="2">
        <v>1</v>
      </c>
      <c r="CJ2962" s="2" t="s">
        <v>185</v>
      </c>
      <c r="CK2962" s="2">
        <v>21</v>
      </c>
      <c r="CL2962" s="2" t="s">
        <v>89</v>
      </c>
    </row>
    <row r="2963" spans="1:90">
      <c r="A2963" s="2" t="s">
        <v>71</v>
      </c>
      <c r="B2963" s="2" t="s">
        <v>72</v>
      </c>
      <c r="C2963" s="2" t="s">
        <v>73</v>
      </c>
      <c r="E2963" s="2" t="str">
        <f>"FES1162596967"</f>
        <v>FES1162596967</v>
      </c>
      <c r="F2963" s="3">
        <v>43089</v>
      </c>
      <c r="G2963" s="2">
        <v>201806</v>
      </c>
      <c r="H2963" s="2" t="s">
        <v>74</v>
      </c>
      <c r="I2963" s="2" t="s">
        <v>75</v>
      </c>
      <c r="J2963" s="2" t="s">
        <v>97</v>
      </c>
      <c r="K2963" s="2" t="s">
        <v>77</v>
      </c>
      <c r="L2963" s="2" t="s">
        <v>115</v>
      </c>
      <c r="M2963" s="2" t="s">
        <v>116</v>
      </c>
      <c r="N2963" s="2" t="s">
        <v>724</v>
      </c>
      <c r="O2963" s="2" t="s">
        <v>101</v>
      </c>
      <c r="P2963" s="2" t="str">
        <f>"2170603963                    "</f>
        <v xml:space="preserve">2170603963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5.03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0.7</v>
      </c>
      <c r="BJ2963" s="2">
        <v>0.8</v>
      </c>
      <c r="BK2963" s="2">
        <v>1</v>
      </c>
      <c r="BL2963" s="2">
        <v>35.89</v>
      </c>
      <c r="BM2963" s="2">
        <v>5.0199999999999996</v>
      </c>
      <c r="BN2963" s="2">
        <v>40.909999999999997</v>
      </c>
      <c r="BO2963" s="2">
        <v>40.909999999999997</v>
      </c>
      <c r="BQ2963" s="2" t="s">
        <v>229</v>
      </c>
      <c r="BR2963" s="2" t="s">
        <v>103</v>
      </c>
      <c r="BS2963" s="3">
        <v>43090</v>
      </c>
      <c r="BT2963" s="4">
        <v>0.4375</v>
      </c>
      <c r="BU2963" s="2" t="s">
        <v>2623</v>
      </c>
      <c r="BV2963" s="2" t="s">
        <v>85</v>
      </c>
      <c r="BY2963" s="2">
        <v>3914.68</v>
      </c>
      <c r="CC2963" s="2" t="s">
        <v>116</v>
      </c>
      <c r="CD2963" s="2">
        <v>1459</v>
      </c>
      <c r="CE2963" s="2" t="s">
        <v>2863</v>
      </c>
      <c r="CF2963" s="3">
        <v>43096</v>
      </c>
      <c r="CI2963" s="2">
        <v>1</v>
      </c>
      <c r="CJ2963" s="2">
        <v>1</v>
      </c>
      <c r="CK2963" s="2">
        <v>22</v>
      </c>
      <c r="CL2963" s="2" t="s">
        <v>89</v>
      </c>
    </row>
    <row r="2964" spans="1:90">
      <c r="A2964" s="2" t="s">
        <v>71</v>
      </c>
      <c r="B2964" s="2" t="s">
        <v>72</v>
      </c>
      <c r="C2964" s="2" t="s">
        <v>73</v>
      </c>
      <c r="E2964" s="2" t="str">
        <f>"FES1162597198"</f>
        <v>FES1162597198</v>
      </c>
      <c r="F2964" s="3">
        <v>43089</v>
      </c>
      <c r="G2964" s="2">
        <v>201806</v>
      </c>
      <c r="H2964" s="2" t="s">
        <v>74</v>
      </c>
      <c r="I2964" s="2" t="s">
        <v>75</v>
      </c>
      <c r="J2964" s="2" t="s">
        <v>97</v>
      </c>
      <c r="K2964" s="2" t="s">
        <v>77</v>
      </c>
      <c r="L2964" s="2" t="s">
        <v>136</v>
      </c>
      <c r="M2964" s="2" t="s">
        <v>137</v>
      </c>
      <c r="N2964" s="2" t="s">
        <v>660</v>
      </c>
      <c r="O2964" s="2" t="s">
        <v>101</v>
      </c>
      <c r="P2964" s="2" t="str">
        <f>"2170606123                    "</f>
        <v xml:space="preserve">2170606123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6.43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1.5</v>
      </c>
      <c r="BJ2964" s="2">
        <v>0.9</v>
      </c>
      <c r="BK2964" s="2">
        <v>1.5</v>
      </c>
      <c r="BL2964" s="2">
        <v>45.93</v>
      </c>
      <c r="BM2964" s="2">
        <v>6.43</v>
      </c>
      <c r="BN2964" s="2">
        <v>52.36</v>
      </c>
      <c r="BO2964" s="2">
        <v>52.36</v>
      </c>
      <c r="BQ2964" s="2" t="s">
        <v>1346</v>
      </c>
      <c r="BR2964" s="2" t="s">
        <v>103</v>
      </c>
      <c r="BS2964" s="3">
        <v>43090</v>
      </c>
      <c r="BT2964" s="4">
        <v>0.37152777777777773</v>
      </c>
      <c r="BU2964" s="2" t="s">
        <v>661</v>
      </c>
      <c r="BV2964" s="2" t="s">
        <v>85</v>
      </c>
      <c r="BY2964" s="2">
        <v>4658.1899999999996</v>
      </c>
      <c r="CA2964" s="2" t="s">
        <v>180</v>
      </c>
      <c r="CC2964" s="2" t="s">
        <v>137</v>
      </c>
      <c r="CD2964" s="2">
        <v>6001</v>
      </c>
      <c r="CE2964" s="2" t="s">
        <v>2863</v>
      </c>
      <c r="CF2964" s="3">
        <v>43096</v>
      </c>
      <c r="CI2964" s="2">
        <v>1</v>
      </c>
      <c r="CJ2964" s="2">
        <v>1</v>
      </c>
      <c r="CK2964" s="2">
        <v>21</v>
      </c>
      <c r="CL2964" s="2" t="s">
        <v>89</v>
      </c>
    </row>
    <row r="2965" spans="1:90">
      <c r="A2965" s="2" t="s">
        <v>71</v>
      </c>
      <c r="B2965" s="2" t="s">
        <v>72</v>
      </c>
      <c r="C2965" s="2" t="s">
        <v>73</v>
      </c>
      <c r="E2965" s="2" t="str">
        <f>"FES1162597084"</f>
        <v>FES1162597084</v>
      </c>
      <c r="F2965" s="3">
        <v>43089</v>
      </c>
      <c r="G2965" s="2">
        <v>201806</v>
      </c>
      <c r="H2965" s="2" t="s">
        <v>74</v>
      </c>
      <c r="I2965" s="2" t="s">
        <v>75</v>
      </c>
      <c r="J2965" s="2" t="s">
        <v>97</v>
      </c>
      <c r="K2965" s="2" t="s">
        <v>77</v>
      </c>
      <c r="L2965" s="2" t="s">
        <v>173</v>
      </c>
      <c r="M2965" s="2" t="s">
        <v>174</v>
      </c>
      <c r="N2965" s="2" t="s">
        <v>741</v>
      </c>
      <c r="O2965" s="2" t="s">
        <v>101</v>
      </c>
      <c r="P2965" s="2" t="str">
        <f>"2170608576                    "</f>
        <v xml:space="preserve">2170608576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12.87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2</v>
      </c>
      <c r="BJ2965" s="2">
        <v>3.6</v>
      </c>
      <c r="BK2965" s="2">
        <v>4</v>
      </c>
      <c r="BL2965" s="2">
        <v>91.85</v>
      </c>
      <c r="BM2965" s="2">
        <v>12.86</v>
      </c>
      <c r="BN2965" s="2">
        <v>104.71</v>
      </c>
      <c r="BO2965" s="2">
        <v>104.71</v>
      </c>
      <c r="BR2965" s="2" t="s">
        <v>103</v>
      </c>
      <c r="BS2965" s="3">
        <v>43090</v>
      </c>
      <c r="BT2965" s="4">
        <v>0.41666666666666669</v>
      </c>
      <c r="BU2965" s="2" t="s">
        <v>2907</v>
      </c>
      <c r="BV2965" s="2" t="s">
        <v>85</v>
      </c>
      <c r="BY2965" s="2">
        <v>18018</v>
      </c>
      <c r="CA2965" s="2" t="s">
        <v>293</v>
      </c>
      <c r="CC2965" s="2" t="s">
        <v>174</v>
      </c>
      <c r="CD2965" s="2">
        <v>7915</v>
      </c>
      <c r="CE2965" s="2" t="s">
        <v>2863</v>
      </c>
      <c r="CF2965" s="3">
        <v>43091</v>
      </c>
      <c r="CI2965" s="2">
        <v>1</v>
      </c>
      <c r="CJ2965" s="2">
        <v>1</v>
      </c>
      <c r="CK2965" s="2">
        <v>21</v>
      </c>
      <c r="CL2965" s="2" t="s">
        <v>89</v>
      </c>
    </row>
    <row r="2966" spans="1:90">
      <c r="A2966" s="2" t="s">
        <v>71</v>
      </c>
      <c r="B2966" s="2" t="s">
        <v>72</v>
      </c>
      <c r="C2966" s="2" t="s">
        <v>73</v>
      </c>
      <c r="E2966" s="2" t="str">
        <f>"FES1162596804"</f>
        <v>FES1162596804</v>
      </c>
      <c r="F2966" s="3">
        <v>43089</v>
      </c>
      <c r="G2966" s="2">
        <v>201806</v>
      </c>
      <c r="H2966" s="2" t="s">
        <v>74</v>
      </c>
      <c r="I2966" s="2" t="s">
        <v>75</v>
      </c>
      <c r="J2966" s="2" t="s">
        <v>97</v>
      </c>
      <c r="K2966" s="2" t="s">
        <v>77</v>
      </c>
      <c r="L2966" s="2" t="s">
        <v>74</v>
      </c>
      <c r="M2966" s="2" t="s">
        <v>75</v>
      </c>
      <c r="N2966" s="2" t="s">
        <v>204</v>
      </c>
      <c r="O2966" s="2" t="s">
        <v>101</v>
      </c>
      <c r="P2966" s="2" t="str">
        <f>"2170608426                    "</f>
        <v xml:space="preserve">2170608426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5.03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</v>
      </c>
      <c r="BJ2966" s="2">
        <v>0.2</v>
      </c>
      <c r="BK2966" s="2">
        <v>1</v>
      </c>
      <c r="BL2966" s="2">
        <v>35.89</v>
      </c>
      <c r="BM2966" s="2">
        <v>5.0199999999999996</v>
      </c>
      <c r="BN2966" s="2">
        <v>40.909999999999997</v>
      </c>
      <c r="BO2966" s="2">
        <v>40.909999999999997</v>
      </c>
      <c r="BQ2966" s="2" t="s">
        <v>102</v>
      </c>
      <c r="BR2966" s="2" t="s">
        <v>103</v>
      </c>
      <c r="BS2966" s="3">
        <v>43090</v>
      </c>
      <c r="BT2966" s="4">
        <v>0.32083333333333336</v>
      </c>
      <c r="BU2966" s="2" t="s">
        <v>205</v>
      </c>
      <c r="BV2966" s="2" t="s">
        <v>85</v>
      </c>
      <c r="BY2966" s="2">
        <v>1200</v>
      </c>
      <c r="CC2966" s="2" t="s">
        <v>75</v>
      </c>
      <c r="CD2966" s="2">
        <v>1645</v>
      </c>
      <c r="CE2966" s="2" t="s">
        <v>2749</v>
      </c>
      <c r="CF2966" s="3">
        <v>43091</v>
      </c>
      <c r="CI2966" s="2">
        <v>1</v>
      </c>
      <c r="CJ2966" s="2">
        <v>1</v>
      </c>
      <c r="CK2966" s="2">
        <v>22</v>
      </c>
      <c r="CL2966" s="2" t="s">
        <v>89</v>
      </c>
    </row>
    <row r="2967" spans="1:90">
      <c r="A2967" s="2" t="s">
        <v>71</v>
      </c>
      <c r="B2967" s="2" t="s">
        <v>72</v>
      </c>
      <c r="C2967" s="2" t="s">
        <v>73</v>
      </c>
      <c r="E2967" s="2" t="str">
        <f>"FES1162596958"</f>
        <v>FES1162596958</v>
      </c>
      <c r="F2967" s="3">
        <v>43089</v>
      </c>
      <c r="G2967" s="2">
        <v>201806</v>
      </c>
      <c r="H2967" s="2" t="s">
        <v>74</v>
      </c>
      <c r="I2967" s="2" t="s">
        <v>75</v>
      </c>
      <c r="J2967" s="2" t="s">
        <v>97</v>
      </c>
      <c r="K2967" s="2" t="s">
        <v>77</v>
      </c>
      <c r="L2967" s="2" t="s">
        <v>115</v>
      </c>
      <c r="M2967" s="2" t="s">
        <v>116</v>
      </c>
      <c r="N2967" s="2" t="s">
        <v>2908</v>
      </c>
      <c r="O2967" s="2" t="s">
        <v>101</v>
      </c>
      <c r="P2967" s="2" t="str">
        <f>"21706079152                   "</f>
        <v xml:space="preserve">21706079152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5.63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8.1999999999999993</v>
      </c>
      <c r="BJ2967" s="2">
        <v>8.3000000000000007</v>
      </c>
      <c r="BK2967" s="2">
        <v>9</v>
      </c>
      <c r="BL2967" s="2">
        <v>40.19</v>
      </c>
      <c r="BM2967" s="2">
        <v>5.63</v>
      </c>
      <c r="BN2967" s="2">
        <v>45.82</v>
      </c>
      <c r="BO2967" s="2">
        <v>45.82</v>
      </c>
      <c r="BQ2967" s="2" t="s">
        <v>128</v>
      </c>
      <c r="BR2967" s="2" t="s">
        <v>103</v>
      </c>
      <c r="BS2967" s="3">
        <v>43090</v>
      </c>
      <c r="BT2967" s="4">
        <v>0.40208333333333335</v>
      </c>
      <c r="BU2967" s="2" t="s">
        <v>2909</v>
      </c>
      <c r="BV2967" s="2" t="s">
        <v>85</v>
      </c>
      <c r="BY2967" s="2">
        <v>41558.400000000001</v>
      </c>
      <c r="CC2967" s="2" t="s">
        <v>116</v>
      </c>
      <c r="CD2967" s="2">
        <v>1460</v>
      </c>
      <c r="CE2967" s="2" t="s">
        <v>2863</v>
      </c>
      <c r="CF2967" s="3">
        <v>43096</v>
      </c>
      <c r="CI2967" s="2">
        <v>1</v>
      </c>
      <c r="CJ2967" s="2">
        <v>1</v>
      </c>
      <c r="CK2967" s="2">
        <v>22</v>
      </c>
      <c r="CL2967" s="2" t="s">
        <v>89</v>
      </c>
    </row>
    <row r="2968" spans="1:90">
      <c r="A2968" s="2" t="s">
        <v>71</v>
      </c>
      <c r="B2968" s="2" t="s">
        <v>72</v>
      </c>
      <c r="C2968" s="2" t="s">
        <v>73</v>
      </c>
      <c r="E2968" s="2" t="str">
        <f>"FES1162596979"</f>
        <v>FES1162596979</v>
      </c>
      <c r="F2968" s="3">
        <v>43089</v>
      </c>
      <c r="G2968" s="2">
        <v>201806</v>
      </c>
      <c r="H2968" s="2" t="s">
        <v>74</v>
      </c>
      <c r="I2968" s="2" t="s">
        <v>75</v>
      </c>
      <c r="J2968" s="2" t="s">
        <v>97</v>
      </c>
      <c r="K2968" s="2" t="s">
        <v>77</v>
      </c>
      <c r="L2968" s="2" t="s">
        <v>2139</v>
      </c>
      <c r="M2968" s="2" t="s">
        <v>2140</v>
      </c>
      <c r="N2968" s="2" t="s">
        <v>2141</v>
      </c>
      <c r="O2968" s="2" t="s">
        <v>101</v>
      </c>
      <c r="P2968" s="2" t="str">
        <f>"2170606090                    "</f>
        <v xml:space="preserve">2170606090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5.03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1.3</v>
      </c>
      <c r="BJ2968" s="2">
        <v>2.8</v>
      </c>
      <c r="BK2968" s="2">
        <v>3</v>
      </c>
      <c r="BL2968" s="2">
        <v>35.89</v>
      </c>
      <c r="BM2968" s="2">
        <v>5.0199999999999996</v>
      </c>
      <c r="BN2968" s="2">
        <v>40.909999999999997</v>
      </c>
      <c r="BO2968" s="2">
        <v>40.909999999999997</v>
      </c>
      <c r="BQ2968" s="2" t="s">
        <v>2142</v>
      </c>
      <c r="BR2968" s="2" t="s">
        <v>103</v>
      </c>
      <c r="BS2968" s="3">
        <v>43090</v>
      </c>
      <c r="BT2968" s="4">
        <v>0.41666666666666669</v>
      </c>
      <c r="BU2968" s="2" t="s">
        <v>205</v>
      </c>
      <c r="BV2968" s="2" t="s">
        <v>85</v>
      </c>
      <c r="BY2968" s="2">
        <v>14026.88</v>
      </c>
      <c r="CC2968" s="2" t="s">
        <v>2140</v>
      </c>
      <c r="CD2968" s="2">
        <v>1684</v>
      </c>
      <c r="CE2968" s="2" t="s">
        <v>2858</v>
      </c>
      <c r="CF2968" s="3">
        <v>43091</v>
      </c>
      <c r="CI2968" s="2">
        <v>1</v>
      </c>
      <c r="CJ2968" s="2">
        <v>1</v>
      </c>
      <c r="CK2968" s="2">
        <v>22</v>
      </c>
      <c r="CL2968" s="2" t="s">
        <v>89</v>
      </c>
    </row>
    <row r="2969" spans="1:90">
      <c r="A2969" s="2" t="s">
        <v>71</v>
      </c>
      <c r="B2969" s="2" t="s">
        <v>72</v>
      </c>
      <c r="C2969" s="2" t="s">
        <v>73</v>
      </c>
      <c r="E2969" s="2" t="str">
        <f>"FES1162597112"</f>
        <v>FES1162597112</v>
      </c>
      <c r="F2969" s="3">
        <v>43089</v>
      </c>
      <c r="G2969" s="2">
        <v>201806</v>
      </c>
      <c r="H2969" s="2" t="s">
        <v>74</v>
      </c>
      <c r="I2969" s="2" t="s">
        <v>75</v>
      </c>
      <c r="J2969" s="2" t="s">
        <v>97</v>
      </c>
      <c r="K2969" s="2" t="s">
        <v>77</v>
      </c>
      <c r="L2969" s="2" t="s">
        <v>74</v>
      </c>
      <c r="M2969" s="2" t="s">
        <v>75</v>
      </c>
      <c r="N2969" s="2" t="s">
        <v>201</v>
      </c>
      <c r="O2969" s="2" t="s">
        <v>101</v>
      </c>
      <c r="P2969" s="2" t="str">
        <f>"2170604438                    "</f>
        <v xml:space="preserve">2170604438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5.03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1</v>
      </c>
      <c r="BJ2969" s="2">
        <v>0.2</v>
      </c>
      <c r="BK2969" s="2">
        <v>1</v>
      </c>
      <c r="BL2969" s="2">
        <v>35.89</v>
      </c>
      <c r="BM2969" s="2">
        <v>5.0199999999999996</v>
      </c>
      <c r="BN2969" s="2">
        <v>40.909999999999997</v>
      </c>
      <c r="BO2969" s="2">
        <v>40.909999999999997</v>
      </c>
      <c r="BQ2969" s="2" t="s">
        <v>102</v>
      </c>
      <c r="BR2969" s="2" t="s">
        <v>103</v>
      </c>
      <c r="BS2969" s="3">
        <v>43090</v>
      </c>
      <c r="BT2969" s="4">
        <v>0.41666666666666669</v>
      </c>
      <c r="BU2969" s="2" t="s">
        <v>2910</v>
      </c>
      <c r="BV2969" s="2" t="s">
        <v>85</v>
      </c>
      <c r="BY2969" s="2">
        <v>1200</v>
      </c>
      <c r="CC2969" s="2" t="s">
        <v>75</v>
      </c>
      <c r="CD2969" s="2">
        <v>1665</v>
      </c>
      <c r="CE2969" s="2" t="s">
        <v>2749</v>
      </c>
      <c r="CF2969" s="3">
        <v>43091</v>
      </c>
      <c r="CI2969" s="2">
        <v>1</v>
      </c>
      <c r="CJ2969" s="2">
        <v>1</v>
      </c>
      <c r="CK2969" s="2">
        <v>22</v>
      </c>
      <c r="CL2969" s="2" t="s">
        <v>89</v>
      </c>
    </row>
    <row r="2970" spans="1:90">
      <c r="A2970" s="2" t="s">
        <v>71</v>
      </c>
      <c r="B2970" s="2" t="s">
        <v>72</v>
      </c>
      <c r="C2970" s="2" t="s">
        <v>73</v>
      </c>
      <c r="E2970" s="2" t="str">
        <f>"FES1162597156"</f>
        <v>FES1162597156</v>
      </c>
      <c r="F2970" s="3">
        <v>43089</v>
      </c>
      <c r="G2970" s="2">
        <v>201806</v>
      </c>
      <c r="H2970" s="2" t="s">
        <v>74</v>
      </c>
      <c r="I2970" s="2" t="s">
        <v>75</v>
      </c>
      <c r="J2970" s="2" t="s">
        <v>97</v>
      </c>
      <c r="K2970" s="2" t="s">
        <v>77</v>
      </c>
      <c r="L2970" s="2" t="s">
        <v>158</v>
      </c>
      <c r="M2970" s="2" t="s">
        <v>159</v>
      </c>
      <c r="N2970" s="2" t="s">
        <v>588</v>
      </c>
      <c r="O2970" s="2" t="s">
        <v>101</v>
      </c>
      <c r="P2970" s="2" t="str">
        <f>"2170607728                    "</f>
        <v xml:space="preserve">2170607728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6.43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</v>
      </c>
      <c r="BJ2970" s="2">
        <v>0.2</v>
      </c>
      <c r="BK2970" s="2">
        <v>1</v>
      </c>
      <c r="BL2970" s="2">
        <v>45.93</v>
      </c>
      <c r="BM2970" s="2">
        <v>6.43</v>
      </c>
      <c r="BN2970" s="2">
        <v>52.36</v>
      </c>
      <c r="BO2970" s="2">
        <v>52.36</v>
      </c>
      <c r="BQ2970" s="2" t="s">
        <v>102</v>
      </c>
      <c r="BR2970" s="2" t="s">
        <v>103</v>
      </c>
      <c r="BS2970" s="2" t="s">
        <v>185</v>
      </c>
      <c r="BY2970" s="2">
        <v>1200</v>
      </c>
      <c r="CC2970" s="2" t="s">
        <v>159</v>
      </c>
      <c r="CD2970" s="2">
        <v>40</v>
      </c>
      <c r="CE2970" s="2" t="s">
        <v>2749</v>
      </c>
      <c r="CI2970" s="2">
        <v>1</v>
      </c>
      <c r="CJ2970" s="2" t="s">
        <v>185</v>
      </c>
      <c r="CK2970" s="2">
        <v>21</v>
      </c>
      <c r="CL2970" s="2" t="s">
        <v>89</v>
      </c>
    </row>
    <row r="2971" spans="1:90">
      <c r="A2971" s="2" t="s">
        <v>71</v>
      </c>
      <c r="B2971" s="2" t="s">
        <v>72</v>
      </c>
      <c r="C2971" s="2" t="s">
        <v>73</v>
      </c>
      <c r="E2971" s="2" t="str">
        <f>"FES1162597180"</f>
        <v>FES1162597180</v>
      </c>
      <c r="F2971" s="3">
        <v>43089</v>
      </c>
      <c r="G2971" s="2">
        <v>201806</v>
      </c>
      <c r="H2971" s="2" t="s">
        <v>74</v>
      </c>
      <c r="I2971" s="2" t="s">
        <v>75</v>
      </c>
      <c r="J2971" s="2" t="s">
        <v>97</v>
      </c>
      <c r="K2971" s="2" t="s">
        <v>77</v>
      </c>
      <c r="L2971" s="2" t="s">
        <v>125</v>
      </c>
      <c r="M2971" s="2" t="s">
        <v>126</v>
      </c>
      <c r="N2971" s="2" t="s">
        <v>2712</v>
      </c>
      <c r="O2971" s="2" t="s">
        <v>101</v>
      </c>
      <c r="P2971" s="2" t="str">
        <f>"2170600779                    "</f>
        <v xml:space="preserve">2170600779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6.43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</v>
      </c>
      <c r="BJ2971" s="2">
        <v>0.2</v>
      </c>
      <c r="BK2971" s="2">
        <v>1</v>
      </c>
      <c r="BL2971" s="2">
        <v>45.93</v>
      </c>
      <c r="BM2971" s="2">
        <v>6.43</v>
      </c>
      <c r="BN2971" s="2">
        <v>52.36</v>
      </c>
      <c r="BO2971" s="2">
        <v>52.36</v>
      </c>
      <c r="BQ2971" s="2" t="s">
        <v>2713</v>
      </c>
      <c r="BR2971" s="2" t="s">
        <v>103</v>
      </c>
      <c r="BS2971" s="3">
        <v>43090</v>
      </c>
      <c r="BT2971" s="4">
        <v>0.3659722222222222</v>
      </c>
      <c r="BU2971" s="2" t="s">
        <v>2224</v>
      </c>
      <c r="BV2971" s="2" t="s">
        <v>85</v>
      </c>
      <c r="BY2971" s="2">
        <v>1200</v>
      </c>
      <c r="CC2971" s="2" t="s">
        <v>126</v>
      </c>
      <c r="CD2971" s="2">
        <v>4001</v>
      </c>
      <c r="CE2971" s="2" t="s">
        <v>2749</v>
      </c>
      <c r="CF2971" s="3">
        <v>43091</v>
      </c>
      <c r="CI2971" s="2">
        <v>1</v>
      </c>
      <c r="CJ2971" s="2">
        <v>1</v>
      </c>
      <c r="CK2971" s="2">
        <v>21</v>
      </c>
      <c r="CL2971" s="2" t="s">
        <v>89</v>
      </c>
    </row>
    <row r="2972" spans="1:90">
      <c r="A2972" s="2" t="s">
        <v>71</v>
      </c>
      <c r="B2972" s="2" t="s">
        <v>72</v>
      </c>
      <c r="C2972" s="2" t="s">
        <v>73</v>
      </c>
      <c r="E2972" s="2" t="str">
        <f>"FES1162597255"</f>
        <v>FES1162597255</v>
      </c>
      <c r="F2972" s="3">
        <v>43089</v>
      </c>
      <c r="G2972" s="2">
        <v>201806</v>
      </c>
      <c r="H2972" s="2" t="s">
        <v>74</v>
      </c>
      <c r="I2972" s="2" t="s">
        <v>75</v>
      </c>
      <c r="J2972" s="2" t="s">
        <v>97</v>
      </c>
      <c r="K2972" s="2" t="s">
        <v>77</v>
      </c>
      <c r="L2972" s="2" t="s">
        <v>125</v>
      </c>
      <c r="M2972" s="2" t="s">
        <v>126</v>
      </c>
      <c r="N2972" s="2" t="s">
        <v>856</v>
      </c>
      <c r="O2972" s="2" t="s">
        <v>101</v>
      </c>
      <c r="P2972" s="2" t="str">
        <f>"2170608616                    "</f>
        <v xml:space="preserve">2170608616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6.43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1</v>
      </c>
      <c r="BJ2972" s="2">
        <v>0.2</v>
      </c>
      <c r="BK2972" s="2">
        <v>1</v>
      </c>
      <c r="BL2972" s="2">
        <v>45.93</v>
      </c>
      <c r="BM2972" s="2">
        <v>6.43</v>
      </c>
      <c r="BN2972" s="2">
        <v>52.36</v>
      </c>
      <c r="BO2972" s="2">
        <v>52.36</v>
      </c>
      <c r="BQ2972" s="2" t="s">
        <v>82</v>
      </c>
      <c r="BR2972" s="2" t="s">
        <v>103</v>
      </c>
      <c r="BS2972" s="3">
        <v>43090</v>
      </c>
      <c r="BT2972" s="4">
        <v>0.36458333333333331</v>
      </c>
      <c r="BU2972" s="2" t="s">
        <v>857</v>
      </c>
      <c r="BV2972" s="2" t="s">
        <v>85</v>
      </c>
      <c r="BY2972" s="2">
        <v>1200</v>
      </c>
      <c r="CA2972" s="2" t="s">
        <v>135</v>
      </c>
      <c r="CC2972" s="2" t="s">
        <v>126</v>
      </c>
      <c r="CD2972" s="2">
        <v>4068</v>
      </c>
      <c r="CE2972" s="2" t="s">
        <v>2749</v>
      </c>
      <c r="CF2972" s="3">
        <v>43091</v>
      </c>
      <c r="CI2972" s="2">
        <v>1</v>
      </c>
      <c r="CJ2972" s="2">
        <v>1</v>
      </c>
      <c r="CK2972" s="2">
        <v>21</v>
      </c>
      <c r="CL2972" s="2" t="s">
        <v>89</v>
      </c>
    </row>
    <row r="2973" spans="1:90">
      <c r="A2973" s="2" t="s">
        <v>71</v>
      </c>
      <c r="B2973" s="2" t="s">
        <v>72</v>
      </c>
      <c r="C2973" s="2" t="s">
        <v>73</v>
      </c>
      <c r="E2973" s="2" t="str">
        <f>"FES1162597225"</f>
        <v>FES1162597225</v>
      </c>
      <c r="F2973" s="3">
        <v>43089</v>
      </c>
      <c r="G2973" s="2">
        <v>201806</v>
      </c>
      <c r="H2973" s="2" t="s">
        <v>74</v>
      </c>
      <c r="I2973" s="2" t="s">
        <v>75</v>
      </c>
      <c r="J2973" s="2" t="s">
        <v>97</v>
      </c>
      <c r="K2973" s="2" t="s">
        <v>77</v>
      </c>
      <c r="L2973" s="2" t="s">
        <v>125</v>
      </c>
      <c r="M2973" s="2" t="s">
        <v>126</v>
      </c>
      <c r="N2973" s="2" t="s">
        <v>1034</v>
      </c>
      <c r="O2973" s="2" t="s">
        <v>101</v>
      </c>
      <c r="P2973" s="2" t="str">
        <f>"2170608551                    "</f>
        <v xml:space="preserve">2170608551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6.43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1</v>
      </c>
      <c r="BJ2973" s="2">
        <v>0.2</v>
      </c>
      <c r="BK2973" s="2">
        <v>1</v>
      </c>
      <c r="BL2973" s="2">
        <v>45.93</v>
      </c>
      <c r="BM2973" s="2">
        <v>6.43</v>
      </c>
      <c r="BN2973" s="2">
        <v>52.36</v>
      </c>
      <c r="BO2973" s="2">
        <v>52.36</v>
      </c>
      <c r="BQ2973" s="2" t="s">
        <v>128</v>
      </c>
      <c r="BR2973" s="2" t="s">
        <v>103</v>
      </c>
      <c r="BS2973" s="3">
        <v>43090</v>
      </c>
      <c r="BT2973" s="4">
        <v>0.43055555555555558</v>
      </c>
      <c r="BU2973" s="2" t="s">
        <v>2911</v>
      </c>
      <c r="BV2973" s="2" t="s">
        <v>85</v>
      </c>
      <c r="BY2973" s="2">
        <v>1200</v>
      </c>
      <c r="CC2973" s="2" t="s">
        <v>126</v>
      </c>
      <c r="CD2973" s="2">
        <v>4001</v>
      </c>
      <c r="CE2973" s="2" t="s">
        <v>2749</v>
      </c>
      <c r="CF2973" s="3">
        <v>43091</v>
      </c>
      <c r="CI2973" s="2">
        <v>1</v>
      </c>
      <c r="CJ2973" s="2">
        <v>1</v>
      </c>
      <c r="CK2973" s="2">
        <v>21</v>
      </c>
      <c r="CL2973" s="2" t="s">
        <v>89</v>
      </c>
    </row>
    <row r="2974" spans="1:90">
      <c r="A2974" s="2" t="s">
        <v>71</v>
      </c>
      <c r="B2974" s="2" t="s">
        <v>72</v>
      </c>
      <c r="C2974" s="2" t="s">
        <v>73</v>
      </c>
      <c r="E2974" s="2" t="str">
        <f>"FES1162597219"</f>
        <v>FES1162597219</v>
      </c>
      <c r="F2974" s="3">
        <v>43089</v>
      </c>
      <c r="G2974" s="2">
        <v>201806</v>
      </c>
      <c r="H2974" s="2" t="s">
        <v>74</v>
      </c>
      <c r="I2974" s="2" t="s">
        <v>75</v>
      </c>
      <c r="J2974" s="2" t="s">
        <v>97</v>
      </c>
      <c r="K2974" s="2" t="s">
        <v>77</v>
      </c>
      <c r="L2974" s="2" t="s">
        <v>125</v>
      </c>
      <c r="M2974" s="2" t="s">
        <v>126</v>
      </c>
      <c r="N2974" s="2" t="s">
        <v>1998</v>
      </c>
      <c r="O2974" s="2" t="s">
        <v>101</v>
      </c>
      <c r="P2974" s="2" t="str">
        <f>"2170608369                    "</f>
        <v xml:space="preserve">2170608369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6.43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1</v>
      </c>
      <c r="BJ2974" s="2">
        <v>0.2</v>
      </c>
      <c r="BK2974" s="2">
        <v>1</v>
      </c>
      <c r="BL2974" s="2">
        <v>45.93</v>
      </c>
      <c r="BM2974" s="2">
        <v>6.43</v>
      </c>
      <c r="BN2974" s="2">
        <v>52.36</v>
      </c>
      <c r="BO2974" s="2">
        <v>52.36</v>
      </c>
      <c r="BQ2974" s="2" t="s">
        <v>82</v>
      </c>
      <c r="BR2974" s="2" t="s">
        <v>103</v>
      </c>
      <c r="BS2974" s="3">
        <v>43090</v>
      </c>
      <c r="BT2974" s="4">
        <v>0.43402777777777773</v>
      </c>
      <c r="BU2974" s="2" t="s">
        <v>2912</v>
      </c>
      <c r="BV2974" s="2" t="s">
        <v>85</v>
      </c>
      <c r="BY2974" s="2">
        <v>1200</v>
      </c>
      <c r="CC2974" s="2" t="s">
        <v>126</v>
      </c>
      <c r="CD2974" s="2">
        <v>4051</v>
      </c>
      <c r="CE2974" s="2" t="s">
        <v>2749</v>
      </c>
      <c r="CI2974" s="2">
        <v>1</v>
      </c>
      <c r="CJ2974" s="2">
        <v>1</v>
      </c>
      <c r="CK2974" s="2">
        <v>21</v>
      </c>
      <c r="CL2974" s="2" t="s">
        <v>89</v>
      </c>
    </row>
    <row r="2975" spans="1:90">
      <c r="A2975" s="2" t="s">
        <v>71</v>
      </c>
      <c r="B2975" s="2" t="s">
        <v>72</v>
      </c>
      <c r="C2975" s="2" t="s">
        <v>73</v>
      </c>
      <c r="E2975" s="2" t="str">
        <f>"FES1162597235"</f>
        <v>FES1162597235</v>
      </c>
      <c r="F2975" s="3">
        <v>43089</v>
      </c>
      <c r="G2975" s="2">
        <v>201806</v>
      </c>
      <c r="H2975" s="2" t="s">
        <v>74</v>
      </c>
      <c r="I2975" s="2" t="s">
        <v>75</v>
      </c>
      <c r="J2975" s="2" t="s">
        <v>97</v>
      </c>
      <c r="K2975" s="2" t="s">
        <v>77</v>
      </c>
      <c r="L2975" s="2" t="s">
        <v>759</v>
      </c>
      <c r="M2975" s="2" t="s">
        <v>760</v>
      </c>
      <c r="N2975" s="2" t="s">
        <v>1476</v>
      </c>
      <c r="O2975" s="2" t="s">
        <v>101</v>
      </c>
      <c r="P2975" s="2" t="str">
        <f>"2170608602                    "</f>
        <v xml:space="preserve">2170608602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6.43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1</v>
      </c>
      <c r="BJ2975" s="2">
        <v>0.2</v>
      </c>
      <c r="BK2975" s="2">
        <v>1</v>
      </c>
      <c r="BL2975" s="2">
        <v>45.93</v>
      </c>
      <c r="BM2975" s="2">
        <v>6.43</v>
      </c>
      <c r="BN2975" s="2">
        <v>52.36</v>
      </c>
      <c r="BO2975" s="2">
        <v>52.36</v>
      </c>
      <c r="BQ2975" s="2" t="s">
        <v>82</v>
      </c>
      <c r="BR2975" s="2" t="s">
        <v>103</v>
      </c>
      <c r="BS2975" s="3">
        <v>43090</v>
      </c>
      <c r="BT2975" s="4">
        <v>0.41666666666666669</v>
      </c>
      <c r="BU2975" s="2" t="s">
        <v>2913</v>
      </c>
      <c r="BV2975" s="2" t="s">
        <v>85</v>
      </c>
      <c r="BY2975" s="2">
        <v>1200</v>
      </c>
      <c r="CC2975" s="2" t="s">
        <v>760</v>
      </c>
      <c r="CD2975" s="2">
        <v>4026</v>
      </c>
      <c r="CE2975" s="2" t="s">
        <v>2749</v>
      </c>
      <c r="CF2975" s="3">
        <v>43091</v>
      </c>
      <c r="CI2975" s="2">
        <v>1</v>
      </c>
      <c r="CJ2975" s="2">
        <v>1</v>
      </c>
      <c r="CK2975" s="2">
        <v>21</v>
      </c>
      <c r="CL2975" s="2" t="s">
        <v>89</v>
      </c>
    </row>
    <row r="2976" spans="1:90">
      <c r="A2976" s="2" t="s">
        <v>71</v>
      </c>
      <c r="B2976" s="2" t="s">
        <v>72</v>
      </c>
      <c r="C2976" s="2" t="s">
        <v>73</v>
      </c>
      <c r="E2976" s="2" t="str">
        <f>"FES1162597259"</f>
        <v>FES1162597259</v>
      </c>
      <c r="F2976" s="3">
        <v>43089</v>
      </c>
      <c r="G2976" s="2">
        <v>201806</v>
      </c>
      <c r="H2976" s="2" t="s">
        <v>74</v>
      </c>
      <c r="I2976" s="2" t="s">
        <v>75</v>
      </c>
      <c r="J2976" s="2" t="s">
        <v>97</v>
      </c>
      <c r="K2976" s="2" t="s">
        <v>77</v>
      </c>
      <c r="L2976" s="2" t="s">
        <v>98</v>
      </c>
      <c r="M2976" s="2" t="s">
        <v>99</v>
      </c>
      <c r="N2976" s="2" t="s">
        <v>226</v>
      </c>
      <c r="O2976" s="2" t="s">
        <v>101</v>
      </c>
      <c r="P2976" s="2" t="str">
        <f>"2170608010                    "</f>
        <v xml:space="preserve">2170608010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6.43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1</v>
      </c>
      <c r="BJ2976" s="2">
        <v>0.2</v>
      </c>
      <c r="BK2976" s="2">
        <v>1</v>
      </c>
      <c r="BL2976" s="2">
        <v>45.93</v>
      </c>
      <c r="BM2976" s="2">
        <v>6.43</v>
      </c>
      <c r="BN2976" s="2">
        <v>52.36</v>
      </c>
      <c r="BO2976" s="2">
        <v>52.36</v>
      </c>
      <c r="BQ2976" s="2" t="s">
        <v>82</v>
      </c>
      <c r="BR2976" s="2" t="s">
        <v>103</v>
      </c>
      <c r="BS2976" s="3">
        <v>43090</v>
      </c>
      <c r="BT2976" s="4">
        <v>0.41319444444444442</v>
      </c>
      <c r="BU2976" s="2" t="s">
        <v>227</v>
      </c>
      <c r="BV2976" s="2" t="s">
        <v>85</v>
      </c>
      <c r="BY2976" s="2">
        <v>1200</v>
      </c>
      <c r="CA2976" s="2" t="s">
        <v>105</v>
      </c>
      <c r="CC2976" s="2" t="s">
        <v>99</v>
      </c>
      <c r="CD2976" s="2">
        <v>3201</v>
      </c>
      <c r="CE2976" s="2" t="s">
        <v>2749</v>
      </c>
      <c r="CF2976" s="3">
        <v>43091</v>
      </c>
      <c r="CI2976" s="2">
        <v>1</v>
      </c>
      <c r="CJ2976" s="2">
        <v>1</v>
      </c>
      <c r="CK2976" s="2">
        <v>21</v>
      </c>
      <c r="CL2976" s="2" t="s">
        <v>89</v>
      </c>
    </row>
    <row r="2977" spans="1:90">
      <c r="A2977" s="2" t="s">
        <v>71</v>
      </c>
      <c r="B2977" s="2" t="s">
        <v>72</v>
      </c>
      <c r="C2977" s="2" t="s">
        <v>73</v>
      </c>
      <c r="E2977" s="2" t="str">
        <f>"FES1162597260"</f>
        <v>FES1162597260</v>
      </c>
      <c r="F2977" s="3">
        <v>43089</v>
      </c>
      <c r="G2977" s="2">
        <v>201806</v>
      </c>
      <c r="H2977" s="2" t="s">
        <v>74</v>
      </c>
      <c r="I2977" s="2" t="s">
        <v>75</v>
      </c>
      <c r="J2977" s="2" t="s">
        <v>97</v>
      </c>
      <c r="K2977" s="2" t="s">
        <v>77</v>
      </c>
      <c r="L2977" s="2" t="s">
        <v>131</v>
      </c>
      <c r="M2977" s="2" t="s">
        <v>132</v>
      </c>
      <c r="N2977" s="2" t="s">
        <v>1355</v>
      </c>
      <c r="O2977" s="2" t="s">
        <v>101</v>
      </c>
      <c r="P2977" s="2" t="str">
        <f>"2170608621                    "</f>
        <v xml:space="preserve">2170608621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6.43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1</v>
      </c>
      <c r="BJ2977" s="2">
        <v>0.2</v>
      </c>
      <c r="BK2977" s="2">
        <v>1</v>
      </c>
      <c r="BL2977" s="2">
        <v>45.93</v>
      </c>
      <c r="BM2977" s="2">
        <v>6.43</v>
      </c>
      <c r="BN2977" s="2">
        <v>52.36</v>
      </c>
      <c r="BO2977" s="2">
        <v>52.36</v>
      </c>
      <c r="BQ2977" s="2" t="s">
        <v>82</v>
      </c>
      <c r="BR2977" s="2" t="s">
        <v>103</v>
      </c>
      <c r="BS2977" s="3">
        <v>43090</v>
      </c>
      <c r="BT2977" s="4">
        <v>0.36805555555555558</v>
      </c>
      <c r="BU2977" s="2" t="s">
        <v>1356</v>
      </c>
      <c r="BV2977" s="2" t="s">
        <v>85</v>
      </c>
      <c r="BY2977" s="2">
        <v>1200</v>
      </c>
      <c r="CA2977" s="2" t="s">
        <v>135</v>
      </c>
      <c r="CC2977" s="2" t="s">
        <v>132</v>
      </c>
      <c r="CD2977" s="2">
        <v>4300</v>
      </c>
      <c r="CE2977" s="2" t="s">
        <v>2749</v>
      </c>
      <c r="CF2977" s="3">
        <v>43091</v>
      </c>
      <c r="CI2977" s="2">
        <v>1</v>
      </c>
      <c r="CJ2977" s="2">
        <v>1</v>
      </c>
      <c r="CK2977" s="2">
        <v>21</v>
      </c>
      <c r="CL2977" s="2" t="s">
        <v>89</v>
      </c>
    </row>
    <row r="2978" spans="1:90">
      <c r="A2978" s="2" t="s">
        <v>71</v>
      </c>
      <c r="B2978" s="2" t="s">
        <v>72</v>
      </c>
      <c r="C2978" s="2" t="s">
        <v>73</v>
      </c>
      <c r="E2978" s="2" t="str">
        <f>"FES1162597130"</f>
        <v>FES1162597130</v>
      </c>
      <c r="F2978" s="3">
        <v>43089</v>
      </c>
      <c r="G2978" s="2">
        <v>201806</v>
      </c>
      <c r="H2978" s="2" t="s">
        <v>74</v>
      </c>
      <c r="I2978" s="2" t="s">
        <v>75</v>
      </c>
      <c r="J2978" s="2" t="s">
        <v>97</v>
      </c>
      <c r="K2978" s="2" t="s">
        <v>77</v>
      </c>
      <c r="L2978" s="2" t="s">
        <v>1021</v>
      </c>
      <c r="M2978" s="2" t="s">
        <v>1022</v>
      </c>
      <c r="N2978" s="2" t="s">
        <v>733</v>
      </c>
      <c r="O2978" s="2" t="s">
        <v>101</v>
      </c>
      <c r="P2978" s="2" t="str">
        <f>"2170605262                    "</f>
        <v xml:space="preserve">2170605262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12.47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89</v>
      </c>
      <c r="BM2978" s="2">
        <v>12.46</v>
      </c>
      <c r="BN2978" s="2">
        <v>101.46</v>
      </c>
      <c r="BO2978" s="2">
        <v>101.46</v>
      </c>
      <c r="BQ2978" s="2" t="s">
        <v>1023</v>
      </c>
      <c r="BR2978" s="2" t="s">
        <v>103</v>
      </c>
      <c r="BS2978" s="3">
        <v>43096</v>
      </c>
      <c r="BT2978" s="4">
        <v>0.41666666666666669</v>
      </c>
      <c r="BU2978" s="2" t="s">
        <v>2768</v>
      </c>
      <c r="BV2978" s="2" t="s">
        <v>89</v>
      </c>
      <c r="BW2978" s="2" t="s">
        <v>437</v>
      </c>
      <c r="BX2978" s="2" t="s">
        <v>2914</v>
      </c>
      <c r="BY2978" s="2">
        <v>1200</v>
      </c>
      <c r="CC2978" s="2" t="s">
        <v>1022</v>
      </c>
      <c r="CD2978" s="2">
        <v>9880</v>
      </c>
      <c r="CE2978" s="2" t="s">
        <v>2749</v>
      </c>
      <c r="CF2978" s="3">
        <v>43096</v>
      </c>
      <c r="CI2978" s="2">
        <v>1</v>
      </c>
      <c r="CJ2978" s="2">
        <v>5</v>
      </c>
      <c r="CK2978" s="2">
        <v>23</v>
      </c>
      <c r="CL2978" s="2" t="s">
        <v>89</v>
      </c>
    </row>
    <row r="2979" spans="1:90">
      <c r="A2979" s="2" t="s">
        <v>71</v>
      </c>
      <c r="B2979" s="2" t="s">
        <v>72</v>
      </c>
      <c r="C2979" s="2" t="s">
        <v>73</v>
      </c>
      <c r="E2979" s="2" t="str">
        <f>"FES1162597170"</f>
        <v>FES1162597170</v>
      </c>
      <c r="F2979" s="3">
        <v>43089</v>
      </c>
      <c r="G2979" s="2">
        <v>201806</v>
      </c>
      <c r="H2979" s="2" t="s">
        <v>74</v>
      </c>
      <c r="I2979" s="2" t="s">
        <v>75</v>
      </c>
      <c r="J2979" s="2" t="s">
        <v>97</v>
      </c>
      <c r="K2979" s="2" t="s">
        <v>77</v>
      </c>
      <c r="L2979" s="2" t="s">
        <v>125</v>
      </c>
      <c r="M2979" s="2" t="s">
        <v>126</v>
      </c>
      <c r="N2979" s="2" t="s">
        <v>1034</v>
      </c>
      <c r="O2979" s="2" t="s">
        <v>101</v>
      </c>
      <c r="P2979" s="2" t="str">
        <f>"21706208551                   "</f>
        <v xml:space="preserve">21706208551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6.43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45.93</v>
      </c>
      <c r="BM2979" s="2">
        <v>6.43</v>
      </c>
      <c r="BN2979" s="2">
        <v>52.36</v>
      </c>
      <c r="BO2979" s="2">
        <v>52.36</v>
      </c>
      <c r="BQ2979" s="2" t="s">
        <v>128</v>
      </c>
      <c r="BR2979" s="2" t="s">
        <v>103</v>
      </c>
      <c r="BS2979" s="3">
        <v>43090</v>
      </c>
      <c r="BT2979" s="4">
        <v>0.4375</v>
      </c>
      <c r="BU2979" s="2" t="s">
        <v>2915</v>
      </c>
      <c r="BV2979" s="2" t="s">
        <v>85</v>
      </c>
      <c r="BY2979" s="2">
        <v>1200</v>
      </c>
      <c r="CC2979" s="2" t="s">
        <v>126</v>
      </c>
      <c r="CD2979" s="2">
        <v>4001</v>
      </c>
      <c r="CE2979" s="2" t="s">
        <v>2749</v>
      </c>
      <c r="CF2979" s="3">
        <v>43091</v>
      </c>
      <c r="CI2979" s="2">
        <v>1</v>
      </c>
      <c r="CJ2979" s="2">
        <v>1</v>
      </c>
      <c r="CK2979" s="2">
        <v>21</v>
      </c>
      <c r="CL2979" s="2" t="s">
        <v>89</v>
      </c>
    </row>
    <row r="2980" spans="1:90">
      <c r="A2980" s="2" t="s">
        <v>71</v>
      </c>
      <c r="B2980" s="2" t="s">
        <v>72</v>
      </c>
      <c r="C2980" s="2" t="s">
        <v>73</v>
      </c>
      <c r="E2980" s="2" t="str">
        <f>"FES1162597256"</f>
        <v>FES1162597256</v>
      </c>
      <c r="F2980" s="3">
        <v>43089</v>
      </c>
      <c r="G2980" s="2">
        <v>201806</v>
      </c>
      <c r="H2980" s="2" t="s">
        <v>74</v>
      </c>
      <c r="I2980" s="2" t="s">
        <v>75</v>
      </c>
      <c r="J2980" s="2" t="s">
        <v>97</v>
      </c>
      <c r="K2980" s="2" t="s">
        <v>77</v>
      </c>
      <c r="L2980" s="2" t="s">
        <v>125</v>
      </c>
      <c r="M2980" s="2" t="s">
        <v>126</v>
      </c>
      <c r="N2980" s="2" t="s">
        <v>2843</v>
      </c>
      <c r="O2980" s="2" t="s">
        <v>101</v>
      </c>
      <c r="P2980" s="2" t="str">
        <f>"2170608617                    "</f>
        <v xml:space="preserve">2170608617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6.43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45.93</v>
      </c>
      <c r="BM2980" s="2">
        <v>6.43</v>
      </c>
      <c r="BN2980" s="2">
        <v>52.36</v>
      </c>
      <c r="BO2980" s="2">
        <v>52.36</v>
      </c>
      <c r="BQ2980" s="2" t="s">
        <v>2844</v>
      </c>
      <c r="BR2980" s="2" t="s">
        <v>103</v>
      </c>
      <c r="BS2980" s="3">
        <v>43090</v>
      </c>
      <c r="BT2980" s="4">
        <v>0.35069444444444442</v>
      </c>
      <c r="BU2980" s="2" t="s">
        <v>2916</v>
      </c>
      <c r="BV2980" s="2" t="s">
        <v>85</v>
      </c>
      <c r="BY2980" s="2">
        <v>1200</v>
      </c>
      <c r="CA2980" s="2" t="s">
        <v>2874</v>
      </c>
      <c r="CC2980" s="2" t="s">
        <v>126</v>
      </c>
      <c r="CD2980" s="2">
        <v>4001</v>
      </c>
      <c r="CE2980" s="2" t="s">
        <v>2749</v>
      </c>
      <c r="CF2980" s="3">
        <v>43091</v>
      </c>
      <c r="CI2980" s="2">
        <v>1</v>
      </c>
      <c r="CJ2980" s="2">
        <v>1</v>
      </c>
      <c r="CK2980" s="2">
        <v>21</v>
      </c>
      <c r="CL2980" s="2" t="s">
        <v>89</v>
      </c>
    </row>
    <row r="2981" spans="1:90">
      <c r="A2981" s="2" t="s">
        <v>71</v>
      </c>
      <c r="B2981" s="2" t="s">
        <v>72</v>
      </c>
      <c r="C2981" s="2" t="s">
        <v>73</v>
      </c>
      <c r="E2981" s="2" t="str">
        <f>"FES1162597254"</f>
        <v>FES1162597254</v>
      </c>
      <c r="F2981" s="3">
        <v>43089</v>
      </c>
      <c r="G2981" s="2">
        <v>201806</v>
      </c>
      <c r="H2981" s="2" t="s">
        <v>74</v>
      </c>
      <c r="I2981" s="2" t="s">
        <v>75</v>
      </c>
      <c r="J2981" s="2" t="s">
        <v>97</v>
      </c>
      <c r="K2981" s="2" t="s">
        <v>77</v>
      </c>
      <c r="L2981" s="2" t="s">
        <v>850</v>
      </c>
      <c r="M2981" s="2" t="s">
        <v>851</v>
      </c>
      <c r="N2981" s="2" t="s">
        <v>1055</v>
      </c>
      <c r="O2981" s="2" t="s">
        <v>101</v>
      </c>
      <c r="P2981" s="2" t="str">
        <f>"2170608615                    "</f>
        <v xml:space="preserve">2170608615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6.43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1</v>
      </c>
      <c r="BJ2981" s="2">
        <v>0.2</v>
      </c>
      <c r="BK2981" s="2">
        <v>1</v>
      </c>
      <c r="BL2981" s="2">
        <v>45.93</v>
      </c>
      <c r="BM2981" s="2">
        <v>6.43</v>
      </c>
      <c r="BN2981" s="2">
        <v>52.36</v>
      </c>
      <c r="BO2981" s="2">
        <v>52.36</v>
      </c>
      <c r="BQ2981" s="2" t="s">
        <v>102</v>
      </c>
      <c r="BR2981" s="2" t="s">
        <v>103</v>
      </c>
      <c r="BS2981" s="3">
        <v>43090</v>
      </c>
      <c r="BT2981" s="4">
        <v>0.68125000000000002</v>
      </c>
      <c r="BU2981" s="2" t="s">
        <v>1056</v>
      </c>
      <c r="BV2981" s="2" t="s">
        <v>85</v>
      </c>
      <c r="BY2981" s="2">
        <v>1200</v>
      </c>
      <c r="CA2981" s="2" t="s">
        <v>1057</v>
      </c>
      <c r="CC2981" s="2" t="s">
        <v>851</v>
      </c>
      <c r="CD2981" s="2">
        <v>3290</v>
      </c>
      <c r="CE2981" s="2" t="s">
        <v>2749</v>
      </c>
      <c r="CF2981" s="3">
        <v>43096</v>
      </c>
      <c r="CI2981" s="2">
        <v>1</v>
      </c>
      <c r="CJ2981" s="2">
        <v>1</v>
      </c>
      <c r="CK2981" s="2">
        <v>21</v>
      </c>
      <c r="CL2981" s="2" t="s">
        <v>89</v>
      </c>
    </row>
    <row r="2982" spans="1:90">
      <c r="A2982" s="2" t="s">
        <v>71</v>
      </c>
      <c r="B2982" s="2" t="s">
        <v>72</v>
      </c>
      <c r="C2982" s="2" t="s">
        <v>73</v>
      </c>
      <c r="E2982" s="2" t="str">
        <f>"FES1162597238"</f>
        <v>FES1162597238</v>
      </c>
      <c r="F2982" s="3">
        <v>43089</v>
      </c>
      <c r="G2982" s="2">
        <v>201806</v>
      </c>
      <c r="H2982" s="2" t="s">
        <v>74</v>
      </c>
      <c r="I2982" s="2" t="s">
        <v>75</v>
      </c>
      <c r="J2982" s="2" t="s">
        <v>97</v>
      </c>
      <c r="K2982" s="2" t="s">
        <v>77</v>
      </c>
      <c r="L2982" s="2" t="s">
        <v>168</v>
      </c>
      <c r="M2982" s="2" t="s">
        <v>169</v>
      </c>
      <c r="N2982" s="2" t="s">
        <v>1142</v>
      </c>
      <c r="O2982" s="2" t="s">
        <v>101</v>
      </c>
      <c r="P2982" s="2" t="str">
        <f>"2170608606                    "</f>
        <v xml:space="preserve">2170608606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6.43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1</v>
      </c>
      <c r="BJ2982" s="2">
        <v>0.2</v>
      </c>
      <c r="BK2982" s="2">
        <v>1</v>
      </c>
      <c r="BL2982" s="2">
        <v>45.93</v>
      </c>
      <c r="BM2982" s="2">
        <v>6.43</v>
      </c>
      <c r="BN2982" s="2">
        <v>52.36</v>
      </c>
      <c r="BO2982" s="2">
        <v>52.36</v>
      </c>
      <c r="BQ2982" s="2" t="s">
        <v>102</v>
      </c>
      <c r="BR2982" s="2" t="s">
        <v>103</v>
      </c>
      <c r="BS2982" s="3">
        <v>43090</v>
      </c>
      <c r="BT2982" s="4">
        <v>0.34375</v>
      </c>
      <c r="BU2982" s="2" t="s">
        <v>1143</v>
      </c>
      <c r="BV2982" s="2" t="s">
        <v>85</v>
      </c>
      <c r="BY2982" s="2">
        <v>1200</v>
      </c>
      <c r="CA2982" s="2" t="s">
        <v>172</v>
      </c>
      <c r="CC2982" s="2" t="s">
        <v>169</v>
      </c>
      <c r="CD2982" s="2">
        <v>3610</v>
      </c>
      <c r="CE2982" s="2" t="s">
        <v>2749</v>
      </c>
      <c r="CF2982" s="3">
        <v>43091</v>
      </c>
      <c r="CI2982" s="2">
        <v>1</v>
      </c>
      <c r="CJ2982" s="2">
        <v>1</v>
      </c>
      <c r="CK2982" s="2">
        <v>21</v>
      </c>
      <c r="CL2982" s="2" t="s">
        <v>89</v>
      </c>
    </row>
    <row r="2983" spans="1:90">
      <c r="A2983" s="2" t="s">
        <v>71</v>
      </c>
      <c r="B2983" s="2" t="s">
        <v>72</v>
      </c>
      <c r="C2983" s="2" t="s">
        <v>73</v>
      </c>
      <c r="E2983" s="2" t="str">
        <f>"FES1162596995"</f>
        <v>FES1162596995</v>
      </c>
      <c r="F2983" s="3">
        <v>43089</v>
      </c>
      <c r="G2983" s="2">
        <v>201806</v>
      </c>
      <c r="H2983" s="2" t="s">
        <v>74</v>
      </c>
      <c r="I2983" s="2" t="s">
        <v>75</v>
      </c>
      <c r="J2983" s="2" t="s">
        <v>97</v>
      </c>
      <c r="K2983" s="2" t="s">
        <v>77</v>
      </c>
      <c r="L2983" s="2" t="s">
        <v>125</v>
      </c>
      <c r="M2983" s="2" t="s">
        <v>126</v>
      </c>
      <c r="N2983" s="2" t="s">
        <v>972</v>
      </c>
      <c r="O2983" s="2" t="s">
        <v>101</v>
      </c>
      <c r="P2983" s="2" t="str">
        <f>"2170608524                    "</f>
        <v xml:space="preserve">2170608524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6.43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45.93</v>
      </c>
      <c r="BM2983" s="2">
        <v>6.43</v>
      </c>
      <c r="BN2983" s="2">
        <v>52.36</v>
      </c>
      <c r="BO2983" s="2">
        <v>52.36</v>
      </c>
      <c r="BQ2983" s="2" t="s">
        <v>1471</v>
      </c>
      <c r="BR2983" s="2" t="s">
        <v>103</v>
      </c>
      <c r="BS2983" s="3">
        <v>43090</v>
      </c>
      <c r="BT2983" s="4">
        <v>0.36944444444444446</v>
      </c>
      <c r="BU2983" s="2" t="s">
        <v>2714</v>
      </c>
      <c r="BV2983" s="2" t="s">
        <v>85</v>
      </c>
      <c r="BY2983" s="2">
        <v>1200</v>
      </c>
      <c r="CC2983" s="2" t="s">
        <v>126</v>
      </c>
      <c r="CD2983" s="2">
        <v>4051</v>
      </c>
      <c r="CE2983" s="2" t="s">
        <v>2749</v>
      </c>
      <c r="CF2983" s="3">
        <v>43091</v>
      </c>
      <c r="CI2983" s="2">
        <v>1</v>
      </c>
      <c r="CJ2983" s="2">
        <v>1</v>
      </c>
      <c r="CK2983" s="2">
        <v>21</v>
      </c>
      <c r="CL2983" s="2" t="s">
        <v>89</v>
      </c>
    </row>
    <row r="2984" spans="1:90">
      <c r="A2984" s="2" t="s">
        <v>71</v>
      </c>
      <c r="B2984" s="2" t="s">
        <v>72</v>
      </c>
      <c r="C2984" s="2" t="s">
        <v>73</v>
      </c>
      <c r="E2984" s="2" t="str">
        <f>"FES1162597188"</f>
        <v>FES1162597188</v>
      </c>
      <c r="F2984" s="3">
        <v>43089</v>
      </c>
      <c r="G2984" s="2">
        <v>201806</v>
      </c>
      <c r="H2984" s="2" t="s">
        <v>74</v>
      </c>
      <c r="I2984" s="2" t="s">
        <v>75</v>
      </c>
      <c r="J2984" s="2" t="s">
        <v>97</v>
      </c>
      <c r="K2984" s="2" t="s">
        <v>77</v>
      </c>
      <c r="L2984" s="2" t="s">
        <v>125</v>
      </c>
      <c r="M2984" s="2" t="s">
        <v>126</v>
      </c>
      <c r="N2984" s="2" t="s">
        <v>930</v>
      </c>
      <c r="O2984" s="2" t="s">
        <v>101</v>
      </c>
      <c r="P2984" s="2" t="str">
        <f>"2170605906                    "</f>
        <v xml:space="preserve">2170605906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6.43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1</v>
      </c>
      <c r="BJ2984" s="2">
        <v>0.2</v>
      </c>
      <c r="BK2984" s="2">
        <v>1</v>
      </c>
      <c r="BL2984" s="2">
        <v>45.93</v>
      </c>
      <c r="BM2984" s="2">
        <v>6.43</v>
      </c>
      <c r="BN2984" s="2">
        <v>52.36</v>
      </c>
      <c r="BO2984" s="2">
        <v>52.36</v>
      </c>
      <c r="BQ2984" s="2" t="s">
        <v>1314</v>
      </c>
      <c r="BR2984" s="2" t="s">
        <v>103</v>
      </c>
      <c r="BS2984" s="3">
        <v>43090</v>
      </c>
      <c r="BT2984" s="4">
        <v>0.38541666666666669</v>
      </c>
      <c r="BU2984" s="2" t="s">
        <v>2754</v>
      </c>
      <c r="BV2984" s="2" t="s">
        <v>85</v>
      </c>
      <c r="BY2984" s="2">
        <v>1200</v>
      </c>
      <c r="CC2984" s="2" t="s">
        <v>126</v>
      </c>
      <c r="CD2984" s="2">
        <v>4072</v>
      </c>
      <c r="CE2984" s="2" t="s">
        <v>2749</v>
      </c>
      <c r="CF2984" s="3">
        <v>43091</v>
      </c>
      <c r="CI2984" s="2">
        <v>1</v>
      </c>
      <c r="CJ2984" s="2">
        <v>1</v>
      </c>
      <c r="CK2984" s="2">
        <v>21</v>
      </c>
      <c r="CL2984" s="2" t="s">
        <v>89</v>
      </c>
    </row>
    <row r="2985" spans="1:90">
      <c r="A2985" s="2" t="s">
        <v>71</v>
      </c>
      <c r="B2985" s="2" t="s">
        <v>72</v>
      </c>
      <c r="C2985" s="2" t="s">
        <v>73</v>
      </c>
      <c r="E2985" s="2" t="str">
        <f>"FES1162597150"</f>
        <v>FES1162597150</v>
      </c>
      <c r="F2985" s="3">
        <v>43089</v>
      </c>
      <c r="G2985" s="2">
        <v>201806</v>
      </c>
      <c r="H2985" s="2" t="s">
        <v>74</v>
      </c>
      <c r="I2985" s="2" t="s">
        <v>75</v>
      </c>
      <c r="J2985" s="2" t="s">
        <v>97</v>
      </c>
      <c r="K2985" s="2" t="s">
        <v>77</v>
      </c>
      <c r="L2985" s="2" t="s">
        <v>131</v>
      </c>
      <c r="M2985" s="2" t="s">
        <v>132</v>
      </c>
      <c r="N2985" s="2" t="s">
        <v>133</v>
      </c>
      <c r="O2985" s="2" t="s">
        <v>101</v>
      </c>
      <c r="P2985" s="2" t="str">
        <f>"2170607193                    "</f>
        <v xml:space="preserve">2170607193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6.43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</v>
      </c>
      <c r="BJ2985" s="2">
        <v>0.5</v>
      </c>
      <c r="BK2985" s="2">
        <v>1</v>
      </c>
      <c r="BL2985" s="2">
        <v>45.93</v>
      </c>
      <c r="BM2985" s="2">
        <v>6.43</v>
      </c>
      <c r="BN2985" s="2">
        <v>52.36</v>
      </c>
      <c r="BO2985" s="2">
        <v>52.36</v>
      </c>
      <c r="BQ2985" s="2" t="s">
        <v>102</v>
      </c>
      <c r="BR2985" s="2" t="s">
        <v>103</v>
      </c>
      <c r="BS2985" s="3">
        <v>43090</v>
      </c>
      <c r="BT2985" s="4">
        <v>0.3743055555555555</v>
      </c>
      <c r="BU2985" s="2" t="s">
        <v>1069</v>
      </c>
      <c r="BV2985" s="2" t="s">
        <v>85</v>
      </c>
      <c r="BY2985" s="2">
        <v>2400</v>
      </c>
      <c r="CA2985" s="2" t="s">
        <v>135</v>
      </c>
      <c r="CC2985" s="2" t="s">
        <v>132</v>
      </c>
      <c r="CD2985" s="2">
        <v>4302</v>
      </c>
      <c r="CE2985" s="2" t="s">
        <v>2749</v>
      </c>
      <c r="CF2985" s="3">
        <v>43091</v>
      </c>
      <c r="CI2985" s="2">
        <v>1</v>
      </c>
      <c r="CJ2985" s="2">
        <v>1</v>
      </c>
      <c r="CK2985" s="2">
        <v>21</v>
      </c>
      <c r="CL2985" s="2" t="s">
        <v>89</v>
      </c>
    </row>
    <row r="2986" spans="1:90">
      <c r="A2986" s="2" t="s">
        <v>71</v>
      </c>
      <c r="B2986" s="2" t="s">
        <v>72</v>
      </c>
      <c r="C2986" s="2" t="s">
        <v>73</v>
      </c>
      <c r="E2986" s="2" t="str">
        <f>"FES1162597100"</f>
        <v>FES1162597100</v>
      </c>
      <c r="F2986" s="3">
        <v>43089</v>
      </c>
      <c r="G2986" s="2">
        <v>201806</v>
      </c>
      <c r="H2986" s="2" t="s">
        <v>74</v>
      </c>
      <c r="I2986" s="2" t="s">
        <v>75</v>
      </c>
      <c r="J2986" s="2" t="s">
        <v>97</v>
      </c>
      <c r="K2986" s="2" t="s">
        <v>77</v>
      </c>
      <c r="L2986" s="2" t="s">
        <v>98</v>
      </c>
      <c r="M2986" s="2" t="s">
        <v>99</v>
      </c>
      <c r="N2986" s="2" t="s">
        <v>1182</v>
      </c>
      <c r="O2986" s="2" t="s">
        <v>101</v>
      </c>
      <c r="P2986" s="2" t="str">
        <f>"2170608564                    "</f>
        <v xml:space="preserve">2170608564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6.43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</v>
      </c>
      <c r="BJ2986" s="2">
        <v>0.2</v>
      </c>
      <c r="BK2986" s="2">
        <v>1</v>
      </c>
      <c r="BL2986" s="2">
        <v>45.93</v>
      </c>
      <c r="BM2986" s="2">
        <v>6.43</v>
      </c>
      <c r="BN2986" s="2">
        <v>52.36</v>
      </c>
      <c r="BO2986" s="2">
        <v>52.36</v>
      </c>
      <c r="BQ2986" s="2" t="s">
        <v>82</v>
      </c>
      <c r="BR2986" s="2" t="s">
        <v>103</v>
      </c>
      <c r="BS2986" s="3">
        <v>43090</v>
      </c>
      <c r="BT2986" s="4">
        <v>0.43055555555555558</v>
      </c>
      <c r="BU2986" s="2" t="s">
        <v>2917</v>
      </c>
      <c r="BV2986" s="2" t="s">
        <v>85</v>
      </c>
      <c r="BY2986" s="2">
        <v>1200</v>
      </c>
      <c r="CA2986" s="2" t="s">
        <v>1184</v>
      </c>
      <c r="CC2986" s="2" t="s">
        <v>99</v>
      </c>
      <c r="CD2986" s="2">
        <v>3201</v>
      </c>
      <c r="CE2986" s="2" t="s">
        <v>2749</v>
      </c>
      <c r="CF2986" s="3">
        <v>43091</v>
      </c>
      <c r="CI2986" s="2">
        <v>1</v>
      </c>
      <c r="CJ2986" s="2">
        <v>1</v>
      </c>
      <c r="CK2986" s="2">
        <v>21</v>
      </c>
      <c r="CL2986" s="2" t="s">
        <v>89</v>
      </c>
    </row>
    <row r="2987" spans="1:90">
      <c r="A2987" s="2" t="s">
        <v>71</v>
      </c>
      <c r="B2987" s="2" t="s">
        <v>72</v>
      </c>
      <c r="C2987" s="2" t="s">
        <v>73</v>
      </c>
      <c r="E2987" s="2" t="str">
        <f>"FES1162597295"</f>
        <v>FES1162597295</v>
      </c>
      <c r="F2987" s="3">
        <v>43089</v>
      </c>
      <c r="G2987" s="2">
        <v>201806</v>
      </c>
      <c r="H2987" s="2" t="s">
        <v>74</v>
      </c>
      <c r="I2987" s="2" t="s">
        <v>75</v>
      </c>
      <c r="J2987" s="2" t="s">
        <v>97</v>
      </c>
      <c r="K2987" s="2" t="s">
        <v>77</v>
      </c>
      <c r="L2987" s="2" t="s">
        <v>212</v>
      </c>
      <c r="M2987" s="2" t="s">
        <v>212</v>
      </c>
      <c r="N2987" s="2" t="s">
        <v>213</v>
      </c>
      <c r="O2987" s="2" t="s">
        <v>101</v>
      </c>
      <c r="P2987" s="2" t="str">
        <f>"2170606740                    "</f>
        <v xml:space="preserve">2170606740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6.43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1</v>
      </c>
      <c r="BJ2987" s="2">
        <v>0.2</v>
      </c>
      <c r="BK2987" s="2">
        <v>1</v>
      </c>
      <c r="BL2987" s="2">
        <v>45.93</v>
      </c>
      <c r="BM2987" s="2">
        <v>6.43</v>
      </c>
      <c r="BN2987" s="2">
        <v>52.36</v>
      </c>
      <c r="BO2987" s="2">
        <v>52.36</v>
      </c>
      <c r="BQ2987" s="2" t="s">
        <v>102</v>
      </c>
      <c r="BR2987" s="2" t="s">
        <v>103</v>
      </c>
      <c r="BS2987" s="3">
        <v>43090</v>
      </c>
      <c r="BT2987" s="4">
        <v>0.5</v>
      </c>
      <c r="BU2987" s="2" t="s">
        <v>161</v>
      </c>
      <c r="BV2987" s="2" t="s">
        <v>85</v>
      </c>
      <c r="BY2987" s="2">
        <v>1200</v>
      </c>
      <c r="CC2987" s="2" t="s">
        <v>212</v>
      </c>
      <c r="CD2987" s="2">
        <v>7646</v>
      </c>
      <c r="CE2987" s="2" t="s">
        <v>2749</v>
      </c>
      <c r="CF2987" s="3">
        <v>43091</v>
      </c>
      <c r="CI2987" s="2">
        <v>1</v>
      </c>
      <c r="CJ2987" s="2">
        <v>1</v>
      </c>
      <c r="CK2987" s="2">
        <v>21</v>
      </c>
      <c r="CL2987" s="2" t="s">
        <v>89</v>
      </c>
    </row>
    <row r="2988" spans="1:90">
      <c r="A2988" s="2" t="s">
        <v>71</v>
      </c>
      <c r="B2988" s="2" t="s">
        <v>72</v>
      </c>
      <c r="C2988" s="2" t="s">
        <v>73</v>
      </c>
      <c r="E2988" s="2" t="str">
        <f>"FES1162597167"</f>
        <v>FES1162597167</v>
      </c>
      <c r="F2988" s="3">
        <v>43089</v>
      </c>
      <c r="G2988" s="2">
        <v>201806</v>
      </c>
      <c r="H2988" s="2" t="s">
        <v>74</v>
      </c>
      <c r="I2988" s="2" t="s">
        <v>75</v>
      </c>
      <c r="J2988" s="2" t="s">
        <v>97</v>
      </c>
      <c r="K2988" s="2" t="s">
        <v>77</v>
      </c>
      <c r="L2988" s="2" t="s">
        <v>125</v>
      </c>
      <c r="M2988" s="2" t="s">
        <v>126</v>
      </c>
      <c r="N2988" s="2" t="s">
        <v>1998</v>
      </c>
      <c r="O2988" s="2" t="s">
        <v>101</v>
      </c>
      <c r="P2988" s="2" t="str">
        <f>"2170608369                    "</f>
        <v xml:space="preserve">2170608369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6.43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1</v>
      </c>
      <c r="BJ2988" s="2">
        <v>0.2</v>
      </c>
      <c r="BK2988" s="2">
        <v>1</v>
      </c>
      <c r="BL2988" s="2">
        <v>45.93</v>
      </c>
      <c r="BM2988" s="2">
        <v>6.43</v>
      </c>
      <c r="BN2988" s="2">
        <v>52.36</v>
      </c>
      <c r="BO2988" s="2">
        <v>52.36</v>
      </c>
      <c r="BQ2988" s="2" t="s">
        <v>82</v>
      </c>
      <c r="BR2988" s="2" t="s">
        <v>103</v>
      </c>
      <c r="BS2988" s="3">
        <v>43090</v>
      </c>
      <c r="BT2988" s="4">
        <v>0.43888888888888888</v>
      </c>
      <c r="BU2988" s="2" t="s">
        <v>2912</v>
      </c>
      <c r="BV2988" s="2" t="s">
        <v>85</v>
      </c>
      <c r="BY2988" s="2">
        <v>1200</v>
      </c>
      <c r="CC2988" s="2" t="s">
        <v>126</v>
      </c>
      <c r="CD2988" s="2">
        <v>4051</v>
      </c>
      <c r="CE2988" s="2" t="s">
        <v>2749</v>
      </c>
      <c r="CF2988" s="3">
        <v>43091</v>
      </c>
      <c r="CI2988" s="2">
        <v>1</v>
      </c>
      <c r="CJ2988" s="2">
        <v>1</v>
      </c>
      <c r="CK2988" s="2">
        <v>21</v>
      </c>
      <c r="CL2988" s="2" t="s">
        <v>89</v>
      </c>
    </row>
    <row r="2989" spans="1:90">
      <c r="A2989" s="2" t="s">
        <v>71</v>
      </c>
      <c r="B2989" s="2" t="s">
        <v>72</v>
      </c>
      <c r="C2989" s="2" t="s">
        <v>73</v>
      </c>
      <c r="E2989" s="2" t="str">
        <f>"FES1162597181"</f>
        <v>FES1162597181</v>
      </c>
      <c r="F2989" s="3">
        <v>43089</v>
      </c>
      <c r="G2989" s="2">
        <v>201806</v>
      </c>
      <c r="H2989" s="2" t="s">
        <v>74</v>
      </c>
      <c r="I2989" s="2" t="s">
        <v>75</v>
      </c>
      <c r="J2989" s="2" t="s">
        <v>97</v>
      </c>
      <c r="K2989" s="2" t="s">
        <v>77</v>
      </c>
      <c r="L2989" s="2" t="s">
        <v>125</v>
      </c>
      <c r="M2989" s="2" t="s">
        <v>126</v>
      </c>
      <c r="N2989" s="2" t="s">
        <v>127</v>
      </c>
      <c r="O2989" s="2" t="s">
        <v>101</v>
      </c>
      <c r="P2989" s="2" t="str">
        <f>"2170601791                    "</f>
        <v xml:space="preserve">2170601791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6.43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1</v>
      </c>
      <c r="BJ2989" s="2">
        <v>0.2</v>
      </c>
      <c r="BK2989" s="2">
        <v>1</v>
      </c>
      <c r="BL2989" s="2">
        <v>45.93</v>
      </c>
      <c r="BM2989" s="2">
        <v>6.43</v>
      </c>
      <c r="BN2989" s="2">
        <v>52.36</v>
      </c>
      <c r="BO2989" s="2">
        <v>52.36</v>
      </c>
      <c r="BQ2989" s="2" t="s">
        <v>128</v>
      </c>
      <c r="BR2989" s="2" t="s">
        <v>103</v>
      </c>
      <c r="BS2989" s="3">
        <v>43090</v>
      </c>
      <c r="BT2989" s="4">
        <v>0.3659722222222222</v>
      </c>
      <c r="BU2989" s="2" t="s">
        <v>2224</v>
      </c>
      <c r="BV2989" s="2" t="s">
        <v>85</v>
      </c>
      <c r="BY2989" s="2">
        <v>1200</v>
      </c>
      <c r="CC2989" s="2" t="s">
        <v>126</v>
      </c>
      <c r="CD2989" s="2">
        <v>4001</v>
      </c>
      <c r="CE2989" s="2" t="s">
        <v>2749</v>
      </c>
      <c r="CF2989" s="3">
        <v>43091</v>
      </c>
      <c r="CI2989" s="2">
        <v>1</v>
      </c>
      <c r="CJ2989" s="2">
        <v>1</v>
      </c>
      <c r="CK2989" s="2">
        <v>21</v>
      </c>
      <c r="CL2989" s="2" t="s">
        <v>89</v>
      </c>
    </row>
    <row r="2990" spans="1:90">
      <c r="A2990" s="2" t="s">
        <v>71</v>
      </c>
      <c r="B2990" s="2" t="s">
        <v>72</v>
      </c>
      <c r="C2990" s="2" t="s">
        <v>73</v>
      </c>
      <c r="E2990" s="2" t="str">
        <f>"FES1162597193"</f>
        <v>FES1162597193</v>
      </c>
      <c r="F2990" s="3">
        <v>43089</v>
      </c>
      <c r="G2990" s="2">
        <v>201806</v>
      </c>
      <c r="H2990" s="2" t="s">
        <v>74</v>
      </c>
      <c r="I2990" s="2" t="s">
        <v>75</v>
      </c>
      <c r="J2990" s="2" t="s">
        <v>97</v>
      </c>
      <c r="K2990" s="2" t="s">
        <v>77</v>
      </c>
      <c r="L2990" s="2" t="s">
        <v>521</v>
      </c>
      <c r="M2990" s="2" t="s">
        <v>522</v>
      </c>
      <c r="N2990" s="2" t="s">
        <v>523</v>
      </c>
      <c r="O2990" s="2" t="s">
        <v>101</v>
      </c>
      <c r="P2990" s="2" t="str">
        <f>"2170606091                    "</f>
        <v xml:space="preserve">2170606091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6.43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1</v>
      </c>
      <c r="BJ2990" s="2">
        <v>0.2</v>
      </c>
      <c r="BK2990" s="2">
        <v>1</v>
      </c>
      <c r="BL2990" s="2">
        <v>45.93</v>
      </c>
      <c r="BM2990" s="2">
        <v>6.43</v>
      </c>
      <c r="BN2990" s="2">
        <v>52.36</v>
      </c>
      <c r="BO2990" s="2">
        <v>52.36</v>
      </c>
      <c r="BQ2990" s="2" t="s">
        <v>102</v>
      </c>
      <c r="BR2990" s="2" t="s">
        <v>103</v>
      </c>
      <c r="BS2990" s="3">
        <v>43090</v>
      </c>
      <c r="BT2990" s="4">
        <v>0.60902777777777783</v>
      </c>
      <c r="BU2990" s="2" t="s">
        <v>524</v>
      </c>
      <c r="BV2990" s="2" t="s">
        <v>89</v>
      </c>
      <c r="BY2990" s="2">
        <v>1200</v>
      </c>
      <c r="CA2990" s="2" t="s">
        <v>525</v>
      </c>
      <c r="CC2990" s="2" t="s">
        <v>522</v>
      </c>
      <c r="CD2990" s="2">
        <v>6536</v>
      </c>
      <c r="CE2990" s="2" t="s">
        <v>2749</v>
      </c>
      <c r="CF2990" s="3">
        <v>43096</v>
      </c>
      <c r="CI2990" s="2">
        <v>1</v>
      </c>
      <c r="CJ2990" s="2">
        <v>1</v>
      </c>
      <c r="CK2990" s="2">
        <v>21</v>
      </c>
      <c r="CL2990" s="2" t="s">
        <v>89</v>
      </c>
    </row>
    <row r="2991" spans="1:90">
      <c r="A2991" s="2" t="s">
        <v>71</v>
      </c>
      <c r="B2991" s="2" t="s">
        <v>72</v>
      </c>
      <c r="C2991" s="2" t="s">
        <v>73</v>
      </c>
      <c r="E2991" s="2" t="str">
        <f>"FES1162597154"</f>
        <v>FES1162597154</v>
      </c>
      <c r="F2991" s="3">
        <v>43089</v>
      </c>
      <c r="G2991" s="2">
        <v>201806</v>
      </c>
      <c r="H2991" s="2" t="s">
        <v>74</v>
      </c>
      <c r="I2991" s="2" t="s">
        <v>75</v>
      </c>
      <c r="J2991" s="2" t="s">
        <v>97</v>
      </c>
      <c r="K2991" s="2" t="s">
        <v>77</v>
      </c>
      <c r="L2991" s="2" t="s">
        <v>131</v>
      </c>
      <c r="M2991" s="2" t="s">
        <v>132</v>
      </c>
      <c r="N2991" s="2" t="s">
        <v>133</v>
      </c>
      <c r="O2991" s="2" t="s">
        <v>101</v>
      </c>
      <c r="P2991" s="2" t="str">
        <f>"2170607411                    "</f>
        <v xml:space="preserve">2170607411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6.43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</v>
      </c>
      <c r="BJ2991" s="2">
        <v>0.2</v>
      </c>
      <c r="BK2991" s="2">
        <v>1</v>
      </c>
      <c r="BL2991" s="2">
        <v>45.93</v>
      </c>
      <c r="BM2991" s="2">
        <v>6.43</v>
      </c>
      <c r="BN2991" s="2">
        <v>52.36</v>
      </c>
      <c r="BO2991" s="2">
        <v>52.36</v>
      </c>
      <c r="BQ2991" s="2" t="s">
        <v>102</v>
      </c>
      <c r="BR2991" s="2" t="s">
        <v>103</v>
      </c>
      <c r="BS2991" s="3">
        <v>43090</v>
      </c>
      <c r="BT2991" s="4">
        <v>0.3743055555555555</v>
      </c>
      <c r="BU2991" s="2" t="s">
        <v>1069</v>
      </c>
      <c r="BV2991" s="2" t="s">
        <v>85</v>
      </c>
      <c r="BY2991" s="2">
        <v>1200</v>
      </c>
      <c r="CA2991" s="2" t="s">
        <v>135</v>
      </c>
      <c r="CC2991" s="2" t="s">
        <v>132</v>
      </c>
      <c r="CD2991" s="2">
        <v>4302</v>
      </c>
      <c r="CE2991" s="2" t="s">
        <v>2749</v>
      </c>
      <c r="CF2991" s="3">
        <v>43091</v>
      </c>
      <c r="CI2991" s="2">
        <v>1</v>
      </c>
      <c r="CJ2991" s="2">
        <v>1</v>
      </c>
      <c r="CK2991" s="2">
        <v>21</v>
      </c>
      <c r="CL2991" s="2" t="s">
        <v>89</v>
      </c>
    </row>
    <row r="2992" spans="1:90">
      <c r="A2992" s="2" t="s">
        <v>71</v>
      </c>
      <c r="B2992" s="2" t="s">
        <v>72</v>
      </c>
      <c r="C2992" s="2" t="s">
        <v>73</v>
      </c>
      <c r="E2992" s="2" t="str">
        <f>"FES1162597215"</f>
        <v>FES1162597215</v>
      </c>
      <c r="F2992" s="3">
        <v>43089</v>
      </c>
      <c r="G2992" s="2">
        <v>201806</v>
      </c>
      <c r="H2992" s="2" t="s">
        <v>74</v>
      </c>
      <c r="I2992" s="2" t="s">
        <v>75</v>
      </c>
      <c r="J2992" s="2" t="s">
        <v>97</v>
      </c>
      <c r="K2992" s="2" t="s">
        <v>77</v>
      </c>
      <c r="L2992" s="2" t="s">
        <v>125</v>
      </c>
      <c r="M2992" s="2" t="s">
        <v>126</v>
      </c>
      <c r="N2992" s="2" t="s">
        <v>856</v>
      </c>
      <c r="O2992" s="2" t="s">
        <v>101</v>
      </c>
      <c r="P2992" s="2" t="str">
        <f>"21706060947                   "</f>
        <v xml:space="preserve">21706060947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6.43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1</v>
      </c>
      <c r="BJ2992" s="2">
        <v>0.2</v>
      </c>
      <c r="BK2992" s="2">
        <v>1</v>
      </c>
      <c r="BL2992" s="2">
        <v>45.93</v>
      </c>
      <c r="BM2992" s="2">
        <v>6.43</v>
      </c>
      <c r="BN2992" s="2">
        <v>52.36</v>
      </c>
      <c r="BO2992" s="2">
        <v>52.36</v>
      </c>
      <c r="BQ2992" s="2" t="s">
        <v>82</v>
      </c>
      <c r="BR2992" s="2" t="s">
        <v>103</v>
      </c>
      <c r="BS2992" s="3">
        <v>43090</v>
      </c>
      <c r="BT2992" s="4">
        <v>0.36458333333333331</v>
      </c>
      <c r="BU2992" s="2" t="s">
        <v>857</v>
      </c>
      <c r="BV2992" s="2" t="s">
        <v>85</v>
      </c>
      <c r="BY2992" s="2">
        <v>1200</v>
      </c>
      <c r="CA2992" s="2" t="s">
        <v>135</v>
      </c>
      <c r="CC2992" s="2" t="s">
        <v>126</v>
      </c>
      <c r="CD2992" s="2">
        <v>4068</v>
      </c>
      <c r="CE2992" s="2" t="s">
        <v>2749</v>
      </c>
      <c r="CF2992" s="3">
        <v>43091</v>
      </c>
      <c r="CI2992" s="2">
        <v>1</v>
      </c>
      <c r="CJ2992" s="2">
        <v>1</v>
      </c>
      <c r="CK2992" s="2">
        <v>21</v>
      </c>
      <c r="CL2992" s="2" t="s">
        <v>89</v>
      </c>
    </row>
    <row r="2993" spans="1:90">
      <c r="A2993" s="2" t="s">
        <v>71</v>
      </c>
      <c r="B2993" s="2" t="s">
        <v>72</v>
      </c>
      <c r="C2993" s="2" t="s">
        <v>73</v>
      </c>
      <c r="E2993" s="2" t="str">
        <f>"FES1162597213"</f>
        <v>FES1162597213</v>
      </c>
      <c r="F2993" s="3">
        <v>43089</v>
      </c>
      <c r="G2993" s="2">
        <v>201806</v>
      </c>
      <c r="H2993" s="2" t="s">
        <v>74</v>
      </c>
      <c r="I2993" s="2" t="s">
        <v>75</v>
      </c>
      <c r="J2993" s="2" t="s">
        <v>97</v>
      </c>
      <c r="K2993" s="2" t="s">
        <v>77</v>
      </c>
      <c r="L2993" s="2" t="s">
        <v>98</v>
      </c>
      <c r="M2993" s="2" t="s">
        <v>99</v>
      </c>
      <c r="N2993" s="2" t="s">
        <v>1182</v>
      </c>
      <c r="O2993" s="2" t="s">
        <v>101</v>
      </c>
      <c r="P2993" s="2" t="str">
        <f>"2170607882                    "</f>
        <v xml:space="preserve">2170607882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6.43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</v>
      </c>
      <c r="BJ2993" s="2">
        <v>0.2</v>
      </c>
      <c r="BK2993" s="2">
        <v>1</v>
      </c>
      <c r="BL2993" s="2">
        <v>45.93</v>
      </c>
      <c r="BM2993" s="2">
        <v>6.43</v>
      </c>
      <c r="BN2993" s="2">
        <v>52.36</v>
      </c>
      <c r="BO2993" s="2">
        <v>52.36</v>
      </c>
      <c r="BQ2993" s="2" t="s">
        <v>82</v>
      </c>
      <c r="BR2993" s="2" t="s">
        <v>103</v>
      </c>
      <c r="BS2993" s="3">
        <v>43090</v>
      </c>
      <c r="BT2993" s="4">
        <v>0.4201388888888889</v>
      </c>
      <c r="BU2993" s="2" t="s">
        <v>2917</v>
      </c>
      <c r="BV2993" s="2" t="s">
        <v>85</v>
      </c>
      <c r="BY2993" s="2">
        <v>1200</v>
      </c>
      <c r="CA2993" s="2" t="s">
        <v>1184</v>
      </c>
      <c r="CC2993" s="2" t="s">
        <v>99</v>
      </c>
      <c r="CD2993" s="2">
        <v>3201</v>
      </c>
      <c r="CE2993" s="2" t="s">
        <v>2749</v>
      </c>
      <c r="CF2993" s="3">
        <v>43091</v>
      </c>
      <c r="CI2993" s="2">
        <v>1</v>
      </c>
      <c r="CJ2993" s="2">
        <v>1</v>
      </c>
      <c r="CK2993" s="2">
        <v>21</v>
      </c>
      <c r="CL2993" s="2" t="s">
        <v>89</v>
      </c>
    </row>
    <row r="2994" spans="1:90">
      <c r="A2994" s="2" t="s">
        <v>71</v>
      </c>
      <c r="B2994" s="2" t="s">
        <v>72</v>
      </c>
      <c r="C2994" s="2" t="s">
        <v>73</v>
      </c>
      <c r="E2994" s="2" t="str">
        <f>"FES1162597186"</f>
        <v>FES1162597186</v>
      </c>
      <c r="F2994" s="3">
        <v>43089</v>
      </c>
      <c r="G2994" s="2">
        <v>201806</v>
      </c>
      <c r="H2994" s="2" t="s">
        <v>74</v>
      </c>
      <c r="I2994" s="2" t="s">
        <v>75</v>
      </c>
      <c r="J2994" s="2" t="s">
        <v>97</v>
      </c>
      <c r="K2994" s="2" t="s">
        <v>77</v>
      </c>
      <c r="L2994" s="2" t="s">
        <v>173</v>
      </c>
      <c r="M2994" s="2" t="s">
        <v>174</v>
      </c>
      <c r="N2994" s="2" t="s">
        <v>349</v>
      </c>
      <c r="O2994" s="2" t="s">
        <v>101</v>
      </c>
      <c r="P2994" s="2" t="str">
        <f>"2170605876                    "</f>
        <v xml:space="preserve">2170605876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6.43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1</v>
      </c>
      <c r="BJ2994" s="2">
        <v>0.2</v>
      </c>
      <c r="BK2994" s="2">
        <v>1</v>
      </c>
      <c r="BL2994" s="2">
        <v>45.93</v>
      </c>
      <c r="BM2994" s="2">
        <v>6.43</v>
      </c>
      <c r="BN2994" s="2">
        <v>52.36</v>
      </c>
      <c r="BO2994" s="2">
        <v>52.36</v>
      </c>
      <c r="BQ2994" s="2" t="s">
        <v>879</v>
      </c>
      <c r="BR2994" s="2" t="s">
        <v>103</v>
      </c>
      <c r="BS2994" s="3">
        <v>43090</v>
      </c>
      <c r="BT2994" s="4">
        <v>0.41666666666666669</v>
      </c>
      <c r="BU2994" s="2" t="s">
        <v>2918</v>
      </c>
      <c r="BV2994" s="2" t="s">
        <v>85</v>
      </c>
      <c r="BY2994" s="2">
        <v>1200</v>
      </c>
      <c r="CC2994" s="2" t="s">
        <v>174</v>
      </c>
      <c r="CD2994" s="2">
        <v>7800</v>
      </c>
      <c r="CE2994" s="2" t="s">
        <v>2749</v>
      </c>
      <c r="CF2994" s="3">
        <v>43091</v>
      </c>
      <c r="CI2994" s="2">
        <v>1</v>
      </c>
      <c r="CJ2994" s="2">
        <v>1</v>
      </c>
      <c r="CK2994" s="2">
        <v>21</v>
      </c>
      <c r="CL2994" s="2" t="s">
        <v>89</v>
      </c>
    </row>
    <row r="2995" spans="1:90">
      <c r="A2995" s="2" t="s">
        <v>71</v>
      </c>
      <c r="B2995" s="2" t="s">
        <v>72</v>
      </c>
      <c r="C2995" s="2" t="s">
        <v>73</v>
      </c>
      <c r="E2995" s="2" t="str">
        <f>"FES1162597201"</f>
        <v>FES1162597201</v>
      </c>
      <c r="F2995" s="3">
        <v>43089</v>
      </c>
      <c r="G2995" s="2">
        <v>201806</v>
      </c>
      <c r="H2995" s="2" t="s">
        <v>74</v>
      </c>
      <c r="I2995" s="2" t="s">
        <v>75</v>
      </c>
      <c r="J2995" s="2" t="s">
        <v>97</v>
      </c>
      <c r="K2995" s="2" t="s">
        <v>77</v>
      </c>
      <c r="L2995" s="2" t="s">
        <v>598</v>
      </c>
      <c r="M2995" s="2" t="s">
        <v>599</v>
      </c>
      <c r="N2995" s="2" t="s">
        <v>600</v>
      </c>
      <c r="O2995" s="2" t="s">
        <v>101</v>
      </c>
      <c r="P2995" s="2" t="str">
        <f>"2170606448                    "</f>
        <v xml:space="preserve">2170606448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12.47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0.2</v>
      </c>
      <c r="BK2995" s="2">
        <v>1</v>
      </c>
      <c r="BL2995" s="2">
        <v>89</v>
      </c>
      <c r="BM2995" s="2">
        <v>12.46</v>
      </c>
      <c r="BN2995" s="2">
        <v>101.46</v>
      </c>
      <c r="BO2995" s="2">
        <v>101.46</v>
      </c>
      <c r="BQ2995" s="2" t="s">
        <v>102</v>
      </c>
      <c r="BR2995" s="2" t="s">
        <v>103</v>
      </c>
      <c r="BS2995" s="3">
        <v>43090</v>
      </c>
      <c r="BT2995" s="4">
        <v>0.60555555555555551</v>
      </c>
      <c r="BU2995" s="2" t="s">
        <v>2919</v>
      </c>
      <c r="BV2995" s="2" t="s">
        <v>85</v>
      </c>
      <c r="BY2995" s="2">
        <v>1200</v>
      </c>
      <c r="CA2995" s="2" t="s">
        <v>602</v>
      </c>
      <c r="CC2995" s="2" t="s">
        <v>599</v>
      </c>
      <c r="CD2995" s="2">
        <v>9700</v>
      </c>
      <c r="CE2995" s="2" t="s">
        <v>2749</v>
      </c>
      <c r="CF2995" s="3">
        <v>43096</v>
      </c>
      <c r="CI2995" s="2">
        <v>1</v>
      </c>
      <c r="CJ2995" s="2">
        <v>1</v>
      </c>
      <c r="CK2995" s="2">
        <v>23</v>
      </c>
      <c r="CL2995" s="2" t="s">
        <v>89</v>
      </c>
    </row>
    <row r="2996" spans="1:90">
      <c r="A2996" s="2" t="s">
        <v>71</v>
      </c>
      <c r="B2996" s="2" t="s">
        <v>72</v>
      </c>
      <c r="C2996" s="2" t="s">
        <v>73</v>
      </c>
      <c r="E2996" s="2" t="str">
        <f>"FES1162597197"</f>
        <v>FES1162597197</v>
      </c>
      <c r="F2996" s="3">
        <v>43089</v>
      </c>
      <c r="G2996" s="2">
        <v>201806</v>
      </c>
      <c r="H2996" s="2" t="s">
        <v>74</v>
      </c>
      <c r="I2996" s="2" t="s">
        <v>75</v>
      </c>
      <c r="J2996" s="2" t="s">
        <v>97</v>
      </c>
      <c r="K2996" s="2" t="s">
        <v>77</v>
      </c>
      <c r="L2996" s="2" t="s">
        <v>168</v>
      </c>
      <c r="M2996" s="2" t="s">
        <v>169</v>
      </c>
      <c r="N2996" s="2" t="s">
        <v>1614</v>
      </c>
      <c r="O2996" s="2" t="s">
        <v>101</v>
      </c>
      <c r="P2996" s="2" t="str">
        <f>"2170606133                    "</f>
        <v xml:space="preserve">2170606133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6.43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</v>
      </c>
      <c r="BJ2996" s="2">
        <v>0.2</v>
      </c>
      <c r="BK2996" s="2">
        <v>1</v>
      </c>
      <c r="BL2996" s="2">
        <v>45.93</v>
      </c>
      <c r="BM2996" s="2">
        <v>6.43</v>
      </c>
      <c r="BN2996" s="2">
        <v>52.36</v>
      </c>
      <c r="BO2996" s="2">
        <v>52.36</v>
      </c>
      <c r="BQ2996" s="2" t="s">
        <v>102</v>
      </c>
      <c r="BR2996" s="2" t="s">
        <v>103</v>
      </c>
      <c r="BS2996" s="2" t="s">
        <v>185</v>
      </c>
      <c r="BY2996" s="2">
        <v>1200</v>
      </c>
      <c r="CC2996" s="2" t="s">
        <v>169</v>
      </c>
      <c r="CD2996" s="2">
        <v>3610</v>
      </c>
      <c r="CE2996" s="2" t="s">
        <v>2749</v>
      </c>
      <c r="CI2996" s="2">
        <v>1</v>
      </c>
      <c r="CJ2996" s="2" t="s">
        <v>185</v>
      </c>
      <c r="CK2996" s="2">
        <v>21</v>
      </c>
      <c r="CL2996" s="2" t="s">
        <v>89</v>
      </c>
    </row>
    <row r="2997" spans="1:90">
      <c r="A2997" s="2" t="s">
        <v>71</v>
      </c>
      <c r="B2997" s="2" t="s">
        <v>72</v>
      </c>
      <c r="C2997" s="2" t="s">
        <v>73</v>
      </c>
      <c r="E2997" s="2" t="str">
        <f>"FES1162597270"</f>
        <v>FES1162597270</v>
      </c>
      <c r="F2997" s="3">
        <v>43089</v>
      </c>
      <c r="G2997" s="2">
        <v>201806</v>
      </c>
      <c r="H2997" s="2" t="s">
        <v>74</v>
      </c>
      <c r="I2997" s="2" t="s">
        <v>75</v>
      </c>
      <c r="J2997" s="2" t="s">
        <v>97</v>
      </c>
      <c r="K2997" s="2" t="s">
        <v>77</v>
      </c>
      <c r="L2997" s="2" t="s">
        <v>173</v>
      </c>
      <c r="M2997" s="2" t="s">
        <v>174</v>
      </c>
      <c r="N2997" s="2" t="s">
        <v>2920</v>
      </c>
      <c r="O2997" s="2" t="s">
        <v>101</v>
      </c>
      <c r="P2997" s="2" t="str">
        <f>"2170608611                    "</f>
        <v xml:space="preserve">2170608611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6.43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45.93</v>
      </c>
      <c r="BM2997" s="2">
        <v>6.43</v>
      </c>
      <c r="BN2997" s="2">
        <v>52.36</v>
      </c>
      <c r="BO2997" s="2">
        <v>52.36</v>
      </c>
      <c r="BR2997" s="2" t="s">
        <v>103</v>
      </c>
      <c r="BS2997" s="3">
        <v>43090</v>
      </c>
      <c r="BT2997" s="4">
        <v>0.43055555555555558</v>
      </c>
      <c r="BU2997" s="2" t="s">
        <v>114</v>
      </c>
      <c r="BV2997" s="2" t="s">
        <v>85</v>
      </c>
      <c r="BY2997" s="2">
        <v>1200</v>
      </c>
      <c r="CC2997" s="2" t="s">
        <v>174</v>
      </c>
      <c r="CD2997" s="2">
        <v>7500</v>
      </c>
      <c r="CE2997" s="2" t="s">
        <v>2749</v>
      </c>
      <c r="CF2997" s="3">
        <v>43091</v>
      </c>
      <c r="CI2997" s="2">
        <v>1</v>
      </c>
      <c r="CJ2997" s="2">
        <v>1</v>
      </c>
      <c r="CK2997" s="2">
        <v>21</v>
      </c>
      <c r="CL2997" s="2" t="s">
        <v>89</v>
      </c>
    </row>
    <row r="2998" spans="1:90">
      <c r="A2998" s="2" t="s">
        <v>71</v>
      </c>
      <c r="B2998" s="2" t="s">
        <v>72</v>
      </c>
      <c r="C2998" s="2" t="s">
        <v>73</v>
      </c>
      <c r="E2998" s="2" t="str">
        <f>"FES1162597218"</f>
        <v>FES1162597218</v>
      </c>
      <c r="F2998" s="3">
        <v>43089</v>
      </c>
      <c r="G2998" s="2">
        <v>201806</v>
      </c>
      <c r="H2998" s="2" t="s">
        <v>74</v>
      </c>
      <c r="I2998" s="2" t="s">
        <v>75</v>
      </c>
      <c r="J2998" s="2" t="s">
        <v>97</v>
      </c>
      <c r="K2998" s="2" t="s">
        <v>77</v>
      </c>
      <c r="L2998" s="2" t="s">
        <v>125</v>
      </c>
      <c r="M2998" s="2" t="s">
        <v>126</v>
      </c>
      <c r="N2998" s="2" t="s">
        <v>127</v>
      </c>
      <c r="O2998" s="2" t="s">
        <v>101</v>
      </c>
      <c r="P2998" s="2" t="str">
        <f>"2170608299                    "</f>
        <v xml:space="preserve">2170608299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6.43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</v>
      </c>
      <c r="BJ2998" s="2">
        <v>0.2</v>
      </c>
      <c r="BK2998" s="2">
        <v>1</v>
      </c>
      <c r="BL2998" s="2">
        <v>45.93</v>
      </c>
      <c r="BM2998" s="2">
        <v>6.43</v>
      </c>
      <c r="BN2998" s="2">
        <v>52.36</v>
      </c>
      <c r="BO2998" s="2">
        <v>52.36</v>
      </c>
      <c r="BQ2998" s="2" t="s">
        <v>128</v>
      </c>
      <c r="BR2998" s="2" t="s">
        <v>103</v>
      </c>
      <c r="BS2998" s="3">
        <v>43090</v>
      </c>
      <c r="BT2998" s="4">
        <v>0.3659722222222222</v>
      </c>
      <c r="BU2998" s="2" t="s">
        <v>2224</v>
      </c>
      <c r="BV2998" s="2" t="s">
        <v>85</v>
      </c>
      <c r="BY2998" s="2">
        <v>1200</v>
      </c>
      <c r="CC2998" s="2" t="s">
        <v>126</v>
      </c>
      <c r="CD2998" s="2">
        <v>4001</v>
      </c>
      <c r="CE2998" s="2" t="s">
        <v>2749</v>
      </c>
      <c r="CF2998" s="3">
        <v>43091</v>
      </c>
      <c r="CI2998" s="2">
        <v>1</v>
      </c>
      <c r="CJ2998" s="2">
        <v>1</v>
      </c>
      <c r="CK2998" s="2">
        <v>21</v>
      </c>
      <c r="CL2998" s="2" t="s">
        <v>89</v>
      </c>
    </row>
    <row r="2999" spans="1:90">
      <c r="A2999" s="2" t="s">
        <v>71</v>
      </c>
      <c r="B2999" s="2" t="s">
        <v>72</v>
      </c>
      <c r="C2999" s="2" t="s">
        <v>73</v>
      </c>
      <c r="E2999" s="2" t="str">
        <f>"FES1162597206"</f>
        <v>FES1162597206</v>
      </c>
      <c r="F2999" s="3">
        <v>43089</v>
      </c>
      <c r="G2999" s="2">
        <v>201806</v>
      </c>
      <c r="H2999" s="2" t="s">
        <v>74</v>
      </c>
      <c r="I2999" s="2" t="s">
        <v>75</v>
      </c>
      <c r="J2999" s="2" t="s">
        <v>97</v>
      </c>
      <c r="K2999" s="2" t="s">
        <v>77</v>
      </c>
      <c r="L2999" s="2" t="s">
        <v>125</v>
      </c>
      <c r="M2999" s="2" t="s">
        <v>126</v>
      </c>
      <c r="N2999" s="2" t="s">
        <v>1034</v>
      </c>
      <c r="O2999" s="2" t="s">
        <v>101</v>
      </c>
      <c r="P2999" s="2" t="str">
        <f>"2170607358                    "</f>
        <v xml:space="preserve">2170607358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6.43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1</v>
      </c>
      <c r="BJ2999" s="2">
        <v>0.5</v>
      </c>
      <c r="BK2999" s="2">
        <v>1</v>
      </c>
      <c r="BL2999" s="2">
        <v>45.93</v>
      </c>
      <c r="BM2999" s="2">
        <v>6.43</v>
      </c>
      <c r="BN2999" s="2">
        <v>52.36</v>
      </c>
      <c r="BO2999" s="2">
        <v>52.36</v>
      </c>
      <c r="BQ2999" s="2" t="s">
        <v>128</v>
      </c>
      <c r="BR2999" s="2" t="s">
        <v>103</v>
      </c>
      <c r="BS2999" s="3">
        <v>43091</v>
      </c>
      <c r="BT2999" s="4">
        <v>0.41666666666666669</v>
      </c>
      <c r="BU2999" s="2" t="s">
        <v>2921</v>
      </c>
      <c r="BV2999" s="2" t="s">
        <v>89</v>
      </c>
      <c r="BW2999" s="2" t="s">
        <v>149</v>
      </c>
      <c r="BX2999" s="2" t="s">
        <v>1390</v>
      </c>
      <c r="BY2999" s="2">
        <v>2400</v>
      </c>
      <c r="CC2999" s="2" t="s">
        <v>126</v>
      </c>
      <c r="CD2999" s="2">
        <v>4001</v>
      </c>
      <c r="CE2999" s="2" t="s">
        <v>2749</v>
      </c>
      <c r="CF2999" s="3">
        <v>43096</v>
      </c>
      <c r="CI2999" s="2">
        <v>1</v>
      </c>
      <c r="CJ2999" s="2">
        <v>2</v>
      </c>
      <c r="CK2999" s="2">
        <v>21</v>
      </c>
      <c r="CL2999" s="2" t="s">
        <v>89</v>
      </c>
    </row>
    <row r="3000" spans="1:90">
      <c r="A3000" s="2" t="s">
        <v>71</v>
      </c>
      <c r="B3000" s="2" t="s">
        <v>72</v>
      </c>
      <c r="C3000" s="2" t="s">
        <v>73</v>
      </c>
      <c r="E3000" s="2" t="str">
        <f>"FES1162597137"</f>
        <v>FES1162597137</v>
      </c>
      <c r="F3000" s="3">
        <v>43089</v>
      </c>
      <c r="G3000" s="2">
        <v>201806</v>
      </c>
      <c r="H3000" s="2" t="s">
        <v>74</v>
      </c>
      <c r="I3000" s="2" t="s">
        <v>75</v>
      </c>
      <c r="J3000" s="2" t="s">
        <v>97</v>
      </c>
      <c r="K3000" s="2" t="s">
        <v>77</v>
      </c>
      <c r="L3000" s="2" t="s">
        <v>168</v>
      </c>
      <c r="M3000" s="2" t="s">
        <v>169</v>
      </c>
      <c r="N3000" s="2" t="s">
        <v>764</v>
      </c>
      <c r="O3000" s="2" t="s">
        <v>101</v>
      </c>
      <c r="P3000" s="2" t="str">
        <f>"2170605401                    "</f>
        <v xml:space="preserve">2170605401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6.43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1</v>
      </c>
      <c r="BJ3000" s="2">
        <v>0.2</v>
      </c>
      <c r="BK3000" s="2">
        <v>1</v>
      </c>
      <c r="BL3000" s="2">
        <v>45.93</v>
      </c>
      <c r="BM3000" s="2">
        <v>6.43</v>
      </c>
      <c r="BN3000" s="2">
        <v>52.36</v>
      </c>
      <c r="BO3000" s="2">
        <v>52.36</v>
      </c>
      <c r="BQ3000" s="2" t="s">
        <v>765</v>
      </c>
      <c r="BR3000" s="2" t="s">
        <v>103</v>
      </c>
      <c r="BS3000" s="3">
        <v>43090</v>
      </c>
      <c r="BT3000" s="4">
        <v>0.35555555555555557</v>
      </c>
      <c r="BU3000" s="2" t="s">
        <v>2922</v>
      </c>
      <c r="BV3000" s="2" t="s">
        <v>85</v>
      </c>
      <c r="BY3000" s="2">
        <v>1200</v>
      </c>
      <c r="CA3000" s="2" t="s">
        <v>220</v>
      </c>
      <c r="CC3000" s="2" t="s">
        <v>169</v>
      </c>
      <c r="CD3000" s="2">
        <v>3610</v>
      </c>
      <c r="CE3000" s="2" t="s">
        <v>2749</v>
      </c>
      <c r="CF3000" s="3">
        <v>43091</v>
      </c>
      <c r="CI3000" s="2">
        <v>1</v>
      </c>
      <c r="CJ3000" s="2">
        <v>1</v>
      </c>
      <c r="CK3000" s="2">
        <v>21</v>
      </c>
      <c r="CL3000" s="2" t="s">
        <v>89</v>
      </c>
    </row>
    <row r="3001" spans="1:90">
      <c r="A3001" s="2" t="s">
        <v>71</v>
      </c>
      <c r="B3001" s="2" t="s">
        <v>72</v>
      </c>
      <c r="C3001" s="2" t="s">
        <v>73</v>
      </c>
      <c r="E3001" s="2" t="str">
        <f>"FES1162597187"</f>
        <v>FES1162597187</v>
      </c>
      <c r="F3001" s="3">
        <v>43089</v>
      </c>
      <c r="G3001" s="2">
        <v>201806</v>
      </c>
      <c r="H3001" s="2" t="s">
        <v>74</v>
      </c>
      <c r="I3001" s="2" t="s">
        <v>75</v>
      </c>
      <c r="J3001" s="2" t="s">
        <v>97</v>
      </c>
      <c r="K3001" s="2" t="s">
        <v>77</v>
      </c>
      <c r="L3001" s="2" t="s">
        <v>490</v>
      </c>
      <c r="M3001" s="2" t="s">
        <v>491</v>
      </c>
      <c r="N3001" s="2" t="s">
        <v>2201</v>
      </c>
      <c r="O3001" s="2" t="s">
        <v>101</v>
      </c>
      <c r="P3001" s="2" t="str">
        <f>"2170605889                    "</f>
        <v xml:space="preserve">2170605889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6.43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1</v>
      </c>
      <c r="BJ3001" s="2">
        <v>0.2</v>
      </c>
      <c r="BK3001" s="2">
        <v>1</v>
      </c>
      <c r="BL3001" s="2">
        <v>45.93</v>
      </c>
      <c r="BM3001" s="2">
        <v>6.43</v>
      </c>
      <c r="BN3001" s="2">
        <v>52.36</v>
      </c>
      <c r="BO3001" s="2">
        <v>52.36</v>
      </c>
      <c r="BR3001" s="2" t="s">
        <v>103</v>
      </c>
      <c r="BS3001" s="3">
        <v>43090</v>
      </c>
      <c r="BT3001" s="4">
        <v>0.44791666666666669</v>
      </c>
      <c r="BU3001" s="2" t="s">
        <v>2202</v>
      </c>
      <c r="BV3001" s="2" t="s">
        <v>85</v>
      </c>
      <c r="BY3001" s="2">
        <v>1200</v>
      </c>
      <c r="CA3001" s="2" t="s">
        <v>494</v>
      </c>
      <c r="CC3001" s="2" t="s">
        <v>491</v>
      </c>
      <c r="CD3001" s="2">
        <v>3699</v>
      </c>
      <c r="CE3001" s="2" t="s">
        <v>2749</v>
      </c>
      <c r="CF3001" s="3">
        <v>43091</v>
      </c>
      <c r="CI3001" s="2">
        <v>1</v>
      </c>
      <c r="CJ3001" s="2">
        <v>1</v>
      </c>
      <c r="CK3001" s="2">
        <v>21</v>
      </c>
      <c r="CL3001" s="2" t="s">
        <v>89</v>
      </c>
    </row>
    <row r="3002" spans="1:90">
      <c r="A3002" s="2" t="s">
        <v>71</v>
      </c>
      <c r="B3002" s="2" t="s">
        <v>72</v>
      </c>
      <c r="C3002" s="2" t="s">
        <v>73</v>
      </c>
      <c r="E3002" s="2" t="str">
        <f>"FES1162597182"</f>
        <v>FES1162597182</v>
      </c>
      <c r="F3002" s="3">
        <v>43089</v>
      </c>
      <c r="G3002" s="2">
        <v>201806</v>
      </c>
      <c r="H3002" s="2" t="s">
        <v>74</v>
      </c>
      <c r="I3002" s="2" t="s">
        <v>75</v>
      </c>
      <c r="J3002" s="2" t="s">
        <v>97</v>
      </c>
      <c r="K3002" s="2" t="s">
        <v>77</v>
      </c>
      <c r="L3002" s="2" t="s">
        <v>125</v>
      </c>
      <c r="M3002" s="2" t="s">
        <v>126</v>
      </c>
      <c r="N3002" s="2" t="s">
        <v>2000</v>
      </c>
      <c r="O3002" s="2" t="s">
        <v>101</v>
      </c>
      <c r="P3002" s="2" t="str">
        <f>"2170605080                    "</f>
        <v xml:space="preserve">2170605080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6.43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1</v>
      </c>
      <c r="BJ3002" s="2">
        <v>0.2</v>
      </c>
      <c r="BK3002" s="2">
        <v>1</v>
      </c>
      <c r="BL3002" s="2">
        <v>45.93</v>
      </c>
      <c r="BM3002" s="2">
        <v>6.43</v>
      </c>
      <c r="BN3002" s="2">
        <v>52.36</v>
      </c>
      <c r="BO3002" s="2">
        <v>52.36</v>
      </c>
      <c r="BQ3002" s="2" t="s">
        <v>82</v>
      </c>
      <c r="BR3002" s="2" t="s">
        <v>103</v>
      </c>
      <c r="BS3002" s="3">
        <v>43090</v>
      </c>
      <c r="BT3002" s="4">
        <v>0.4375</v>
      </c>
      <c r="BU3002" s="2" t="s">
        <v>2923</v>
      </c>
      <c r="BV3002" s="2" t="s">
        <v>85</v>
      </c>
      <c r="BY3002" s="2">
        <v>1200</v>
      </c>
      <c r="CC3002" s="2" t="s">
        <v>126</v>
      </c>
      <c r="CD3002" s="2">
        <v>4052</v>
      </c>
      <c r="CE3002" s="2" t="s">
        <v>2749</v>
      </c>
      <c r="CF3002" s="3">
        <v>43091</v>
      </c>
      <c r="CI3002" s="2">
        <v>1</v>
      </c>
      <c r="CJ3002" s="2">
        <v>1</v>
      </c>
      <c r="CK3002" s="2">
        <v>21</v>
      </c>
      <c r="CL3002" s="2" t="s">
        <v>89</v>
      </c>
    </row>
    <row r="3003" spans="1:90">
      <c r="A3003" s="2" t="s">
        <v>71</v>
      </c>
      <c r="B3003" s="2" t="s">
        <v>72</v>
      </c>
      <c r="C3003" s="2" t="s">
        <v>73</v>
      </c>
      <c r="E3003" s="2" t="str">
        <f>"FES1162597110"</f>
        <v>FES1162597110</v>
      </c>
      <c r="F3003" s="3">
        <v>43089</v>
      </c>
      <c r="G3003" s="2">
        <v>201806</v>
      </c>
      <c r="H3003" s="2" t="s">
        <v>74</v>
      </c>
      <c r="I3003" s="2" t="s">
        <v>75</v>
      </c>
      <c r="J3003" s="2" t="s">
        <v>97</v>
      </c>
      <c r="K3003" s="2" t="s">
        <v>77</v>
      </c>
      <c r="L3003" s="2" t="s">
        <v>131</v>
      </c>
      <c r="M3003" s="2" t="s">
        <v>132</v>
      </c>
      <c r="N3003" s="2" t="s">
        <v>2848</v>
      </c>
      <c r="O3003" s="2" t="s">
        <v>101</v>
      </c>
      <c r="P3003" s="2" t="str">
        <f>"2170604281                    "</f>
        <v xml:space="preserve">2170604281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62.71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19.100000000000001</v>
      </c>
      <c r="BJ3003" s="2">
        <v>9.1</v>
      </c>
      <c r="BK3003" s="2">
        <v>19.5</v>
      </c>
      <c r="BL3003" s="2">
        <v>447.66</v>
      </c>
      <c r="BM3003" s="2">
        <v>62.67</v>
      </c>
      <c r="BN3003" s="2">
        <v>510.33</v>
      </c>
      <c r="BO3003" s="2">
        <v>510.33</v>
      </c>
      <c r="BQ3003" s="2" t="s">
        <v>2849</v>
      </c>
      <c r="BR3003" s="2" t="s">
        <v>103</v>
      </c>
      <c r="BS3003" s="3">
        <v>43090</v>
      </c>
      <c r="BT3003" s="4">
        <v>0.37708333333333338</v>
      </c>
      <c r="BU3003" s="2" t="s">
        <v>2186</v>
      </c>
      <c r="BV3003" s="2" t="s">
        <v>85</v>
      </c>
      <c r="BY3003" s="2">
        <v>45364.7</v>
      </c>
      <c r="CA3003" s="2" t="s">
        <v>135</v>
      </c>
      <c r="CC3003" s="2" t="s">
        <v>132</v>
      </c>
      <c r="CD3003" s="2">
        <v>4300</v>
      </c>
      <c r="CE3003" s="2" t="s">
        <v>2858</v>
      </c>
      <c r="CF3003" s="3">
        <v>43091</v>
      </c>
      <c r="CI3003" s="2">
        <v>1</v>
      </c>
      <c r="CJ3003" s="2">
        <v>1</v>
      </c>
      <c r="CK3003" s="2">
        <v>21</v>
      </c>
      <c r="CL3003" s="2" t="s">
        <v>89</v>
      </c>
    </row>
    <row r="3004" spans="1:90">
      <c r="A3004" s="2" t="s">
        <v>71</v>
      </c>
      <c r="B3004" s="2" t="s">
        <v>72</v>
      </c>
      <c r="C3004" s="2" t="s">
        <v>73</v>
      </c>
      <c r="E3004" s="2" t="str">
        <f>"FES1162597107"</f>
        <v>FES1162597107</v>
      </c>
      <c r="F3004" s="3">
        <v>43089</v>
      </c>
      <c r="G3004" s="2">
        <v>201806</v>
      </c>
      <c r="H3004" s="2" t="s">
        <v>74</v>
      </c>
      <c r="I3004" s="2" t="s">
        <v>75</v>
      </c>
      <c r="J3004" s="2" t="s">
        <v>97</v>
      </c>
      <c r="K3004" s="2" t="s">
        <v>77</v>
      </c>
      <c r="L3004" s="2" t="s">
        <v>1624</v>
      </c>
      <c r="M3004" s="2" t="s">
        <v>1625</v>
      </c>
      <c r="N3004" s="2" t="s">
        <v>2316</v>
      </c>
      <c r="O3004" s="2" t="s">
        <v>101</v>
      </c>
      <c r="P3004" s="2" t="str">
        <f>"217060267                     "</f>
        <v xml:space="preserve">217060267 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20.91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2.5</v>
      </c>
      <c r="BJ3004" s="2">
        <v>3.3</v>
      </c>
      <c r="BK3004" s="2">
        <v>3.5</v>
      </c>
      <c r="BL3004" s="2">
        <v>149.28</v>
      </c>
      <c r="BM3004" s="2">
        <v>20.9</v>
      </c>
      <c r="BN3004" s="2">
        <v>170.18</v>
      </c>
      <c r="BO3004" s="2">
        <v>170.18</v>
      </c>
      <c r="BQ3004" s="2" t="s">
        <v>187</v>
      </c>
      <c r="BR3004" s="2" t="s">
        <v>103</v>
      </c>
      <c r="BS3004" s="3">
        <v>43090</v>
      </c>
      <c r="BT3004" s="4">
        <v>0.41666666666666669</v>
      </c>
      <c r="BU3004" s="2" t="s">
        <v>2343</v>
      </c>
      <c r="BV3004" s="2" t="s">
        <v>85</v>
      </c>
      <c r="BY3004" s="2">
        <v>16679.060000000001</v>
      </c>
      <c r="CC3004" s="2" t="s">
        <v>1625</v>
      </c>
      <c r="CD3004" s="2">
        <v>4449</v>
      </c>
      <c r="CE3004" s="2" t="s">
        <v>2858</v>
      </c>
      <c r="CF3004" s="3">
        <v>43091</v>
      </c>
      <c r="CI3004" s="2">
        <v>1</v>
      </c>
      <c r="CJ3004" s="2">
        <v>1</v>
      </c>
      <c r="CK3004" s="2">
        <v>23</v>
      </c>
      <c r="CL3004" s="2" t="s">
        <v>89</v>
      </c>
    </row>
    <row r="3005" spans="1:90">
      <c r="A3005" s="2" t="s">
        <v>71</v>
      </c>
      <c r="B3005" s="2" t="s">
        <v>72</v>
      </c>
      <c r="C3005" s="2" t="s">
        <v>73</v>
      </c>
      <c r="E3005" s="2" t="str">
        <f>"FES1162597148"</f>
        <v>FES1162597148</v>
      </c>
      <c r="F3005" s="3">
        <v>43089</v>
      </c>
      <c r="G3005" s="2">
        <v>201806</v>
      </c>
      <c r="H3005" s="2" t="s">
        <v>74</v>
      </c>
      <c r="I3005" s="2" t="s">
        <v>75</v>
      </c>
      <c r="J3005" s="2" t="s">
        <v>97</v>
      </c>
      <c r="K3005" s="2" t="s">
        <v>77</v>
      </c>
      <c r="L3005" s="2" t="s">
        <v>168</v>
      </c>
      <c r="M3005" s="2" t="s">
        <v>169</v>
      </c>
      <c r="N3005" s="2" t="s">
        <v>2924</v>
      </c>
      <c r="O3005" s="2" t="s">
        <v>101</v>
      </c>
      <c r="P3005" s="2" t="str">
        <f>"2170607140                    "</f>
        <v xml:space="preserve">2170607140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6.43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1.8</v>
      </c>
      <c r="BJ3005" s="2">
        <v>0.9</v>
      </c>
      <c r="BK3005" s="2">
        <v>2</v>
      </c>
      <c r="BL3005" s="2">
        <v>45.93</v>
      </c>
      <c r="BM3005" s="2">
        <v>6.43</v>
      </c>
      <c r="BN3005" s="2">
        <v>52.36</v>
      </c>
      <c r="BO3005" s="2">
        <v>52.36</v>
      </c>
      <c r="BQ3005" s="2" t="s">
        <v>142</v>
      </c>
      <c r="BR3005" s="2" t="s">
        <v>103</v>
      </c>
      <c r="BS3005" s="3">
        <v>43090</v>
      </c>
      <c r="BT3005" s="4">
        <v>0.39583333333333331</v>
      </c>
      <c r="BU3005" s="2" t="s">
        <v>2925</v>
      </c>
      <c r="BV3005" s="2" t="s">
        <v>85</v>
      </c>
      <c r="BY3005" s="2">
        <v>4547.08</v>
      </c>
      <c r="CA3005" s="2" t="s">
        <v>172</v>
      </c>
      <c r="CC3005" s="2" t="s">
        <v>169</v>
      </c>
      <c r="CD3005" s="2">
        <v>3610</v>
      </c>
      <c r="CE3005" s="2" t="s">
        <v>2863</v>
      </c>
      <c r="CF3005" s="3">
        <v>43091</v>
      </c>
      <c r="CI3005" s="2">
        <v>1</v>
      </c>
      <c r="CJ3005" s="2">
        <v>1</v>
      </c>
      <c r="CK3005" s="2">
        <v>21</v>
      </c>
      <c r="CL3005" s="2" t="s">
        <v>89</v>
      </c>
    </row>
    <row r="3006" spans="1:90">
      <c r="A3006" s="2" t="s">
        <v>71</v>
      </c>
      <c r="B3006" s="2" t="s">
        <v>72</v>
      </c>
      <c r="C3006" s="2" t="s">
        <v>73</v>
      </c>
      <c r="E3006" s="2" t="str">
        <f>"FES1162597108"</f>
        <v>FES1162597108</v>
      </c>
      <c r="F3006" s="3">
        <v>43089</v>
      </c>
      <c r="G3006" s="2">
        <v>201806</v>
      </c>
      <c r="H3006" s="2" t="s">
        <v>74</v>
      </c>
      <c r="I3006" s="2" t="s">
        <v>75</v>
      </c>
      <c r="J3006" s="2" t="s">
        <v>97</v>
      </c>
      <c r="K3006" s="2" t="s">
        <v>77</v>
      </c>
      <c r="L3006" s="2" t="s">
        <v>125</v>
      </c>
      <c r="M3006" s="2" t="s">
        <v>126</v>
      </c>
      <c r="N3006" s="2" t="s">
        <v>930</v>
      </c>
      <c r="O3006" s="2" t="s">
        <v>101</v>
      </c>
      <c r="P3006" s="2" t="str">
        <f>"2170604047                    "</f>
        <v xml:space="preserve">2170604047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9.65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2.7</v>
      </c>
      <c r="BJ3006" s="2">
        <v>0.9</v>
      </c>
      <c r="BK3006" s="2">
        <v>3</v>
      </c>
      <c r="BL3006" s="2">
        <v>68.89</v>
      </c>
      <c r="BM3006" s="2">
        <v>9.64</v>
      </c>
      <c r="BN3006" s="2">
        <v>78.53</v>
      </c>
      <c r="BO3006" s="2">
        <v>78.53</v>
      </c>
      <c r="BQ3006" s="2" t="s">
        <v>1314</v>
      </c>
      <c r="BR3006" s="2" t="s">
        <v>103</v>
      </c>
      <c r="BS3006" s="3">
        <v>43090</v>
      </c>
      <c r="BT3006" s="4">
        <v>0.38541666666666669</v>
      </c>
      <c r="BU3006" s="2" t="s">
        <v>2754</v>
      </c>
      <c r="BV3006" s="2" t="s">
        <v>85</v>
      </c>
      <c r="BY3006" s="2">
        <v>4658.1899999999996</v>
      </c>
      <c r="CC3006" s="2" t="s">
        <v>126</v>
      </c>
      <c r="CD3006" s="2">
        <v>4072</v>
      </c>
      <c r="CE3006" s="2" t="s">
        <v>2863</v>
      </c>
      <c r="CF3006" s="3">
        <v>43091</v>
      </c>
      <c r="CI3006" s="2">
        <v>1</v>
      </c>
      <c r="CJ3006" s="2">
        <v>1</v>
      </c>
      <c r="CK3006" s="2">
        <v>21</v>
      </c>
      <c r="CL3006" s="2" t="s">
        <v>89</v>
      </c>
    </row>
    <row r="3007" spans="1:90">
      <c r="A3007" s="2" t="s">
        <v>71</v>
      </c>
      <c r="B3007" s="2" t="s">
        <v>72</v>
      </c>
      <c r="C3007" s="2" t="s">
        <v>73</v>
      </c>
      <c r="E3007" s="2" t="str">
        <f>"FES1162597278"</f>
        <v>FES1162597278</v>
      </c>
      <c r="F3007" s="3">
        <v>43089</v>
      </c>
      <c r="G3007" s="2">
        <v>201806</v>
      </c>
      <c r="H3007" s="2" t="s">
        <v>74</v>
      </c>
      <c r="I3007" s="2" t="s">
        <v>75</v>
      </c>
      <c r="J3007" s="2" t="s">
        <v>97</v>
      </c>
      <c r="K3007" s="2" t="s">
        <v>77</v>
      </c>
      <c r="L3007" s="2" t="s">
        <v>173</v>
      </c>
      <c r="M3007" s="2" t="s">
        <v>174</v>
      </c>
      <c r="N3007" s="2" t="s">
        <v>1039</v>
      </c>
      <c r="O3007" s="2" t="s">
        <v>101</v>
      </c>
      <c r="P3007" s="2" t="str">
        <f>"2170606323                    "</f>
        <v xml:space="preserve">2170606323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6.43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1.2</v>
      </c>
      <c r="BJ3007" s="2">
        <v>1.7</v>
      </c>
      <c r="BK3007" s="2">
        <v>2</v>
      </c>
      <c r="BL3007" s="2">
        <v>45.93</v>
      </c>
      <c r="BM3007" s="2">
        <v>6.43</v>
      </c>
      <c r="BN3007" s="2">
        <v>52.36</v>
      </c>
      <c r="BO3007" s="2">
        <v>52.36</v>
      </c>
      <c r="BQ3007" s="2" t="s">
        <v>1040</v>
      </c>
      <c r="BR3007" s="2" t="s">
        <v>103</v>
      </c>
      <c r="BS3007" s="3">
        <v>43090</v>
      </c>
      <c r="BT3007" s="4">
        <v>0.36388888888888887</v>
      </c>
      <c r="BU3007" s="2" t="s">
        <v>1041</v>
      </c>
      <c r="BV3007" s="2" t="s">
        <v>85</v>
      </c>
      <c r="BY3007" s="2">
        <v>8293.5</v>
      </c>
      <c r="CA3007" s="2" t="s">
        <v>234</v>
      </c>
      <c r="CC3007" s="2" t="s">
        <v>174</v>
      </c>
      <c r="CD3007" s="2">
        <v>7530</v>
      </c>
      <c r="CE3007" s="2" t="s">
        <v>2858</v>
      </c>
      <c r="CF3007" s="3">
        <v>43091</v>
      </c>
      <c r="CI3007" s="2">
        <v>1</v>
      </c>
      <c r="CJ3007" s="2">
        <v>1</v>
      </c>
      <c r="CK3007" s="2">
        <v>21</v>
      </c>
      <c r="CL3007" s="2" t="s">
        <v>89</v>
      </c>
    </row>
    <row r="3008" spans="1:90">
      <c r="A3008" s="2" t="s">
        <v>71</v>
      </c>
      <c r="B3008" s="2" t="s">
        <v>72</v>
      </c>
      <c r="C3008" s="2" t="s">
        <v>73</v>
      </c>
      <c r="E3008" s="2" t="str">
        <f>"FES1162597336"</f>
        <v>FES1162597336</v>
      </c>
      <c r="F3008" s="3">
        <v>43089</v>
      </c>
      <c r="G3008" s="2">
        <v>201806</v>
      </c>
      <c r="H3008" s="2" t="s">
        <v>74</v>
      </c>
      <c r="I3008" s="2" t="s">
        <v>75</v>
      </c>
      <c r="J3008" s="2" t="s">
        <v>97</v>
      </c>
      <c r="K3008" s="2" t="s">
        <v>77</v>
      </c>
      <c r="L3008" s="2" t="s">
        <v>173</v>
      </c>
      <c r="M3008" s="2" t="s">
        <v>174</v>
      </c>
      <c r="N3008" s="2" t="s">
        <v>232</v>
      </c>
      <c r="O3008" s="2" t="s">
        <v>101</v>
      </c>
      <c r="P3008" s="2" t="str">
        <f>"2170608655                    "</f>
        <v xml:space="preserve">2170608655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6.43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</v>
      </c>
      <c r="BJ3008" s="2">
        <v>0.2</v>
      </c>
      <c r="BK3008" s="2">
        <v>1</v>
      </c>
      <c r="BL3008" s="2">
        <v>45.93</v>
      </c>
      <c r="BM3008" s="2">
        <v>6.43</v>
      </c>
      <c r="BN3008" s="2">
        <v>52.36</v>
      </c>
      <c r="BO3008" s="2">
        <v>52.36</v>
      </c>
      <c r="BQ3008" s="2" t="s">
        <v>102</v>
      </c>
      <c r="BR3008" s="2" t="s">
        <v>103</v>
      </c>
      <c r="BS3008" s="3">
        <v>43090</v>
      </c>
      <c r="BT3008" s="4">
        <v>0.36805555555555558</v>
      </c>
      <c r="BU3008" s="2" t="s">
        <v>1748</v>
      </c>
      <c r="BV3008" s="2" t="s">
        <v>85</v>
      </c>
      <c r="BY3008" s="2">
        <v>1200</v>
      </c>
      <c r="CA3008" s="2" t="s">
        <v>234</v>
      </c>
      <c r="CC3008" s="2" t="s">
        <v>174</v>
      </c>
      <c r="CD3008" s="2">
        <v>7530</v>
      </c>
      <c r="CE3008" s="2" t="s">
        <v>2749</v>
      </c>
      <c r="CF3008" s="3">
        <v>43091</v>
      </c>
      <c r="CI3008" s="2">
        <v>1</v>
      </c>
      <c r="CJ3008" s="2">
        <v>1</v>
      </c>
      <c r="CK3008" s="2">
        <v>21</v>
      </c>
      <c r="CL3008" s="2" t="s">
        <v>89</v>
      </c>
    </row>
    <row r="3009" spans="1:90">
      <c r="A3009" s="2" t="s">
        <v>71</v>
      </c>
      <c r="B3009" s="2" t="s">
        <v>72</v>
      </c>
      <c r="C3009" s="2" t="s">
        <v>73</v>
      </c>
      <c r="E3009" s="2" t="str">
        <f>"FES1162597106"</f>
        <v>FES1162597106</v>
      </c>
      <c r="F3009" s="3">
        <v>43089</v>
      </c>
      <c r="G3009" s="2">
        <v>201806</v>
      </c>
      <c r="H3009" s="2" t="s">
        <v>74</v>
      </c>
      <c r="I3009" s="2" t="s">
        <v>75</v>
      </c>
      <c r="J3009" s="2" t="s">
        <v>97</v>
      </c>
      <c r="K3009" s="2" t="s">
        <v>77</v>
      </c>
      <c r="L3009" s="2" t="s">
        <v>158</v>
      </c>
      <c r="M3009" s="2" t="s">
        <v>159</v>
      </c>
      <c r="N3009" s="2" t="s">
        <v>1212</v>
      </c>
      <c r="O3009" s="2" t="s">
        <v>101</v>
      </c>
      <c r="P3009" s="2" t="str">
        <f>"2170608590                    "</f>
        <v xml:space="preserve">2170608590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6.43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45.93</v>
      </c>
      <c r="BM3009" s="2">
        <v>6.43</v>
      </c>
      <c r="BN3009" s="2">
        <v>52.36</v>
      </c>
      <c r="BO3009" s="2">
        <v>52.36</v>
      </c>
      <c r="BQ3009" s="2" t="s">
        <v>1213</v>
      </c>
      <c r="BR3009" s="2" t="s">
        <v>103</v>
      </c>
      <c r="BS3009" s="3">
        <v>43090</v>
      </c>
      <c r="BT3009" s="4">
        <v>0.41666666666666669</v>
      </c>
      <c r="BU3009" s="2" t="s">
        <v>2926</v>
      </c>
      <c r="BV3009" s="2" t="s">
        <v>85</v>
      </c>
      <c r="BY3009" s="2">
        <v>1200</v>
      </c>
      <c r="CC3009" s="2" t="s">
        <v>159</v>
      </c>
      <c r="CD3009" s="2">
        <v>200</v>
      </c>
      <c r="CE3009" s="2" t="s">
        <v>2749</v>
      </c>
      <c r="CF3009" s="3">
        <v>43091</v>
      </c>
      <c r="CI3009" s="2">
        <v>1</v>
      </c>
      <c r="CJ3009" s="2">
        <v>1</v>
      </c>
      <c r="CK3009" s="2">
        <v>21</v>
      </c>
      <c r="CL3009" s="2" t="s">
        <v>89</v>
      </c>
    </row>
    <row r="3010" spans="1:90">
      <c r="A3010" s="2" t="s">
        <v>71</v>
      </c>
      <c r="B3010" s="2" t="s">
        <v>72</v>
      </c>
      <c r="C3010" s="2" t="s">
        <v>73</v>
      </c>
      <c r="E3010" s="2" t="str">
        <f>"FES1162597116"</f>
        <v>FES1162597116</v>
      </c>
      <c r="F3010" s="3">
        <v>43089</v>
      </c>
      <c r="G3010" s="2">
        <v>201806</v>
      </c>
      <c r="H3010" s="2" t="s">
        <v>74</v>
      </c>
      <c r="I3010" s="2" t="s">
        <v>75</v>
      </c>
      <c r="J3010" s="2" t="s">
        <v>97</v>
      </c>
      <c r="K3010" s="2" t="s">
        <v>77</v>
      </c>
      <c r="L3010" s="2" t="s">
        <v>277</v>
      </c>
      <c r="M3010" s="2" t="s">
        <v>278</v>
      </c>
      <c r="N3010" s="2" t="s">
        <v>317</v>
      </c>
      <c r="O3010" s="2" t="s">
        <v>101</v>
      </c>
      <c r="P3010" s="2" t="str">
        <f>"2170604696                    "</f>
        <v xml:space="preserve">2170604696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5.03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35.89</v>
      </c>
      <c r="BM3010" s="2">
        <v>5.0199999999999996</v>
      </c>
      <c r="BN3010" s="2">
        <v>40.909999999999997</v>
      </c>
      <c r="BO3010" s="2">
        <v>40.909999999999997</v>
      </c>
      <c r="BQ3010" s="2" t="s">
        <v>318</v>
      </c>
      <c r="BR3010" s="2" t="s">
        <v>103</v>
      </c>
      <c r="BS3010" s="3">
        <v>43090</v>
      </c>
      <c r="BT3010" s="4">
        <v>0.41666666666666669</v>
      </c>
      <c r="BU3010" s="2" t="s">
        <v>319</v>
      </c>
      <c r="BV3010" s="2" t="s">
        <v>85</v>
      </c>
      <c r="BY3010" s="2">
        <v>1200</v>
      </c>
      <c r="CC3010" s="2" t="s">
        <v>278</v>
      </c>
      <c r="CD3010" s="2">
        <v>2163</v>
      </c>
      <c r="CE3010" s="2" t="s">
        <v>2749</v>
      </c>
      <c r="CF3010" s="3">
        <v>43091</v>
      </c>
      <c r="CI3010" s="2">
        <v>1</v>
      </c>
      <c r="CJ3010" s="2">
        <v>1</v>
      </c>
      <c r="CK3010" s="2">
        <v>22</v>
      </c>
      <c r="CL3010" s="2" t="s">
        <v>89</v>
      </c>
    </row>
    <row r="3011" spans="1:90">
      <c r="A3011" s="2" t="s">
        <v>71</v>
      </c>
      <c r="B3011" s="2" t="s">
        <v>72</v>
      </c>
      <c r="C3011" s="2" t="s">
        <v>73</v>
      </c>
      <c r="E3011" s="2" t="str">
        <f>"FES1162597159"</f>
        <v>FES1162597159</v>
      </c>
      <c r="F3011" s="3">
        <v>43089</v>
      </c>
      <c r="G3011" s="2">
        <v>201806</v>
      </c>
      <c r="H3011" s="2" t="s">
        <v>74</v>
      </c>
      <c r="I3011" s="2" t="s">
        <v>75</v>
      </c>
      <c r="J3011" s="2" t="s">
        <v>97</v>
      </c>
      <c r="K3011" s="2" t="s">
        <v>77</v>
      </c>
      <c r="L3011" s="2" t="s">
        <v>158</v>
      </c>
      <c r="M3011" s="2" t="s">
        <v>159</v>
      </c>
      <c r="N3011" s="2" t="s">
        <v>2551</v>
      </c>
      <c r="O3011" s="2" t="s">
        <v>101</v>
      </c>
      <c r="P3011" s="2" t="str">
        <f>"2170607986                    "</f>
        <v xml:space="preserve">2170607986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6.43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</v>
      </c>
      <c r="BJ3011" s="2">
        <v>0.2</v>
      </c>
      <c r="BK3011" s="2">
        <v>1</v>
      </c>
      <c r="BL3011" s="2">
        <v>45.93</v>
      </c>
      <c r="BM3011" s="2">
        <v>6.43</v>
      </c>
      <c r="BN3011" s="2">
        <v>52.36</v>
      </c>
      <c r="BO3011" s="2">
        <v>52.36</v>
      </c>
      <c r="BR3011" s="2" t="s">
        <v>103</v>
      </c>
      <c r="BS3011" s="2" t="s">
        <v>185</v>
      </c>
      <c r="BY3011" s="2">
        <v>1200</v>
      </c>
      <c r="CC3011" s="2" t="s">
        <v>159</v>
      </c>
      <c r="CD3011" s="2">
        <v>127</v>
      </c>
      <c r="CE3011" s="2" t="s">
        <v>2749</v>
      </c>
      <c r="CI3011" s="2">
        <v>1</v>
      </c>
      <c r="CJ3011" s="2" t="s">
        <v>185</v>
      </c>
      <c r="CK3011" s="2">
        <v>21</v>
      </c>
      <c r="CL3011" s="2" t="s">
        <v>89</v>
      </c>
    </row>
    <row r="3012" spans="1:90">
      <c r="A3012" s="2" t="s">
        <v>71</v>
      </c>
      <c r="B3012" s="2" t="s">
        <v>72</v>
      </c>
      <c r="C3012" s="2" t="s">
        <v>73</v>
      </c>
      <c r="E3012" s="2" t="str">
        <f>"FES1162597163"</f>
        <v>FES1162597163</v>
      </c>
      <c r="F3012" s="3">
        <v>43089</v>
      </c>
      <c r="G3012" s="2">
        <v>201806</v>
      </c>
      <c r="H3012" s="2" t="s">
        <v>74</v>
      </c>
      <c r="I3012" s="2" t="s">
        <v>75</v>
      </c>
      <c r="J3012" s="2" t="s">
        <v>97</v>
      </c>
      <c r="K3012" s="2" t="s">
        <v>77</v>
      </c>
      <c r="L3012" s="2" t="s">
        <v>78</v>
      </c>
      <c r="M3012" s="2" t="s">
        <v>79</v>
      </c>
      <c r="N3012" s="2" t="s">
        <v>2392</v>
      </c>
      <c r="O3012" s="2" t="s">
        <v>101</v>
      </c>
      <c r="P3012" s="2" t="str">
        <f>"2170608050                    "</f>
        <v xml:space="preserve">2170608050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6.43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45.93</v>
      </c>
      <c r="BM3012" s="2">
        <v>6.43</v>
      </c>
      <c r="BN3012" s="2">
        <v>52.36</v>
      </c>
      <c r="BO3012" s="2">
        <v>52.36</v>
      </c>
      <c r="BQ3012" s="2" t="s">
        <v>82</v>
      </c>
      <c r="BR3012" s="2" t="s">
        <v>103</v>
      </c>
      <c r="BS3012" s="3">
        <v>43090</v>
      </c>
      <c r="BT3012" s="4">
        <v>0.52083333333333337</v>
      </c>
      <c r="BU3012" s="2" t="s">
        <v>2927</v>
      </c>
      <c r="BV3012" s="2" t="s">
        <v>89</v>
      </c>
      <c r="BY3012" s="2">
        <v>1200</v>
      </c>
      <c r="CC3012" s="2" t="s">
        <v>79</v>
      </c>
      <c r="CD3012" s="2">
        <v>1947</v>
      </c>
      <c r="CE3012" s="2" t="s">
        <v>2749</v>
      </c>
      <c r="CF3012" s="3">
        <v>43091</v>
      </c>
      <c r="CI3012" s="2">
        <v>1</v>
      </c>
      <c r="CJ3012" s="2">
        <v>1</v>
      </c>
      <c r="CK3012" s="2">
        <v>21</v>
      </c>
      <c r="CL3012" s="2" t="s">
        <v>89</v>
      </c>
    </row>
    <row r="3013" spans="1:90">
      <c r="A3013" s="2" t="s">
        <v>71</v>
      </c>
      <c r="B3013" s="2" t="s">
        <v>72</v>
      </c>
      <c r="C3013" s="2" t="s">
        <v>73</v>
      </c>
      <c r="E3013" s="2" t="str">
        <f>"FES1162597296"</f>
        <v>FES1162597296</v>
      </c>
      <c r="F3013" s="3">
        <v>43089</v>
      </c>
      <c r="G3013" s="2">
        <v>201806</v>
      </c>
      <c r="H3013" s="2" t="s">
        <v>74</v>
      </c>
      <c r="I3013" s="2" t="s">
        <v>75</v>
      </c>
      <c r="J3013" s="2" t="s">
        <v>97</v>
      </c>
      <c r="K3013" s="2" t="s">
        <v>77</v>
      </c>
      <c r="L3013" s="2" t="s">
        <v>74</v>
      </c>
      <c r="M3013" s="2" t="s">
        <v>75</v>
      </c>
      <c r="N3013" s="2" t="s">
        <v>454</v>
      </c>
      <c r="O3013" s="2" t="s">
        <v>101</v>
      </c>
      <c r="P3013" s="2" t="str">
        <f>"2170606790                    "</f>
        <v xml:space="preserve">2170606790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5.03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35.89</v>
      </c>
      <c r="BM3013" s="2">
        <v>5.0199999999999996</v>
      </c>
      <c r="BN3013" s="2">
        <v>40.909999999999997</v>
      </c>
      <c r="BO3013" s="2">
        <v>40.909999999999997</v>
      </c>
      <c r="BR3013" s="2" t="s">
        <v>103</v>
      </c>
      <c r="BS3013" s="3">
        <v>43090</v>
      </c>
      <c r="BT3013" s="4">
        <v>0.375</v>
      </c>
      <c r="BU3013" s="2" t="s">
        <v>205</v>
      </c>
      <c r="BV3013" s="2" t="s">
        <v>85</v>
      </c>
      <c r="BY3013" s="2">
        <v>1200</v>
      </c>
      <c r="CC3013" s="2" t="s">
        <v>75</v>
      </c>
      <c r="CD3013" s="2">
        <v>1682</v>
      </c>
      <c r="CE3013" s="2" t="s">
        <v>2749</v>
      </c>
      <c r="CF3013" s="3">
        <v>43091</v>
      </c>
      <c r="CI3013" s="2">
        <v>1</v>
      </c>
      <c r="CJ3013" s="2">
        <v>1</v>
      </c>
      <c r="CK3013" s="2">
        <v>22</v>
      </c>
      <c r="CL3013" s="2" t="s">
        <v>89</v>
      </c>
    </row>
    <row r="3014" spans="1:90">
      <c r="A3014" s="2" t="s">
        <v>71</v>
      </c>
      <c r="B3014" s="2" t="s">
        <v>72</v>
      </c>
      <c r="C3014" s="2" t="s">
        <v>73</v>
      </c>
      <c r="E3014" s="2" t="str">
        <f>"FES1162597169"</f>
        <v>FES1162597169</v>
      </c>
      <c r="F3014" s="3">
        <v>43089</v>
      </c>
      <c r="G3014" s="2">
        <v>201806</v>
      </c>
      <c r="H3014" s="2" t="s">
        <v>74</v>
      </c>
      <c r="I3014" s="2" t="s">
        <v>75</v>
      </c>
      <c r="J3014" s="2" t="s">
        <v>97</v>
      </c>
      <c r="K3014" s="2" t="s">
        <v>77</v>
      </c>
      <c r="L3014" s="2" t="s">
        <v>74</v>
      </c>
      <c r="M3014" s="2" t="s">
        <v>75</v>
      </c>
      <c r="N3014" s="2" t="s">
        <v>204</v>
      </c>
      <c r="O3014" s="2" t="s">
        <v>101</v>
      </c>
      <c r="P3014" s="2" t="str">
        <f>"2170608451                    "</f>
        <v xml:space="preserve">2170608451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5.03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1</v>
      </c>
      <c r="BJ3014" s="2">
        <v>0.2</v>
      </c>
      <c r="BK3014" s="2">
        <v>1</v>
      </c>
      <c r="BL3014" s="2">
        <v>35.89</v>
      </c>
      <c r="BM3014" s="2">
        <v>5.0199999999999996</v>
      </c>
      <c r="BN3014" s="2">
        <v>40.909999999999997</v>
      </c>
      <c r="BO3014" s="2">
        <v>40.909999999999997</v>
      </c>
      <c r="BQ3014" s="2" t="s">
        <v>102</v>
      </c>
      <c r="BR3014" s="2" t="s">
        <v>103</v>
      </c>
      <c r="BS3014" s="3">
        <v>43090</v>
      </c>
      <c r="BT3014" s="4">
        <v>0.32083333333333336</v>
      </c>
      <c r="BU3014" s="2" t="s">
        <v>205</v>
      </c>
      <c r="BV3014" s="2" t="s">
        <v>85</v>
      </c>
      <c r="BY3014" s="2">
        <v>1200</v>
      </c>
      <c r="CC3014" s="2" t="s">
        <v>75</v>
      </c>
      <c r="CD3014" s="2">
        <v>1645</v>
      </c>
      <c r="CE3014" s="2" t="s">
        <v>2749</v>
      </c>
      <c r="CF3014" s="3">
        <v>43091</v>
      </c>
      <c r="CI3014" s="2">
        <v>1</v>
      </c>
      <c r="CJ3014" s="2">
        <v>1</v>
      </c>
      <c r="CK3014" s="2">
        <v>22</v>
      </c>
      <c r="CL3014" s="2" t="s">
        <v>89</v>
      </c>
    </row>
    <row r="3015" spans="1:90">
      <c r="A3015" s="2" t="s">
        <v>71</v>
      </c>
      <c r="B3015" s="2" t="s">
        <v>72</v>
      </c>
      <c r="C3015" s="2" t="s">
        <v>73</v>
      </c>
      <c r="E3015" s="2" t="str">
        <f>"FES1162597127"</f>
        <v>FES1162597127</v>
      </c>
      <c r="F3015" s="3">
        <v>43089</v>
      </c>
      <c r="G3015" s="2">
        <v>201806</v>
      </c>
      <c r="H3015" s="2" t="s">
        <v>74</v>
      </c>
      <c r="I3015" s="2" t="s">
        <v>75</v>
      </c>
      <c r="J3015" s="2" t="s">
        <v>97</v>
      </c>
      <c r="K3015" s="2" t="s">
        <v>77</v>
      </c>
      <c r="L3015" s="2" t="s">
        <v>277</v>
      </c>
      <c r="M3015" s="2" t="s">
        <v>278</v>
      </c>
      <c r="N3015" s="2" t="s">
        <v>317</v>
      </c>
      <c r="O3015" s="2" t="s">
        <v>101</v>
      </c>
      <c r="P3015" s="2" t="str">
        <f>"2170605224                    "</f>
        <v xml:space="preserve">2170605224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5.03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</v>
      </c>
      <c r="BJ3015" s="2">
        <v>0.2</v>
      </c>
      <c r="BK3015" s="2">
        <v>1</v>
      </c>
      <c r="BL3015" s="2">
        <v>35.89</v>
      </c>
      <c r="BM3015" s="2">
        <v>5.0199999999999996</v>
      </c>
      <c r="BN3015" s="2">
        <v>40.909999999999997</v>
      </c>
      <c r="BO3015" s="2">
        <v>40.909999999999997</v>
      </c>
      <c r="BQ3015" s="2" t="s">
        <v>318</v>
      </c>
      <c r="BR3015" s="2" t="s">
        <v>103</v>
      </c>
      <c r="BS3015" s="3">
        <v>43090</v>
      </c>
      <c r="BT3015" s="4">
        <v>0.41666666666666669</v>
      </c>
      <c r="BU3015" s="2" t="s">
        <v>319</v>
      </c>
      <c r="BV3015" s="2" t="s">
        <v>85</v>
      </c>
      <c r="BY3015" s="2">
        <v>1200</v>
      </c>
      <c r="CC3015" s="2" t="s">
        <v>278</v>
      </c>
      <c r="CD3015" s="2">
        <v>2163</v>
      </c>
      <c r="CE3015" s="2" t="s">
        <v>2749</v>
      </c>
      <c r="CF3015" s="3">
        <v>43091</v>
      </c>
      <c r="CI3015" s="2">
        <v>1</v>
      </c>
      <c r="CJ3015" s="2">
        <v>1</v>
      </c>
      <c r="CK3015" s="2">
        <v>22</v>
      </c>
      <c r="CL3015" s="2" t="s">
        <v>89</v>
      </c>
    </row>
    <row r="3016" spans="1:90">
      <c r="A3016" s="2" t="s">
        <v>71</v>
      </c>
      <c r="B3016" s="2" t="s">
        <v>72</v>
      </c>
      <c r="C3016" s="2" t="s">
        <v>73</v>
      </c>
      <c r="E3016" s="2" t="str">
        <f>"FES1162597184"</f>
        <v>FES1162597184</v>
      </c>
      <c r="F3016" s="3">
        <v>43089</v>
      </c>
      <c r="G3016" s="2">
        <v>201806</v>
      </c>
      <c r="H3016" s="2" t="s">
        <v>74</v>
      </c>
      <c r="I3016" s="2" t="s">
        <v>75</v>
      </c>
      <c r="J3016" s="2" t="s">
        <v>97</v>
      </c>
      <c r="K3016" s="2" t="s">
        <v>77</v>
      </c>
      <c r="L3016" s="2" t="s">
        <v>547</v>
      </c>
      <c r="M3016" s="2" t="s">
        <v>548</v>
      </c>
      <c r="N3016" s="2" t="s">
        <v>922</v>
      </c>
      <c r="O3016" s="2" t="s">
        <v>101</v>
      </c>
      <c r="P3016" s="2" t="str">
        <f>"2170605742                    "</f>
        <v xml:space="preserve">2170605742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5.03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1</v>
      </c>
      <c r="BJ3016" s="2">
        <v>0.2</v>
      </c>
      <c r="BK3016" s="2">
        <v>1</v>
      </c>
      <c r="BL3016" s="2">
        <v>35.89</v>
      </c>
      <c r="BM3016" s="2">
        <v>5.0199999999999996</v>
      </c>
      <c r="BN3016" s="2">
        <v>40.909999999999997</v>
      </c>
      <c r="BO3016" s="2">
        <v>40.909999999999997</v>
      </c>
      <c r="BQ3016" s="2" t="s">
        <v>1794</v>
      </c>
      <c r="BR3016" s="2" t="s">
        <v>103</v>
      </c>
      <c r="BS3016" s="3">
        <v>43090</v>
      </c>
      <c r="BT3016" s="4">
        <v>0.3444444444444445</v>
      </c>
      <c r="BU3016" s="2" t="s">
        <v>2923</v>
      </c>
      <c r="BV3016" s="2" t="s">
        <v>85</v>
      </c>
      <c r="BY3016" s="2">
        <v>1200</v>
      </c>
      <c r="CC3016" s="2" t="s">
        <v>548</v>
      </c>
      <c r="CD3016" s="2">
        <v>1500</v>
      </c>
      <c r="CE3016" s="2" t="s">
        <v>2749</v>
      </c>
      <c r="CF3016" s="3">
        <v>43096</v>
      </c>
      <c r="CI3016" s="2">
        <v>1</v>
      </c>
      <c r="CJ3016" s="2">
        <v>1</v>
      </c>
      <c r="CK3016" s="2">
        <v>22</v>
      </c>
      <c r="CL3016" s="2" t="s">
        <v>89</v>
      </c>
    </row>
    <row r="3017" spans="1:90">
      <c r="A3017" s="2" t="s">
        <v>71</v>
      </c>
      <c r="B3017" s="2" t="s">
        <v>72</v>
      </c>
      <c r="C3017" s="2" t="s">
        <v>73</v>
      </c>
      <c r="E3017" s="2" t="str">
        <f>"FES1162597199"</f>
        <v>FES1162597199</v>
      </c>
      <c r="F3017" s="3">
        <v>43089</v>
      </c>
      <c r="G3017" s="2">
        <v>201806</v>
      </c>
      <c r="H3017" s="2" t="s">
        <v>74</v>
      </c>
      <c r="I3017" s="2" t="s">
        <v>75</v>
      </c>
      <c r="J3017" s="2" t="s">
        <v>97</v>
      </c>
      <c r="K3017" s="2" t="s">
        <v>77</v>
      </c>
      <c r="L3017" s="2" t="s">
        <v>682</v>
      </c>
      <c r="M3017" s="2" t="s">
        <v>683</v>
      </c>
      <c r="N3017" s="2" t="s">
        <v>684</v>
      </c>
      <c r="O3017" s="2" t="s">
        <v>101</v>
      </c>
      <c r="P3017" s="2" t="str">
        <f>"2170606127                    "</f>
        <v xml:space="preserve">2170606127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12.47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1</v>
      </c>
      <c r="BJ3017" s="2">
        <v>0.2</v>
      </c>
      <c r="BK3017" s="2">
        <v>1</v>
      </c>
      <c r="BL3017" s="2">
        <v>89</v>
      </c>
      <c r="BM3017" s="2">
        <v>12.46</v>
      </c>
      <c r="BN3017" s="2">
        <v>101.46</v>
      </c>
      <c r="BO3017" s="2">
        <v>101.46</v>
      </c>
      <c r="BQ3017" s="2" t="s">
        <v>128</v>
      </c>
      <c r="BR3017" s="2" t="s">
        <v>103</v>
      </c>
      <c r="BS3017" s="3">
        <v>43090</v>
      </c>
      <c r="BT3017" s="4">
        <v>0.54166666666666663</v>
      </c>
      <c r="BU3017" s="2" t="s">
        <v>2928</v>
      </c>
      <c r="BV3017" s="2" t="s">
        <v>85</v>
      </c>
      <c r="BY3017" s="2">
        <v>1200</v>
      </c>
      <c r="CA3017" s="2" t="s">
        <v>293</v>
      </c>
      <c r="CC3017" s="2" t="s">
        <v>683</v>
      </c>
      <c r="CD3017" s="2">
        <v>6300</v>
      </c>
      <c r="CE3017" s="2" t="s">
        <v>2749</v>
      </c>
      <c r="CI3017" s="2">
        <v>3</v>
      </c>
      <c r="CJ3017" s="2">
        <v>1</v>
      </c>
      <c r="CK3017" s="2">
        <v>23</v>
      </c>
      <c r="CL3017" s="2" t="s">
        <v>89</v>
      </c>
    </row>
    <row r="3018" spans="1:90">
      <c r="A3018" s="2" t="s">
        <v>71</v>
      </c>
      <c r="B3018" s="2" t="s">
        <v>72</v>
      </c>
      <c r="C3018" s="2" t="s">
        <v>73</v>
      </c>
      <c r="E3018" s="2" t="str">
        <f>"FES1162597203"</f>
        <v>FES1162597203</v>
      </c>
      <c r="F3018" s="3">
        <v>43089</v>
      </c>
      <c r="G3018" s="2">
        <v>201806</v>
      </c>
      <c r="H3018" s="2" t="s">
        <v>74</v>
      </c>
      <c r="I3018" s="2" t="s">
        <v>75</v>
      </c>
      <c r="J3018" s="2" t="s">
        <v>97</v>
      </c>
      <c r="K3018" s="2" t="s">
        <v>77</v>
      </c>
      <c r="L3018" s="2" t="s">
        <v>136</v>
      </c>
      <c r="M3018" s="2" t="s">
        <v>137</v>
      </c>
      <c r="N3018" s="2" t="s">
        <v>823</v>
      </c>
      <c r="O3018" s="2" t="s">
        <v>101</v>
      </c>
      <c r="P3018" s="2" t="str">
        <f>"2170606828                    "</f>
        <v xml:space="preserve">2170606828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6.43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</v>
      </c>
      <c r="BJ3018" s="2">
        <v>0.2</v>
      </c>
      <c r="BK3018" s="2">
        <v>1</v>
      </c>
      <c r="BL3018" s="2">
        <v>45.93</v>
      </c>
      <c r="BM3018" s="2">
        <v>6.43</v>
      </c>
      <c r="BN3018" s="2">
        <v>52.36</v>
      </c>
      <c r="BO3018" s="2">
        <v>52.36</v>
      </c>
      <c r="BQ3018" s="2" t="s">
        <v>924</v>
      </c>
      <c r="BR3018" s="2" t="s">
        <v>103</v>
      </c>
      <c r="BS3018" s="2" t="s">
        <v>185</v>
      </c>
      <c r="BY3018" s="2">
        <v>1200</v>
      </c>
      <c r="CC3018" s="2" t="s">
        <v>137</v>
      </c>
      <c r="CD3018" s="2">
        <v>6001</v>
      </c>
      <c r="CE3018" s="2" t="s">
        <v>2749</v>
      </c>
      <c r="CI3018" s="2">
        <v>1</v>
      </c>
      <c r="CJ3018" s="2" t="s">
        <v>185</v>
      </c>
      <c r="CK3018" s="2">
        <v>21</v>
      </c>
      <c r="CL3018" s="2" t="s">
        <v>89</v>
      </c>
    </row>
    <row r="3019" spans="1:90">
      <c r="A3019" s="2" t="s">
        <v>71</v>
      </c>
      <c r="B3019" s="2" t="s">
        <v>72</v>
      </c>
      <c r="C3019" s="2" t="s">
        <v>73</v>
      </c>
      <c r="E3019" s="2" t="str">
        <f>"FES1162597223"</f>
        <v>FES1162597223</v>
      </c>
      <c r="F3019" s="3">
        <v>43089</v>
      </c>
      <c r="G3019" s="2">
        <v>201806</v>
      </c>
      <c r="H3019" s="2" t="s">
        <v>74</v>
      </c>
      <c r="I3019" s="2" t="s">
        <v>75</v>
      </c>
      <c r="J3019" s="2" t="s">
        <v>97</v>
      </c>
      <c r="K3019" s="2" t="s">
        <v>77</v>
      </c>
      <c r="L3019" s="2" t="s">
        <v>145</v>
      </c>
      <c r="M3019" s="2" t="s">
        <v>146</v>
      </c>
      <c r="N3019" s="2" t="s">
        <v>922</v>
      </c>
      <c r="O3019" s="2" t="s">
        <v>101</v>
      </c>
      <c r="P3019" s="2" t="str">
        <f>"2170608436                    "</f>
        <v xml:space="preserve">2170608436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6.43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0.2</v>
      </c>
      <c r="BK3019" s="2">
        <v>1</v>
      </c>
      <c r="BL3019" s="2">
        <v>45.93</v>
      </c>
      <c r="BM3019" s="2">
        <v>6.43</v>
      </c>
      <c r="BN3019" s="2">
        <v>52.36</v>
      </c>
      <c r="BO3019" s="2">
        <v>52.36</v>
      </c>
      <c r="BQ3019" s="2" t="s">
        <v>102</v>
      </c>
      <c r="BR3019" s="2" t="s">
        <v>103</v>
      </c>
      <c r="BS3019" s="3">
        <v>43090</v>
      </c>
      <c r="BT3019" s="4">
        <v>0.33888888888888885</v>
      </c>
      <c r="BU3019" s="2" t="s">
        <v>2929</v>
      </c>
      <c r="BV3019" s="2" t="s">
        <v>85</v>
      </c>
      <c r="BY3019" s="2">
        <v>1200</v>
      </c>
      <c r="CA3019" s="2" t="s">
        <v>629</v>
      </c>
      <c r="CC3019" s="2" t="s">
        <v>146</v>
      </c>
      <c r="CD3019" s="2">
        <v>5201</v>
      </c>
      <c r="CE3019" s="2" t="s">
        <v>2749</v>
      </c>
      <c r="CF3019" s="3">
        <v>43091</v>
      </c>
      <c r="CI3019" s="2">
        <v>1</v>
      </c>
      <c r="CJ3019" s="2">
        <v>1</v>
      </c>
      <c r="CK3019" s="2">
        <v>21</v>
      </c>
      <c r="CL3019" s="2" t="s">
        <v>89</v>
      </c>
    </row>
    <row r="3020" spans="1:90">
      <c r="A3020" s="2" t="s">
        <v>71</v>
      </c>
      <c r="B3020" s="2" t="s">
        <v>72</v>
      </c>
      <c r="C3020" s="2" t="s">
        <v>73</v>
      </c>
      <c r="E3020" s="2" t="str">
        <f>"FES1162597268"</f>
        <v>FES1162597268</v>
      </c>
      <c r="F3020" s="3">
        <v>43089</v>
      </c>
      <c r="G3020" s="2">
        <v>201806</v>
      </c>
      <c r="H3020" s="2" t="s">
        <v>74</v>
      </c>
      <c r="I3020" s="2" t="s">
        <v>75</v>
      </c>
      <c r="J3020" s="2" t="s">
        <v>97</v>
      </c>
      <c r="K3020" s="2" t="s">
        <v>77</v>
      </c>
      <c r="L3020" s="2" t="s">
        <v>136</v>
      </c>
      <c r="M3020" s="2" t="s">
        <v>137</v>
      </c>
      <c r="N3020" s="2" t="s">
        <v>138</v>
      </c>
      <c r="O3020" s="2" t="s">
        <v>101</v>
      </c>
      <c r="P3020" s="2" t="str">
        <f>"2170605832                    "</f>
        <v xml:space="preserve">2170605832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6.43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1</v>
      </c>
      <c r="BJ3020" s="2">
        <v>0.2</v>
      </c>
      <c r="BK3020" s="2">
        <v>1</v>
      </c>
      <c r="BL3020" s="2">
        <v>45.93</v>
      </c>
      <c r="BM3020" s="2">
        <v>6.43</v>
      </c>
      <c r="BN3020" s="2">
        <v>52.36</v>
      </c>
      <c r="BO3020" s="2">
        <v>52.36</v>
      </c>
      <c r="BQ3020" s="2" t="s">
        <v>82</v>
      </c>
      <c r="BR3020" s="2" t="s">
        <v>103</v>
      </c>
      <c r="BS3020" s="3">
        <v>43090</v>
      </c>
      <c r="BT3020" s="4">
        <v>0.33333333333333331</v>
      </c>
      <c r="BU3020" s="2" t="s">
        <v>732</v>
      </c>
      <c r="BV3020" s="2" t="s">
        <v>85</v>
      </c>
      <c r="BY3020" s="2">
        <v>1200</v>
      </c>
      <c r="CC3020" s="2" t="s">
        <v>137</v>
      </c>
      <c r="CD3020" s="2">
        <v>6001</v>
      </c>
      <c r="CE3020" s="2" t="s">
        <v>2749</v>
      </c>
      <c r="CF3020" s="3">
        <v>43096</v>
      </c>
      <c r="CI3020" s="2">
        <v>1</v>
      </c>
      <c r="CJ3020" s="2">
        <v>1</v>
      </c>
      <c r="CK3020" s="2">
        <v>21</v>
      </c>
      <c r="CL3020" s="2" t="s">
        <v>89</v>
      </c>
    </row>
    <row r="3021" spans="1:90">
      <c r="A3021" s="2" t="s">
        <v>71</v>
      </c>
      <c r="B3021" s="2" t="s">
        <v>72</v>
      </c>
      <c r="C3021" s="2" t="s">
        <v>73</v>
      </c>
      <c r="E3021" s="2" t="str">
        <f>"FES1162597224"</f>
        <v>FES1162597224</v>
      </c>
      <c r="F3021" s="3">
        <v>43089</v>
      </c>
      <c r="G3021" s="2">
        <v>201806</v>
      </c>
      <c r="H3021" s="2" t="s">
        <v>74</v>
      </c>
      <c r="I3021" s="2" t="s">
        <v>75</v>
      </c>
      <c r="J3021" s="2" t="s">
        <v>97</v>
      </c>
      <c r="K3021" s="2" t="s">
        <v>77</v>
      </c>
      <c r="L3021" s="2" t="s">
        <v>136</v>
      </c>
      <c r="M3021" s="2" t="s">
        <v>137</v>
      </c>
      <c r="N3021" s="2" t="s">
        <v>918</v>
      </c>
      <c r="O3021" s="2" t="s">
        <v>101</v>
      </c>
      <c r="P3021" s="2" t="str">
        <f>"2170608483                    "</f>
        <v xml:space="preserve">2170608483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6.43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45.93</v>
      </c>
      <c r="BM3021" s="2">
        <v>6.43</v>
      </c>
      <c r="BN3021" s="2">
        <v>52.36</v>
      </c>
      <c r="BO3021" s="2">
        <v>52.36</v>
      </c>
      <c r="BQ3021" s="2" t="s">
        <v>128</v>
      </c>
      <c r="BR3021" s="2" t="s">
        <v>103</v>
      </c>
      <c r="BS3021" s="3">
        <v>43090</v>
      </c>
      <c r="BT3021" s="4">
        <v>0.30069444444444443</v>
      </c>
      <c r="BU3021" s="2" t="s">
        <v>2930</v>
      </c>
      <c r="BV3021" s="2" t="s">
        <v>85</v>
      </c>
      <c r="BY3021" s="2">
        <v>1200</v>
      </c>
      <c r="CC3021" s="2" t="s">
        <v>137</v>
      </c>
      <c r="CD3021" s="2">
        <v>6012</v>
      </c>
      <c r="CE3021" s="2" t="s">
        <v>2749</v>
      </c>
      <c r="CF3021" s="3">
        <v>43096</v>
      </c>
      <c r="CI3021" s="2">
        <v>1</v>
      </c>
      <c r="CJ3021" s="2">
        <v>1</v>
      </c>
      <c r="CK3021" s="2">
        <v>21</v>
      </c>
      <c r="CL3021" s="2" t="s">
        <v>89</v>
      </c>
    </row>
    <row r="3022" spans="1:90">
      <c r="A3022" s="2" t="s">
        <v>71</v>
      </c>
      <c r="B3022" s="2" t="s">
        <v>72</v>
      </c>
      <c r="C3022" s="2" t="s">
        <v>73</v>
      </c>
      <c r="E3022" s="2" t="str">
        <f>"FES1162597209"</f>
        <v>FES1162597209</v>
      </c>
      <c r="F3022" s="3">
        <v>43089</v>
      </c>
      <c r="G3022" s="2">
        <v>201806</v>
      </c>
      <c r="H3022" s="2" t="s">
        <v>74</v>
      </c>
      <c r="I3022" s="2" t="s">
        <v>75</v>
      </c>
      <c r="J3022" s="2" t="s">
        <v>97</v>
      </c>
      <c r="K3022" s="2" t="s">
        <v>77</v>
      </c>
      <c r="L3022" s="2" t="s">
        <v>136</v>
      </c>
      <c r="M3022" s="2" t="s">
        <v>137</v>
      </c>
      <c r="N3022" s="2" t="s">
        <v>138</v>
      </c>
      <c r="O3022" s="2" t="s">
        <v>101</v>
      </c>
      <c r="P3022" s="2" t="str">
        <f>"2170607530                    "</f>
        <v xml:space="preserve">2170607530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6.43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45.93</v>
      </c>
      <c r="BM3022" s="2">
        <v>6.43</v>
      </c>
      <c r="BN3022" s="2">
        <v>52.36</v>
      </c>
      <c r="BO3022" s="2">
        <v>52.36</v>
      </c>
      <c r="BQ3022" s="2" t="s">
        <v>82</v>
      </c>
      <c r="BR3022" s="2" t="s">
        <v>103</v>
      </c>
      <c r="BS3022" s="3">
        <v>43090</v>
      </c>
      <c r="BT3022" s="4">
        <v>0.33333333333333331</v>
      </c>
      <c r="BU3022" s="2" t="s">
        <v>732</v>
      </c>
      <c r="BV3022" s="2" t="s">
        <v>85</v>
      </c>
      <c r="BY3022" s="2">
        <v>1200</v>
      </c>
      <c r="CC3022" s="2" t="s">
        <v>137</v>
      </c>
      <c r="CD3022" s="2">
        <v>6001</v>
      </c>
      <c r="CE3022" s="2" t="s">
        <v>2749</v>
      </c>
      <c r="CF3022" s="3">
        <v>43096</v>
      </c>
      <c r="CI3022" s="2">
        <v>1</v>
      </c>
      <c r="CJ3022" s="2">
        <v>1</v>
      </c>
      <c r="CK3022" s="2">
        <v>21</v>
      </c>
      <c r="CL3022" s="2" t="s">
        <v>89</v>
      </c>
    </row>
    <row r="3023" spans="1:90">
      <c r="A3023" s="2" t="s">
        <v>71</v>
      </c>
      <c r="B3023" s="2" t="s">
        <v>72</v>
      </c>
      <c r="C3023" s="2" t="s">
        <v>73</v>
      </c>
      <c r="E3023" s="2" t="str">
        <f>"FES1162597222"</f>
        <v>FES1162597222</v>
      </c>
      <c r="F3023" s="3">
        <v>43089</v>
      </c>
      <c r="G3023" s="2">
        <v>201806</v>
      </c>
      <c r="H3023" s="2" t="s">
        <v>74</v>
      </c>
      <c r="I3023" s="2" t="s">
        <v>75</v>
      </c>
      <c r="J3023" s="2" t="s">
        <v>97</v>
      </c>
      <c r="K3023" s="2" t="s">
        <v>77</v>
      </c>
      <c r="L3023" s="2" t="s">
        <v>136</v>
      </c>
      <c r="M3023" s="2" t="s">
        <v>137</v>
      </c>
      <c r="N3023" s="2" t="s">
        <v>918</v>
      </c>
      <c r="O3023" s="2" t="s">
        <v>101</v>
      </c>
      <c r="P3023" s="2" t="str">
        <f>"2170608425                    "</f>
        <v xml:space="preserve">2170608425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6.43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45.93</v>
      </c>
      <c r="BM3023" s="2">
        <v>6.43</v>
      </c>
      <c r="BN3023" s="2">
        <v>52.36</v>
      </c>
      <c r="BO3023" s="2">
        <v>52.36</v>
      </c>
      <c r="BQ3023" s="2" t="s">
        <v>128</v>
      </c>
      <c r="BR3023" s="2" t="s">
        <v>103</v>
      </c>
      <c r="BS3023" s="3">
        <v>43090</v>
      </c>
      <c r="BT3023" s="4">
        <v>0.30069444444444443</v>
      </c>
      <c r="BU3023" s="2" t="s">
        <v>2930</v>
      </c>
      <c r="BV3023" s="2" t="s">
        <v>85</v>
      </c>
      <c r="BY3023" s="2">
        <v>1200</v>
      </c>
      <c r="CC3023" s="2" t="s">
        <v>137</v>
      </c>
      <c r="CD3023" s="2">
        <v>6012</v>
      </c>
      <c r="CE3023" s="2" t="s">
        <v>2749</v>
      </c>
      <c r="CF3023" s="3">
        <v>43096</v>
      </c>
      <c r="CI3023" s="2">
        <v>1</v>
      </c>
      <c r="CJ3023" s="2">
        <v>1</v>
      </c>
      <c r="CK3023" s="2">
        <v>21</v>
      </c>
      <c r="CL3023" s="2" t="s">
        <v>89</v>
      </c>
    </row>
    <row r="3024" spans="1:90">
      <c r="A3024" s="2" t="s">
        <v>71</v>
      </c>
      <c r="B3024" s="2" t="s">
        <v>72</v>
      </c>
      <c r="C3024" s="2" t="s">
        <v>73</v>
      </c>
      <c r="E3024" s="2" t="str">
        <f>"FES1162597325"</f>
        <v>FES1162597325</v>
      </c>
      <c r="F3024" s="3">
        <v>43089</v>
      </c>
      <c r="G3024" s="2">
        <v>201806</v>
      </c>
      <c r="H3024" s="2" t="s">
        <v>74</v>
      </c>
      <c r="I3024" s="2" t="s">
        <v>75</v>
      </c>
      <c r="J3024" s="2" t="s">
        <v>97</v>
      </c>
      <c r="K3024" s="2" t="s">
        <v>77</v>
      </c>
      <c r="L3024" s="2" t="s">
        <v>136</v>
      </c>
      <c r="M3024" s="2" t="s">
        <v>137</v>
      </c>
      <c r="N3024" s="2" t="s">
        <v>660</v>
      </c>
      <c r="O3024" s="2" t="s">
        <v>101</v>
      </c>
      <c r="P3024" s="2" t="str">
        <f>"2170608639                    "</f>
        <v xml:space="preserve">2170608639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9.65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0.6</v>
      </c>
      <c r="BJ3024" s="2">
        <v>3</v>
      </c>
      <c r="BK3024" s="2">
        <v>3</v>
      </c>
      <c r="BL3024" s="2">
        <v>68.89</v>
      </c>
      <c r="BM3024" s="2">
        <v>9.64</v>
      </c>
      <c r="BN3024" s="2">
        <v>78.53</v>
      </c>
      <c r="BO3024" s="2">
        <v>78.53</v>
      </c>
      <c r="BQ3024" s="2" t="s">
        <v>1346</v>
      </c>
      <c r="BR3024" s="2" t="s">
        <v>103</v>
      </c>
      <c r="BS3024" s="3">
        <v>43090</v>
      </c>
      <c r="BT3024" s="4">
        <v>0.37152777777777773</v>
      </c>
      <c r="BU3024" s="2" t="s">
        <v>661</v>
      </c>
      <c r="BV3024" s="2" t="s">
        <v>85</v>
      </c>
      <c r="BY3024" s="2">
        <v>14976.72</v>
      </c>
      <c r="CA3024" s="2" t="s">
        <v>180</v>
      </c>
      <c r="CC3024" s="2" t="s">
        <v>137</v>
      </c>
      <c r="CD3024" s="2">
        <v>6001</v>
      </c>
      <c r="CE3024" s="2" t="s">
        <v>2749</v>
      </c>
      <c r="CF3024" s="3">
        <v>43096</v>
      </c>
      <c r="CI3024" s="2">
        <v>1</v>
      </c>
      <c r="CJ3024" s="2">
        <v>1</v>
      </c>
      <c r="CK3024" s="2">
        <v>21</v>
      </c>
      <c r="CL3024" s="2" t="s">
        <v>89</v>
      </c>
    </row>
    <row r="3025" spans="1:90">
      <c r="A3025" s="2" t="s">
        <v>71</v>
      </c>
      <c r="B3025" s="2" t="s">
        <v>72</v>
      </c>
      <c r="C3025" s="2" t="s">
        <v>73</v>
      </c>
      <c r="E3025" s="2" t="str">
        <f>"FES1162597284"</f>
        <v>FES1162597284</v>
      </c>
      <c r="F3025" s="3">
        <v>43089</v>
      </c>
      <c r="G3025" s="2">
        <v>201806</v>
      </c>
      <c r="H3025" s="2" t="s">
        <v>74</v>
      </c>
      <c r="I3025" s="2" t="s">
        <v>75</v>
      </c>
      <c r="J3025" s="2" t="s">
        <v>97</v>
      </c>
      <c r="K3025" s="2" t="s">
        <v>77</v>
      </c>
      <c r="L3025" s="2" t="s">
        <v>136</v>
      </c>
      <c r="M3025" s="2" t="s">
        <v>137</v>
      </c>
      <c r="N3025" s="2" t="s">
        <v>974</v>
      </c>
      <c r="O3025" s="2" t="s">
        <v>101</v>
      </c>
      <c r="P3025" s="2" t="str">
        <f>"2170606430                    "</f>
        <v xml:space="preserve">2170606430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6.43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1</v>
      </c>
      <c r="BJ3025" s="2">
        <v>0.2</v>
      </c>
      <c r="BK3025" s="2">
        <v>1</v>
      </c>
      <c r="BL3025" s="2">
        <v>45.93</v>
      </c>
      <c r="BM3025" s="2">
        <v>6.43</v>
      </c>
      <c r="BN3025" s="2">
        <v>52.36</v>
      </c>
      <c r="BO3025" s="2">
        <v>52.36</v>
      </c>
      <c r="BQ3025" s="2" t="s">
        <v>82</v>
      </c>
      <c r="BR3025" s="2" t="s">
        <v>103</v>
      </c>
      <c r="BS3025" s="3">
        <v>43090</v>
      </c>
      <c r="BT3025" s="4">
        <v>0.3125</v>
      </c>
      <c r="BU3025" s="2" t="s">
        <v>2769</v>
      </c>
      <c r="BV3025" s="2" t="s">
        <v>85</v>
      </c>
      <c r="BY3025" s="2">
        <v>1200</v>
      </c>
      <c r="CC3025" s="2" t="s">
        <v>137</v>
      </c>
      <c r="CD3025" s="2">
        <v>6001</v>
      </c>
      <c r="CE3025" s="2" t="s">
        <v>2749</v>
      </c>
      <c r="CF3025" s="3">
        <v>43096</v>
      </c>
      <c r="CI3025" s="2">
        <v>1</v>
      </c>
      <c r="CJ3025" s="2">
        <v>1</v>
      </c>
      <c r="CK3025" s="2">
        <v>21</v>
      </c>
      <c r="CL3025" s="2" t="s">
        <v>89</v>
      </c>
    </row>
    <row r="3026" spans="1:90">
      <c r="A3026" s="2" t="s">
        <v>71</v>
      </c>
      <c r="B3026" s="2" t="s">
        <v>72</v>
      </c>
      <c r="C3026" s="2" t="s">
        <v>73</v>
      </c>
      <c r="E3026" s="2" t="str">
        <f>"FES1162597317"</f>
        <v>FES1162597317</v>
      </c>
      <c r="F3026" s="3">
        <v>43089</v>
      </c>
      <c r="G3026" s="2">
        <v>201806</v>
      </c>
      <c r="H3026" s="2" t="s">
        <v>74</v>
      </c>
      <c r="I3026" s="2" t="s">
        <v>75</v>
      </c>
      <c r="J3026" s="2" t="s">
        <v>97</v>
      </c>
      <c r="K3026" s="2" t="s">
        <v>77</v>
      </c>
      <c r="L3026" s="2" t="s">
        <v>136</v>
      </c>
      <c r="M3026" s="2" t="s">
        <v>137</v>
      </c>
      <c r="N3026" s="2" t="s">
        <v>660</v>
      </c>
      <c r="O3026" s="2" t="s">
        <v>101</v>
      </c>
      <c r="P3026" s="2" t="str">
        <f>"2170606867                    "</f>
        <v xml:space="preserve">2170606867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6.43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1</v>
      </c>
      <c r="BJ3026" s="2">
        <v>0.2</v>
      </c>
      <c r="BK3026" s="2">
        <v>1</v>
      </c>
      <c r="BL3026" s="2">
        <v>45.93</v>
      </c>
      <c r="BM3026" s="2">
        <v>6.43</v>
      </c>
      <c r="BN3026" s="2">
        <v>52.36</v>
      </c>
      <c r="BO3026" s="2">
        <v>52.36</v>
      </c>
      <c r="BQ3026" s="2" t="s">
        <v>1346</v>
      </c>
      <c r="BR3026" s="2" t="s">
        <v>103</v>
      </c>
      <c r="BS3026" s="3">
        <v>43090</v>
      </c>
      <c r="BT3026" s="4">
        <v>0.37152777777777773</v>
      </c>
      <c r="BU3026" s="2" t="s">
        <v>661</v>
      </c>
      <c r="BV3026" s="2" t="s">
        <v>85</v>
      </c>
      <c r="BY3026" s="2">
        <v>1200</v>
      </c>
      <c r="CA3026" s="2" t="s">
        <v>180</v>
      </c>
      <c r="CC3026" s="2" t="s">
        <v>137</v>
      </c>
      <c r="CD3026" s="2">
        <v>6001</v>
      </c>
      <c r="CE3026" s="2" t="s">
        <v>2749</v>
      </c>
      <c r="CF3026" s="3">
        <v>43096</v>
      </c>
      <c r="CI3026" s="2">
        <v>1</v>
      </c>
      <c r="CJ3026" s="2">
        <v>1</v>
      </c>
      <c r="CK3026" s="2">
        <v>21</v>
      </c>
      <c r="CL3026" s="2" t="s">
        <v>89</v>
      </c>
    </row>
    <row r="3027" spans="1:90">
      <c r="A3027" s="2" t="s">
        <v>71</v>
      </c>
      <c r="B3027" s="2" t="s">
        <v>72</v>
      </c>
      <c r="C3027" s="2" t="s">
        <v>73</v>
      </c>
      <c r="E3027" s="2" t="str">
        <f>"FES1162597221"</f>
        <v>FES1162597221</v>
      </c>
      <c r="F3027" s="3">
        <v>43089</v>
      </c>
      <c r="G3027" s="2">
        <v>201806</v>
      </c>
      <c r="H3027" s="2" t="s">
        <v>74</v>
      </c>
      <c r="I3027" s="2" t="s">
        <v>75</v>
      </c>
      <c r="J3027" s="2" t="s">
        <v>97</v>
      </c>
      <c r="K3027" s="2" t="s">
        <v>77</v>
      </c>
      <c r="L3027" s="2" t="s">
        <v>145</v>
      </c>
      <c r="M3027" s="2" t="s">
        <v>146</v>
      </c>
      <c r="N3027" s="2" t="s">
        <v>753</v>
      </c>
      <c r="O3027" s="2" t="s">
        <v>101</v>
      </c>
      <c r="P3027" s="2" t="str">
        <f>"2170608407                    "</f>
        <v xml:space="preserve">2170608407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6.43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</v>
      </c>
      <c r="BJ3027" s="2">
        <v>0.2</v>
      </c>
      <c r="BK3027" s="2">
        <v>1</v>
      </c>
      <c r="BL3027" s="2">
        <v>45.93</v>
      </c>
      <c r="BM3027" s="2">
        <v>6.43</v>
      </c>
      <c r="BN3027" s="2">
        <v>52.36</v>
      </c>
      <c r="BO3027" s="2">
        <v>52.36</v>
      </c>
      <c r="BQ3027" s="2" t="s">
        <v>82</v>
      </c>
      <c r="BR3027" s="2" t="s">
        <v>103</v>
      </c>
      <c r="BS3027" s="3">
        <v>43090</v>
      </c>
      <c r="BT3027" s="4">
        <v>0.4069444444444445</v>
      </c>
      <c r="BU3027" s="2" t="s">
        <v>2856</v>
      </c>
      <c r="BV3027" s="2" t="s">
        <v>85</v>
      </c>
      <c r="BY3027" s="2">
        <v>1200</v>
      </c>
      <c r="CC3027" s="2" t="s">
        <v>146</v>
      </c>
      <c r="CD3027" s="2">
        <v>5201</v>
      </c>
      <c r="CE3027" s="2" t="s">
        <v>2749</v>
      </c>
      <c r="CF3027" s="3">
        <v>43096</v>
      </c>
      <c r="CI3027" s="2">
        <v>1</v>
      </c>
      <c r="CJ3027" s="2">
        <v>1</v>
      </c>
      <c r="CK3027" s="2">
        <v>21</v>
      </c>
      <c r="CL3027" s="2" t="s">
        <v>89</v>
      </c>
    </row>
    <row r="3028" spans="1:90">
      <c r="A3028" s="2" t="s">
        <v>71</v>
      </c>
      <c r="B3028" s="2" t="s">
        <v>72</v>
      </c>
      <c r="C3028" s="2" t="s">
        <v>73</v>
      </c>
      <c r="E3028" s="2" t="str">
        <f>"FES1162597303"</f>
        <v>FES1162597303</v>
      </c>
      <c r="F3028" s="3">
        <v>43089</v>
      </c>
      <c r="G3028" s="2">
        <v>201806</v>
      </c>
      <c r="H3028" s="2" t="s">
        <v>74</v>
      </c>
      <c r="I3028" s="2" t="s">
        <v>75</v>
      </c>
      <c r="J3028" s="2" t="s">
        <v>97</v>
      </c>
      <c r="K3028" s="2" t="s">
        <v>77</v>
      </c>
      <c r="L3028" s="2" t="s">
        <v>136</v>
      </c>
      <c r="M3028" s="2" t="s">
        <v>137</v>
      </c>
      <c r="N3028" s="2" t="s">
        <v>178</v>
      </c>
      <c r="O3028" s="2" t="s">
        <v>101</v>
      </c>
      <c r="P3028" s="2" t="str">
        <f>"2170608632                    "</f>
        <v xml:space="preserve">2170608632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6.43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</v>
      </c>
      <c r="BJ3028" s="2">
        <v>0.2</v>
      </c>
      <c r="BK3028" s="2">
        <v>1</v>
      </c>
      <c r="BL3028" s="2">
        <v>45.93</v>
      </c>
      <c r="BM3028" s="2">
        <v>6.43</v>
      </c>
      <c r="BN3028" s="2">
        <v>52.36</v>
      </c>
      <c r="BO3028" s="2">
        <v>52.36</v>
      </c>
      <c r="BQ3028" s="2" t="s">
        <v>102</v>
      </c>
      <c r="BR3028" s="2" t="s">
        <v>103</v>
      </c>
      <c r="BS3028" s="3">
        <v>43090</v>
      </c>
      <c r="BT3028" s="4">
        <v>0.3125</v>
      </c>
      <c r="BU3028" s="2" t="s">
        <v>179</v>
      </c>
      <c r="BV3028" s="2" t="s">
        <v>85</v>
      </c>
      <c r="BY3028" s="2">
        <v>1200</v>
      </c>
      <c r="CA3028" s="2" t="s">
        <v>180</v>
      </c>
      <c r="CC3028" s="2" t="s">
        <v>137</v>
      </c>
      <c r="CD3028" s="2">
        <v>6001</v>
      </c>
      <c r="CE3028" s="2" t="s">
        <v>2749</v>
      </c>
      <c r="CF3028" s="3">
        <v>43096</v>
      </c>
      <c r="CI3028" s="2">
        <v>1</v>
      </c>
      <c r="CJ3028" s="2">
        <v>1</v>
      </c>
      <c r="CK3028" s="2">
        <v>21</v>
      </c>
      <c r="CL3028" s="2" t="s">
        <v>89</v>
      </c>
    </row>
    <row r="3029" spans="1:90">
      <c r="A3029" s="2" t="s">
        <v>71</v>
      </c>
      <c r="B3029" s="2" t="s">
        <v>72</v>
      </c>
      <c r="C3029" s="2" t="s">
        <v>73</v>
      </c>
      <c r="E3029" s="2" t="str">
        <f>"FES1162597227"</f>
        <v>FES1162597227</v>
      </c>
      <c r="F3029" s="3">
        <v>43089</v>
      </c>
      <c r="G3029" s="2">
        <v>201806</v>
      </c>
      <c r="H3029" s="2" t="s">
        <v>74</v>
      </c>
      <c r="I3029" s="2" t="s">
        <v>75</v>
      </c>
      <c r="J3029" s="2" t="s">
        <v>97</v>
      </c>
      <c r="K3029" s="2" t="s">
        <v>77</v>
      </c>
      <c r="L3029" s="2" t="s">
        <v>136</v>
      </c>
      <c r="M3029" s="2" t="s">
        <v>137</v>
      </c>
      <c r="N3029" s="2" t="s">
        <v>2882</v>
      </c>
      <c r="O3029" s="2" t="s">
        <v>101</v>
      </c>
      <c r="P3029" s="2" t="str">
        <f>"2170608584                    "</f>
        <v xml:space="preserve">2170608584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6.43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45.93</v>
      </c>
      <c r="BM3029" s="2">
        <v>6.43</v>
      </c>
      <c r="BN3029" s="2">
        <v>52.36</v>
      </c>
      <c r="BO3029" s="2">
        <v>52.36</v>
      </c>
      <c r="BQ3029" s="2" t="s">
        <v>102</v>
      </c>
      <c r="BR3029" s="2" t="s">
        <v>103</v>
      </c>
      <c r="BS3029" s="3">
        <v>43090</v>
      </c>
      <c r="BT3029" s="4">
        <v>0.38680555555555557</v>
      </c>
      <c r="BU3029" s="2" t="s">
        <v>2642</v>
      </c>
      <c r="BV3029" s="2" t="s">
        <v>85</v>
      </c>
      <c r="BY3029" s="2">
        <v>1200</v>
      </c>
      <c r="CA3029" s="2" t="s">
        <v>180</v>
      </c>
      <c r="CC3029" s="2" t="s">
        <v>137</v>
      </c>
      <c r="CD3029" s="2">
        <v>6000</v>
      </c>
      <c r="CE3029" s="2" t="s">
        <v>2749</v>
      </c>
      <c r="CF3029" s="3">
        <v>43096</v>
      </c>
      <c r="CI3029" s="2">
        <v>1</v>
      </c>
      <c r="CJ3029" s="2">
        <v>1</v>
      </c>
      <c r="CK3029" s="2">
        <v>21</v>
      </c>
      <c r="CL3029" s="2" t="s">
        <v>89</v>
      </c>
    </row>
    <row r="3030" spans="1:90">
      <c r="A3030" s="2" t="s">
        <v>71</v>
      </c>
      <c r="B3030" s="2" t="s">
        <v>72</v>
      </c>
      <c r="C3030" s="2" t="s">
        <v>73</v>
      </c>
      <c r="E3030" s="2" t="str">
        <f>"FES1162597327"</f>
        <v>FES1162597327</v>
      </c>
      <c r="F3030" s="3">
        <v>43089</v>
      </c>
      <c r="G3030" s="2">
        <v>201806</v>
      </c>
      <c r="H3030" s="2" t="s">
        <v>74</v>
      </c>
      <c r="I3030" s="2" t="s">
        <v>75</v>
      </c>
      <c r="J3030" s="2" t="s">
        <v>97</v>
      </c>
      <c r="K3030" s="2" t="s">
        <v>77</v>
      </c>
      <c r="L3030" s="2" t="s">
        <v>521</v>
      </c>
      <c r="M3030" s="2" t="s">
        <v>522</v>
      </c>
      <c r="N3030" s="2" t="s">
        <v>2554</v>
      </c>
      <c r="O3030" s="2" t="s">
        <v>101</v>
      </c>
      <c r="P3030" s="2" t="str">
        <f>"2170608645                    "</f>
        <v xml:space="preserve">2170608645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6.43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1</v>
      </c>
      <c r="BJ3030" s="2">
        <v>0.2</v>
      </c>
      <c r="BK3030" s="2">
        <v>1</v>
      </c>
      <c r="BL3030" s="2">
        <v>45.93</v>
      </c>
      <c r="BM3030" s="2">
        <v>6.43</v>
      </c>
      <c r="BN3030" s="2">
        <v>52.36</v>
      </c>
      <c r="BO3030" s="2">
        <v>52.36</v>
      </c>
      <c r="BR3030" s="2" t="s">
        <v>103</v>
      </c>
      <c r="BS3030" s="3">
        <v>43090</v>
      </c>
      <c r="BT3030" s="4">
        <v>0.60763888888888895</v>
      </c>
      <c r="BU3030" s="2" t="s">
        <v>2779</v>
      </c>
      <c r="BV3030" s="2" t="s">
        <v>89</v>
      </c>
      <c r="BW3030" s="2" t="s">
        <v>149</v>
      </c>
      <c r="BX3030" s="2" t="s">
        <v>2931</v>
      </c>
      <c r="BY3030" s="2">
        <v>1200</v>
      </c>
      <c r="CA3030" s="2" t="s">
        <v>525</v>
      </c>
      <c r="CC3030" s="2" t="s">
        <v>522</v>
      </c>
      <c r="CD3030" s="2">
        <v>6529</v>
      </c>
      <c r="CE3030" s="2" t="s">
        <v>2749</v>
      </c>
      <c r="CF3030" s="3">
        <v>43096</v>
      </c>
      <c r="CI3030" s="2">
        <v>1</v>
      </c>
      <c r="CJ3030" s="2">
        <v>1</v>
      </c>
      <c r="CK3030" s="2">
        <v>21</v>
      </c>
      <c r="CL3030" s="2" t="s">
        <v>89</v>
      </c>
    </row>
    <row r="3031" spans="1:90">
      <c r="A3031" s="2" t="s">
        <v>71</v>
      </c>
      <c r="B3031" s="2" t="s">
        <v>72</v>
      </c>
      <c r="C3031" s="2" t="s">
        <v>73</v>
      </c>
      <c r="E3031" s="2" t="str">
        <f>"FES1162597318"</f>
        <v>FES1162597318</v>
      </c>
      <c r="F3031" s="3">
        <v>43089</v>
      </c>
      <c r="G3031" s="2">
        <v>201806</v>
      </c>
      <c r="H3031" s="2" t="s">
        <v>74</v>
      </c>
      <c r="I3031" s="2" t="s">
        <v>75</v>
      </c>
      <c r="J3031" s="2" t="s">
        <v>97</v>
      </c>
      <c r="K3031" s="2" t="s">
        <v>77</v>
      </c>
      <c r="L3031" s="2" t="s">
        <v>462</v>
      </c>
      <c r="M3031" s="2" t="s">
        <v>463</v>
      </c>
      <c r="N3031" s="2" t="s">
        <v>464</v>
      </c>
      <c r="O3031" s="2" t="s">
        <v>101</v>
      </c>
      <c r="P3031" s="2" t="str">
        <f>"2170606981                    "</f>
        <v xml:space="preserve">2170606981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6.43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1.9</v>
      </c>
      <c r="BJ3031" s="2">
        <v>1.4</v>
      </c>
      <c r="BK3031" s="2">
        <v>2</v>
      </c>
      <c r="BL3031" s="2">
        <v>45.93</v>
      </c>
      <c r="BM3031" s="2">
        <v>6.43</v>
      </c>
      <c r="BN3031" s="2">
        <v>52.36</v>
      </c>
      <c r="BO3031" s="2">
        <v>52.36</v>
      </c>
      <c r="BQ3031" s="2" t="s">
        <v>465</v>
      </c>
      <c r="BR3031" s="2" t="s">
        <v>103</v>
      </c>
      <c r="BS3031" s="2" t="s">
        <v>185</v>
      </c>
      <c r="BY3031" s="2">
        <v>7035.05</v>
      </c>
      <c r="CC3031" s="2" t="s">
        <v>463</v>
      </c>
      <c r="CD3031" s="2">
        <v>7130</v>
      </c>
      <c r="CE3031" s="2" t="s">
        <v>2858</v>
      </c>
      <c r="CI3031" s="2">
        <v>1</v>
      </c>
      <c r="CJ3031" s="2" t="s">
        <v>185</v>
      </c>
      <c r="CK3031" s="2">
        <v>21</v>
      </c>
      <c r="CL3031" s="2" t="s">
        <v>89</v>
      </c>
    </row>
    <row r="3032" spans="1:90">
      <c r="A3032" s="2" t="s">
        <v>71</v>
      </c>
      <c r="B3032" s="2" t="s">
        <v>72</v>
      </c>
      <c r="C3032" s="2" t="s">
        <v>73</v>
      </c>
      <c r="E3032" s="2" t="str">
        <f>"FES1162597263"</f>
        <v>FES1162597263</v>
      </c>
      <c r="F3032" s="3">
        <v>43089</v>
      </c>
      <c r="G3032" s="2">
        <v>201806</v>
      </c>
      <c r="H3032" s="2" t="s">
        <v>74</v>
      </c>
      <c r="I3032" s="2" t="s">
        <v>75</v>
      </c>
      <c r="J3032" s="2" t="s">
        <v>97</v>
      </c>
      <c r="K3032" s="2" t="s">
        <v>77</v>
      </c>
      <c r="L3032" s="2" t="s">
        <v>136</v>
      </c>
      <c r="M3032" s="2" t="s">
        <v>137</v>
      </c>
      <c r="N3032" s="2" t="s">
        <v>138</v>
      </c>
      <c r="O3032" s="2" t="s">
        <v>101</v>
      </c>
      <c r="P3032" s="2" t="str">
        <f>"2170607807                    "</f>
        <v xml:space="preserve">2170607807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9.65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2.7</v>
      </c>
      <c r="BJ3032" s="2">
        <v>1.7</v>
      </c>
      <c r="BK3032" s="2">
        <v>3</v>
      </c>
      <c r="BL3032" s="2">
        <v>68.89</v>
      </c>
      <c r="BM3032" s="2">
        <v>9.64</v>
      </c>
      <c r="BN3032" s="2">
        <v>78.53</v>
      </c>
      <c r="BO3032" s="2">
        <v>78.53</v>
      </c>
      <c r="BQ3032" s="2" t="s">
        <v>82</v>
      </c>
      <c r="BR3032" s="2" t="s">
        <v>103</v>
      </c>
      <c r="BS3032" s="3">
        <v>43090</v>
      </c>
      <c r="BT3032" s="4">
        <v>0.33333333333333331</v>
      </c>
      <c r="BU3032" s="2" t="s">
        <v>732</v>
      </c>
      <c r="BV3032" s="2" t="s">
        <v>85</v>
      </c>
      <c r="BY3032" s="2">
        <v>8411.33</v>
      </c>
      <c r="CC3032" s="2" t="s">
        <v>137</v>
      </c>
      <c r="CD3032" s="2">
        <v>6001</v>
      </c>
      <c r="CE3032" s="2" t="s">
        <v>2858</v>
      </c>
      <c r="CF3032" s="3">
        <v>43096</v>
      </c>
      <c r="CI3032" s="2">
        <v>1</v>
      </c>
      <c r="CJ3032" s="2">
        <v>1</v>
      </c>
      <c r="CK3032" s="2">
        <v>21</v>
      </c>
      <c r="CL3032" s="2" t="s">
        <v>89</v>
      </c>
    </row>
    <row r="3033" spans="1:90">
      <c r="A3033" s="2" t="s">
        <v>71</v>
      </c>
      <c r="B3033" s="2" t="s">
        <v>72</v>
      </c>
      <c r="C3033" s="2" t="s">
        <v>73</v>
      </c>
      <c r="E3033" s="2" t="str">
        <f>"FES1162597261"</f>
        <v>FES1162597261</v>
      </c>
      <c r="F3033" s="3">
        <v>43089</v>
      </c>
      <c r="G3033" s="2">
        <v>201806</v>
      </c>
      <c r="H3033" s="2" t="s">
        <v>74</v>
      </c>
      <c r="I3033" s="2" t="s">
        <v>75</v>
      </c>
      <c r="J3033" s="2" t="s">
        <v>97</v>
      </c>
      <c r="K3033" s="2" t="s">
        <v>77</v>
      </c>
      <c r="L3033" s="2" t="s">
        <v>145</v>
      </c>
      <c r="M3033" s="2" t="s">
        <v>146</v>
      </c>
      <c r="N3033" s="2" t="s">
        <v>922</v>
      </c>
      <c r="O3033" s="2" t="s">
        <v>101</v>
      </c>
      <c r="P3033" s="2" t="str">
        <f>"2170606823                    "</f>
        <v xml:space="preserve">2170606823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12.87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3.7</v>
      </c>
      <c r="BJ3033" s="2">
        <v>3.4</v>
      </c>
      <c r="BK3033" s="2">
        <v>4</v>
      </c>
      <c r="BL3033" s="2">
        <v>91.85</v>
      </c>
      <c r="BM3033" s="2">
        <v>12.86</v>
      </c>
      <c r="BN3033" s="2">
        <v>104.71</v>
      </c>
      <c r="BO3033" s="2">
        <v>104.71</v>
      </c>
      <c r="BQ3033" s="2" t="s">
        <v>1739</v>
      </c>
      <c r="BR3033" s="2" t="s">
        <v>103</v>
      </c>
      <c r="BS3033" s="3">
        <v>43090</v>
      </c>
      <c r="BT3033" s="4">
        <v>0.35625000000000001</v>
      </c>
      <c r="BU3033" s="2" t="s">
        <v>1740</v>
      </c>
      <c r="BV3033" s="2" t="s">
        <v>85</v>
      </c>
      <c r="BY3033" s="2">
        <v>16950.599999999999</v>
      </c>
      <c r="CA3033" s="2" t="s">
        <v>629</v>
      </c>
      <c r="CC3033" s="2" t="s">
        <v>146</v>
      </c>
      <c r="CD3033" s="2">
        <v>5201</v>
      </c>
      <c r="CE3033" s="2" t="s">
        <v>2858</v>
      </c>
      <c r="CF3033" s="3">
        <v>43091</v>
      </c>
      <c r="CI3033" s="2">
        <v>1</v>
      </c>
      <c r="CJ3033" s="2">
        <v>1</v>
      </c>
      <c r="CK3033" s="2">
        <v>21</v>
      </c>
      <c r="CL3033" s="2" t="s">
        <v>89</v>
      </c>
    </row>
    <row r="3034" spans="1:90">
      <c r="A3034" s="2" t="s">
        <v>71</v>
      </c>
      <c r="B3034" s="2" t="s">
        <v>72</v>
      </c>
      <c r="C3034" s="2" t="s">
        <v>73</v>
      </c>
      <c r="E3034" s="2" t="str">
        <f>"FES1162597275"</f>
        <v>FES1162597275</v>
      </c>
      <c r="F3034" s="3">
        <v>43089</v>
      </c>
      <c r="G3034" s="2">
        <v>201806</v>
      </c>
      <c r="H3034" s="2" t="s">
        <v>74</v>
      </c>
      <c r="I3034" s="2" t="s">
        <v>75</v>
      </c>
      <c r="J3034" s="2" t="s">
        <v>97</v>
      </c>
      <c r="K3034" s="2" t="s">
        <v>77</v>
      </c>
      <c r="L3034" s="2" t="s">
        <v>74</v>
      </c>
      <c r="M3034" s="2" t="s">
        <v>75</v>
      </c>
      <c r="N3034" s="2" t="s">
        <v>1125</v>
      </c>
      <c r="O3034" s="2" t="s">
        <v>101</v>
      </c>
      <c r="P3034" s="2" t="str">
        <f>"2170605211                    "</f>
        <v xml:space="preserve">2170605211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5.03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3.7</v>
      </c>
      <c r="BJ3034" s="2">
        <v>2.1</v>
      </c>
      <c r="BK3034" s="2">
        <v>4</v>
      </c>
      <c r="BL3034" s="2">
        <v>35.89</v>
      </c>
      <c r="BM3034" s="2">
        <v>5.0199999999999996</v>
      </c>
      <c r="BN3034" s="2">
        <v>40.909999999999997</v>
      </c>
      <c r="BO3034" s="2">
        <v>40.909999999999997</v>
      </c>
      <c r="BQ3034" s="2" t="s">
        <v>142</v>
      </c>
      <c r="BR3034" s="2" t="s">
        <v>103</v>
      </c>
      <c r="BS3034" s="3">
        <v>43090</v>
      </c>
      <c r="BT3034" s="4">
        <v>0.38750000000000001</v>
      </c>
      <c r="BU3034" s="2" t="s">
        <v>504</v>
      </c>
      <c r="BV3034" s="2" t="s">
        <v>85</v>
      </c>
      <c r="BY3034" s="2">
        <v>10426.35</v>
      </c>
      <c r="CC3034" s="2" t="s">
        <v>75</v>
      </c>
      <c r="CD3034" s="2">
        <v>1624</v>
      </c>
      <c r="CE3034" s="2" t="s">
        <v>2863</v>
      </c>
      <c r="CF3034" s="3">
        <v>43091</v>
      </c>
      <c r="CI3034" s="2">
        <v>1</v>
      </c>
      <c r="CJ3034" s="2">
        <v>1</v>
      </c>
      <c r="CK3034" s="2">
        <v>22</v>
      </c>
      <c r="CL3034" s="2" t="s">
        <v>89</v>
      </c>
    </row>
    <row r="3035" spans="1:90">
      <c r="A3035" s="2" t="s">
        <v>71</v>
      </c>
      <c r="B3035" s="2" t="s">
        <v>72</v>
      </c>
      <c r="C3035" s="2" t="s">
        <v>73</v>
      </c>
      <c r="E3035" s="2" t="str">
        <f>"FES1162597074"</f>
        <v>FES1162597074</v>
      </c>
      <c r="F3035" s="3">
        <v>43089</v>
      </c>
      <c r="G3035" s="2">
        <v>201806</v>
      </c>
      <c r="H3035" s="2" t="s">
        <v>74</v>
      </c>
      <c r="I3035" s="2" t="s">
        <v>75</v>
      </c>
      <c r="J3035" s="2" t="s">
        <v>97</v>
      </c>
      <c r="K3035" s="2" t="s">
        <v>77</v>
      </c>
      <c r="L3035" s="2" t="s">
        <v>74</v>
      </c>
      <c r="M3035" s="2" t="s">
        <v>75</v>
      </c>
      <c r="N3035" s="2" t="s">
        <v>1404</v>
      </c>
      <c r="O3035" s="2" t="s">
        <v>101</v>
      </c>
      <c r="P3035" s="2" t="str">
        <f>"21707511                      "</f>
        <v xml:space="preserve">21707511  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5.03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4.4000000000000004</v>
      </c>
      <c r="BJ3035" s="2">
        <v>6</v>
      </c>
      <c r="BK3035" s="2">
        <v>6</v>
      </c>
      <c r="BL3035" s="2">
        <v>35.89</v>
      </c>
      <c r="BM3035" s="2">
        <v>5.0199999999999996</v>
      </c>
      <c r="BN3035" s="2">
        <v>40.909999999999997</v>
      </c>
      <c r="BO3035" s="2">
        <v>40.909999999999997</v>
      </c>
      <c r="BQ3035" s="2" t="s">
        <v>1405</v>
      </c>
      <c r="BR3035" s="2" t="s">
        <v>103</v>
      </c>
      <c r="BS3035" s="2" t="s">
        <v>185</v>
      </c>
      <c r="BY3035" s="2">
        <v>29885.63</v>
      </c>
      <c r="CC3035" s="2" t="s">
        <v>75</v>
      </c>
      <c r="CD3035" s="2">
        <v>1601</v>
      </c>
      <c r="CE3035" s="2" t="s">
        <v>2863</v>
      </c>
      <c r="CI3035" s="2">
        <v>1</v>
      </c>
      <c r="CJ3035" s="2" t="s">
        <v>185</v>
      </c>
      <c r="CK3035" s="2">
        <v>22</v>
      </c>
      <c r="CL3035" s="2" t="s">
        <v>89</v>
      </c>
    </row>
    <row r="3036" spans="1:90">
      <c r="A3036" s="2" t="s">
        <v>71</v>
      </c>
      <c r="B3036" s="2" t="s">
        <v>72</v>
      </c>
      <c r="C3036" s="2" t="s">
        <v>73</v>
      </c>
      <c r="E3036" s="2" t="str">
        <f>"FES1162597302"</f>
        <v>FES1162597302</v>
      </c>
      <c r="F3036" s="3">
        <v>43089</v>
      </c>
      <c r="G3036" s="2">
        <v>201806</v>
      </c>
      <c r="H3036" s="2" t="s">
        <v>74</v>
      </c>
      <c r="I3036" s="2" t="s">
        <v>75</v>
      </c>
      <c r="J3036" s="2" t="s">
        <v>97</v>
      </c>
      <c r="K3036" s="2" t="s">
        <v>77</v>
      </c>
      <c r="L3036" s="2" t="s">
        <v>943</v>
      </c>
      <c r="M3036" s="2" t="s">
        <v>944</v>
      </c>
      <c r="N3036" s="2" t="s">
        <v>2932</v>
      </c>
      <c r="O3036" s="2" t="s">
        <v>101</v>
      </c>
      <c r="P3036" s="2" t="str">
        <f>"2170608630                    "</f>
        <v xml:space="preserve">2170608630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12.47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89</v>
      </c>
      <c r="BM3036" s="2">
        <v>12.46</v>
      </c>
      <c r="BN3036" s="2">
        <v>101.46</v>
      </c>
      <c r="BO3036" s="2">
        <v>101.46</v>
      </c>
      <c r="BQ3036" s="2" t="s">
        <v>187</v>
      </c>
      <c r="BR3036" s="2" t="s">
        <v>103</v>
      </c>
      <c r="BS3036" s="3">
        <v>43090</v>
      </c>
      <c r="BT3036" s="4">
        <v>0.45555555555555555</v>
      </c>
      <c r="BU3036" s="2" t="s">
        <v>2933</v>
      </c>
      <c r="BV3036" s="2" t="s">
        <v>85</v>
      </c>
      <c r="BY3036" s="2">
        <v>1200</v>
      </c>
      <c r="CA3036" s="2" t="s">
        <v>948</v>
      </c>
      <c r="CC3036" s="2" t="s">
        <v>944</v>
      </c>
      <c r="CD3036" s="2">
        <v>3236</v>
      </c>
      <c r="CE3036" s="2" t="s">
        <v>120</v>
      </c>
      <c r="CF3036" s="3">
        <v>43091</v>
      </c>
      <c r="CI3036" s="2">
        <v>1</v>
      </c>
      <c r="CJ3036" s="2">
        <v>1</v>
      </c>
      <c r="CK3036" s="2">
        <v>23</v>
      </c>
      <c r="CL3036" s="2" t="s">
        <v>89</v>
      </c>
    </row>
    <row r="3037" spans="1:90">
      <c r="A3037" s="2" t="s">
        <v>71</v>
      </c>
      <c r="B3037" s="2" t="s">
        <v>72</v>
      </c>
      <c r="C3037" s="2" t="s">
        <v>73</v>
      </c>
      <c r="E3037" s="2" t="str">
        <f>"FES1162597360"</f>
        <v>FES1162597360</v>
      </c>
      <c r="F3037" s="3">
        <v>43089</v>
      </c>
      <c r="G3037" s="2">
        <v>201806</v>
      </c>
      <c r="H3037" s="2" t="s">
        <v>74</v>
      </c>
      <c r="I3037" s="2" t="s">
        <v>75</v>
      </c>
      <c r="J3037" s="2" t="s">
        <v>97</v>
      </c>
      <c r="K3037" s="2" t="s">
        <v>77</v>
      </c>
      <c r="L3037" s="2" t="s">
        <v>106</v>
      </c>
      <c r="M3037" s="2" t="s">
        <v>107</v>
      </c>
      <c r="N3037" s="2" t="s">
        <v>108</v>
      </c>
      <c r="O3037" s="2" t="s">
        <v>101</v>
      </c>
      <c r="P3037" s="2" t="str">
        <f>"2170608672                    "</f>
        <v xml:space="preserve">2170608672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5.03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35.89</v>
      </c>
      <c r="BM3037" s="2">
        <v>5.0199999999999996</v>
      </c>
      <c r="BN3037" s="2">
        <v>40.909999999999997</v>
      </c>
      <c r="BO3037" s="2">
        <v>40.909999999999997</v>
      </c>
      <c r="BQ3037" s="2" t="s">
        <v>82</v>
      </c>
      <c r="BR3037" s="2" t="s">
        <v>103</v>
      </c>
      <c r="BS3037" s="3">
        <v>43090</v>
      </c>
      <c r="BT3037" s="4">
        <v>0.3888888888888889</v>
      </c>
      <c r="BU3037" s="2" t="s">
        <v>328</v>
      </c>
      <c r="BV3037" s="2" t="s">
        <v>85</v>
      </c>
      <c r="BY3037" s="2">
        <v>1200</v>
      </c>
      <c r="CC3037" s="2" t="s">
        <v>107</v>
      </c>
      <c r="CD3037" s="2">
        <v>2094</v>
      </c>
      <c r="CE3037" s="2" t="s">
        <v>120</v>
      </c>
      <c r="CF3037" s="3">
        <v>43096</v>
      </c>
      <c r="CI3037" s="2">
        <v>1</v>
      </c>
      <c r="CJ3037" s="2">
        <v>1</v>
      </c>
      <c r="CK3037" s="2">
        <v>22</v>
      </c>
      <c r="CL3037" s="2" t="s">
        <v>89</v>
      </c>
    </row>
    <row r="3038" spans="1:90">
      <c r="A3038" s="2" t="s">
        <v>71</v>
      </c>
      <c r="B3038" s="2" t="s">
        <v>72</v>
      </c>
      <c r="C3038" s="2" t="s">
        <v>73</v>
      </c>
      <c r="E3038" s="2" t="str">
        <f>"FES1162597397"</f>
        <v>FES1162597397</v>
      </c>
      <c r="F3038" s="3">
        <v>43090</v>
      </c>
      <c r="G3038" s="2">
        <v>201806</v>
      </c>
      <c r="H3038" s="2" t="s">
        <v>74</v>
      </c>
      <c r="I3038" s="2" t="s">
        <v>75</v>
      </c>
      <c r="J3038" s="2" t="s">
        <v>97</v>
      </c>
      <c r="K3038" s="2" t="s">
        <v>77</v>
      </c>
      <c r="L3038" s="2" t="s">
        <v>136</v>
      </c>
      <c r="M3038" s="2" t="s">
        <v>137</v>
      </c>
      <c r="N3038" s="2" t="s">
        <v>540</v>
      </c>
      <c r="O3038" s="2" t="s">
        <v>101</v>
      </c>
      <c r="P3038" s="2" t="str">
        <f>"2170603627                    "</f>
        <v xml:space="preserve">2170603627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6.43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1</v>
      </c>
      <c r="BJ3038" s="2">
        <v>0.2</v>
      </c>
      <c r="BK3038" s="2">
        <v>1</v>
      </c>
      <c r="BL3038" s="2">
        <v>45.93</v>
      </c>
      <c r="BM3038" s="2">
        <v>6.43</v>
      </c>
      <c r="BN3038" s="2">
        <v>52.36</v>
      </c>
      <c r="BO3038" s="2">
        <v>52.36</v>
      </c>
      <c r="BQ3038" s="2" t="s">
        <v>541</v>
      </c>
      <c r="BR3038" s="2" t="s">
        <v>103</v>
      </c>
      <c r="BS3038" s="2" t="s">
        <v>185</v>
      </c>
      <c r="BY3038" s="2">
        <v>1200</v>
      </c>
      <c r="CC3038" s="2" t="s">
        <v>137</v>
      </c>
      <c r="CD3038" s="2">
        <v>6045</v>
      </c>
      <c r="CE3038" s="2" t="s">
        <v>120</v>
      </c>
      <c r="CI3038" s="2">
        <v>1</v>
      </c>
      <c r="CJ3038" s="2" t="s">
        <v>185</v>
      </c>
      <c r="CK3038" s="2">
        <v>21</v>
      </c>
      <c r="CL3038" s="2" t="s">
        <v>89</v>
      </c>
    </row>
    <row r="3039" spans="1:90">
      <c r="A3039" s="2" t="s">
        <v>71</v>
      </c>
      <c r="B3039" s="2" t="s">
        <v>72</v>
      </c>
      <c r="C3039" s="2" t="s">
        <v>73</v>
      </c>
      <c r="E3039" s="2" t="str">
        <f>"FES1162597305"</f>
        <v>FES1162597305</v>
      </c>
      <c r="F3039" s="3">
        <v>43089</v>
      </c>
      <c r="G3039" s="2">
        <v>201806</v>
      </c>
      <c r="H3039" s="2" t="s">
        <v>74</v>
      </c>
      <c r="I3039" s="2" t="s">
        <v>75</v>
      </c>
      <c r="J3039" s="2" t="s">
        <v>97</v>
      </c>
      <c r="K3039" s="2" t="s">
        <v>77</v>
      </c>
      <c r="L3039" s="2" t="s">
        <v>158</v>
      </c>
      <c r="M3039" s="2" t="s">
        <v>159</v>
      </c>
      <c r="N3039" s="2" t="s">
        <v>588</v>
      </c>
      <c r="O3039" s="2" t="s">
        <v>101</v>
      </c>
      <c r="P3039" s="2" t="str">
        <f>"2170604196                    "</f>
        <v xml:space="preserve">2170604196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6.43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1</v>
      </c>
      <c r="BJ3039" s="2">
        <v>0.2</v>
      </c>
      <c r="BK3039" s="2">
        <v>1</v>
      </c>
      <c r="BL3039" s="2">
        <v>45.93</v>
      </c>
      <c r="BM3039" s="2">
        <v>6.43</v>
      </c>
      <c r="BN3039" s="2">
        <v>52.36</v>
      </c>
      <c r="BO3039" s="2">
        <v>52.36</v>
      </c>
      <c r="BQ3039" s="2" t="s">
        <v>102</v>
      </c>
      <c r="BR3039" s="2" t="s">
        <v>103</v>
      </c>
      <c r="BS3039" s="2" t="s">
        <v>185</v>
      </c>
      <c r="BY3039" s="2">
        <v>1200</v>
      </c>
      <c r="CC3039" s="2" t="s">
        <v>159</v>
      </c>
      <c r="CD3039" s="2">
        <v>40</v>
      </c>
      <c r="CE3039" s="2" t="s">
        <v>120</v>
      </c>
      <c r="CI3039" s="2">
        <v>1</v>
      </c>
      <c r="CJ3039" s="2" t="s">
        <v>185</v>
      </c>
      <c r="CK3039" s="2">
        <v>21</v>
      </c>
      <c r="CL3039" s="2" t="s">
        <v>89</v>
      </c>
    </row>
    <row r="3040" spans="1:90">
      <c r="A3040" s="2" t="s">
        <v>71</v>
      </c>
      <c r="B3040" s="2" t="s">
        <v>72</v>
      </c>
      <c r="C3040" s="2" t="s">
        <v>73</v>
      </c>
      <c r="E3040" s="2" t="str">
        <f>"RFES1162595726"</f>
        <v>RFES1162595726</v>
      </c>
      <c r="F3040" s="3">
        <v>43089</v>
      </c>
      <c r="G3040" s="2">
        <v>201806</v>
      </c>
      <c r="H3040" s="2" t="s">
        <v>125</v>
      </c>
      <c r="I3040" s="2" t="s">
        <v>126</v>
      </c>
      <c r="J3040" s="2" t="s">
        <v>2272</v>
      </c>
      <c r="K3040" s="2" t="s">
        <v>77</v>
      </c>
      <c r="L3040" s="2" t="s">
        <v>74</v>
      </c>
      <c r="M3040" s="2" t="s">
        <v>75</v>
      </c>
      <c r="N3040" s="2" t="s">
        <v>97</v>
      </c>
      <c r="O3040" s="2" t="s">
        <v>101</v>
      </c>
      <c r="P3040" s="2" t="str">
        <f>"2170607546                    "</f>
        <v xml:space="preserve">2170607546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25.73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7</v>
      </c>
      <c r="BJ3040" s="2">
        <v>8</v>
      </c>
      <c r="BK3040" s="2">
        <v>8</v>
      </c>
      <c r="BL3040" s="2">
        <v>183.67</v>
      </c>
      <c r="BM3040" s="2">
        <v>25.71</v>
      </c>
      <c r="BN3040" s="2">
        <v>209.38</v>
      </c>
      <c r="BO3040" s="2">
        <v>209.38</v>
      </c>
      <c r="BQ3040" s="2" t="s">
        <v>103</v>
      </c>
      <c r="BR3040" s="2" t="s">
        <v>102</v>
      </c>
      <c r="BS3040" s="3">
        <v>43090</v>
      </c>
      <c r="BT3040" s="4">
        <v>0.46875</v>
      </c>
      <c r="BU3040" s="2" t="s">
        <v>1724</v>
      </c>
      <c r="BV3040" s="2" t="s">
        <v>89</v>
      </c>
      <c r="BY3040" s="2">
        <v>39780</v>
      </c>
      <c r="CC3040" s="2" t="s">
        <v>75</v>
      </c>
      <c r="CD3040" s="2">
        <v>1600</v>
      </c>
      <c r="CE3040" s="2" t="s">
        <v>1721</v>
      </c>
      <c r="CF3040" s="3">
        <v>43091</v>
      </c>
      <c r="CI3040" s="2">
        <v>1</v>
      </c>
      <c r="CJ3040" s="2">
        <v>1</v>
      </c>
      <c r="CK3040" s="2">
        <v>21</v>
      </c>
      <c r="CL3040" s="2" t="s">
        <v>89</v>
      </c>
    </row>
    <row r="3041" spans="1:90">
      <c r="A3041" s="2" t="s">
        <v>71</v>
      </c>
      <c r="B3041" s="2" t="s">
        <v>72</v>
      </c>
      <c r="C3041" s="2" t="s">
        <v>73</v>
      </c>
      <c r="E3041" s="2" t="str">
        <f>"FES1162597308"</f>
        <v>FES1162597308</v>
      </c>
      <c r="F3041" s="3">
        <v>43089</v>
      </c>
      <c r="G3041" s="2">
        <v>201806</v>
      </c>
      <c r="H3041" s="2" t="s">
        <v>74</v>
      </c>
      <c r="I3041" s="2" t="s">
        <v>75</v>
      </c>
      <c r="J3041" s="2" t="s">
        <v>97</v>
      </c>
      <c r="K3041" s="2" t="s">
        <v>77</v>
      </c>
      <c r="L3041" s="2" t="s">
        <v>158</v>
      </c>
      <c r="M3041" s="2" t="s">
        <v>159</v>
      </c>
      <c r="N3041" s="2" t="s">
        <v>1766</v>
      </c>
      <c r="O3041" s="2" t="s">
        <v>101</v>
      </c>
      <c r="P3041" s="2" t="str">
        <f>"2170606378                    "</f>
        <v xml:space="preserve">2170606378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6.43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1</v>
      </c>
      <c r="BJ3041" s="2">
        <v>0.2</v>
      </c>
      <c r="BK3041" s="2">
        <v>1</v>
      </c>
      <c r="BL3041" s="2">
        <v>45.93</v>
      </c>
      <c r="BM3041" s="2">
        <v>6.43</v>
      </c>
      <c r="BN3041" s="2">
        <v>52.36</v>
      </c>
      <c r="BO3041" s="2">
        <v>52.36</v>
      </c>
      <c r="BR3041" s="2" t="s">
        <v>103</v>
      </c>
      <c r="BS3041" s="3">
        <v>43096</v>
      </c>
      <c r="BT3041" s="4">
        <v>0.3923611111111111</v>
      </c>
      <c r="BU3041" s="2" t="s">
        <v>2934</v>
      </c>
      <c r="BV3041" s="2" t="s">
        <v>89</v>
      </c>
      <c r="BW3041" s="2" t="s">
        <v>149</v>
      </c>
      <c r="BX3041" s="2" t="s">
        <v>2538</v>
      </c>
      <c r="BY3041" s="2">
        <v>1200</v>
      </c>
      <c r="CA3041" s="2" t="s">
        <v>2935</v>
      </c>
      <c r="CC3041" s="2" t="s">
        <v>159</v>
      </c>
      <c r="CD3041" s="2">
        <v>183</v>
      </c>
      <c r="CE3041" s="2" t="s">
        <v>120</v>
      </c>
      <c r="CF3041" s="3">
        <v>43096</v>
      </c>
      <c r="CI3041" s="2">
        <v>1</v>
      </c>
      <c r="CJ3041" s="2">
        <v>5</v>
      </c>
      <c r="CK3041" s="2">
        <v>21</v>
      </c>
      <c r="CL3041" s="2" t="s">
        <v>89</v>
      </c>
    </row>
    <row r="3042" spans="1:90">
      <c r="A3042" s="2" t="s">
        <v>71</v>
      </c>
      <c r="B3042" s="2" t="s">
        <v>72</v>
      </c>
      <c r="C3042" s="2" t="s">
        <v>73</v>
      </c>
      <c r="E3042" s="2" t="str">
        <f>"019911120498"</f>
        <v>019911120498</v>
      </c>
      <c r="F3042" s="3">
        <v>43089</v>
      </c>
      <c r="G3042" s="2">
        <v>201806</v>
      </c>
      <c r="H3042" s="2" t="s">
        <v>173</v>
      </c>
      <c r="I3042" s="2" t="s">
        <v>174</v>
      </c>
      <c r="J3042" s="2" t="s">
        <v>2936</v>
      </c>
      <c r="K3042" s="2" t="s">
        <v>77</v>
      </c>
      <c r="L3042" s="2" t="s">
        <v>74</v>
      </c>
      <c r="M3042" s="2" t="s">
        <v>75</v>
      </c>
      <c r="N3042" s="2" t="s">
        <v>76</v>
      </c>
      <c r="O3042" s="2" t="s">
        <v>101</v>
      </c>
      <c r="P3042" s="2" t="str">
        <f>"                              "</f>
        <v xml:space="preserve">          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6.43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0.8</v>
      </c>
      <c r="BJ3042" s="2">
        <v>2</v>
      </c>
      <c r="BK3042" s="2">
        <v>2</v>
      </c>
      <c r="BL3042" s="2">
        <v>45.93</v>
      </c>
      <c r="BM3042" s="2">
        <v>6.43</v>
      </c>
      <c r="BN3042" s="2">
        <v>52.36</v>
      </c>
      <c r="BO3042" s="2">
        <v>52.36</v>
      </c>
      <c r="BQ3042" s="2" t="s">
        <v>2937</v>
      </c>
      <c r="BR3042" s="2" t="s">
        <v>2938</v>
      </c>
      <c r="BS3042" s="3">
        <v>43090</v>
      </c>
      <c r="BT3042" s="4">
        <v>0.50347222222222221</v>
      </c>
      <c r="BU3042" s="2" t="s">
        <v>373</v>
      </c>
      <c r="BV3042" s="2" t="s">
        <v>89</v>
      </c>
      <c r="BW3042" s="2" t="s">
        <v>156</v>
      </c>
      <c r="BX3042" s="2" t="s">
        <v>157</v>
      </c>
      <c r="BY3042" s="2">
        <v>9890.7999999999993</v>
      </c>
      <c r="BZ3042" s="2" t="s">
        <v>27</v>
      </c>
      <c r="CA3042" s="2" t="s">
        <v>366</v>
      </c>
      <c r="CC3042" s="2" t="s">
        <v>75</v>
      </c>
      <c r="CD3042" s="2">
        <v>1600</v>
      </c>
      <c r="CE3042" s="2" t="s">
        <v>87</v>
      </c>
      <c r="CF3042" s="3">
        <v>43091</v>
      </c>
      <c r="CI3042" s="2">
        <v>1</v>
      </c>
      <c r="CJ3042" s="2">
        <v>1</v>
      </c>
      <c r="CK3042" s="2">
        <v>21</v>
      </c>
      <c r="CL3042" s="2" t="s">
        <v>89</v>
      </c>
    </row>
    <row r="3043" spans="1:90">
      <c r="A3043" s="2" t="s">
        <v>71</v>
      </c>
      <c r="B3043" s="2" t="s">
        <v>72</v>
      </c>
      <c r="C3043" s="2" t="s">
        <v>73</v>
      </c>
      <c r="E3043" s="2" t="str">
        <f>"FES1162597310"</f>
        <v>FES1162597310</v>
      </c>
      <c r="F3043" s="3">
        <v>43089</v>
      </c>
      <c r="G3043" s="2">
        <v>201806</v>
      </c>
      <c r="H3043" s="2" t="s">
        <v>74</v>
      </c>
      <c r="I3043" s="2" t="s">
        <v>75</v>
      </c>
      <c r="J3043" s="2" t="s">
        <v>97</v>
      </c>
      <c r="K3043" s="2" t="s">
        <v>77</v>
      </c>
      <c r="L3043" s="2" t="s">
        <v>136</v>
      </c>
      <c r="M3043" s="2" t="s">
        <v>137</v>
      </c>
      <c r="N3043" s="2" t="s">
        <v>1026</v>
      </c>
      <c r="O3043" s="2" t="s">
        <v>101</v>
      </c>
      <c r="P3043" s="2" t="str">
        <f>"217056655                     "</f>
        <v xml:space="preserve">217056655 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12.87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3.9</v>
      </c>
      <c r="BJ3043" s="2">
        <v>1.7</v>
      </c>
      <c r="BK3043" s="2">
        <v>4</v>
      </c>
      <c r="BL3043" s="2">
        <v>91.85</v>
      </c>
      <c r="BM3043" s="2">
        <v>12.86</v>
      </c>
      <c r="BN3043" s="2">
        <v>104.71</v>
      </c>
      <c r="BO3043" s="2">
        <v>104.71</v>
      </c>
      <c r="BQ3043" s="2" t="s">
        <v>102</v>
      </c>
      <c r="BR3043" s="2" t="s">
        <v>103</v>
      </c>
      <c r="BS3043" s="3">
        <v>43090</v>
      </c>
      <c r="BT3043" s="4">
        <v>0.3888888888888889</v>
      </c>
      <c r="BU3043" s="2" t="s">
        <v>2363</v>
      </c>
      <c r="BV3043" s="2" t="s">
        <v>85</v>
      </c>
      <c r="BY3043" s="2">
        <v>8703.27</v>
      </c>
      <c r="CC3043" s="2" t="s">
        <v>137</v>
      </c>
      <c r="CD3043" s="2">
        <v>6001</v>
      </c>
      <c r="CE3043" s="2" t="s">
        <v>95</v>
      </c>
      <c r="CF3043" s="3">
        <v>43096</v>
      </c>
      <c r="CI3043" s="2">
        <v>1</v>
      </c>
      <c r="CJ3043" s="2">
        <v>1</v>
      </c>
      <c r="CK3043" s="2">
        <v>21</v>
      </c>
      <c r="CL3043" s="2" t="s">
        <v>89</v>
      </c>
    </row>
    <row r="3044" spans="1:90">
      <c r="A3044" s="2" t="s">
        <v>71</v>
      </c>
      <c r="B3044" s="2" t="s">
        <v>72</v>
      </c>
      <c r="C3044" s="2" t="s">
        <v>73</v>
      </c>
      <c r="E3044" s="2" t="str">
        <f>"FES1162597207"</f>
        <v>FES1162597207</v>
      </c>
      <c r="F3044" s="3">
        <v>43089</v>
      </c>
      <c r="G3044" s="2">
        <v>201806</v>
      </c>
      <c r="H3044" s="2" t="s">
        <v>74</v>
      </c>
      <c r="I3044" s="2" t="s">
        <v>75</v>
      </c>
      <c r="J3044" s="2" t="s">
        <v>97</v>
      </c>
      <c r="K3044" s="2" t="s">
        <v>77</v>
      </c>
      <c r="L3044" s="2" t="s">
        <v>162</v>
      </c>
      <c r="M3044" s="2" t="s">
        <v>163</v>
      </c>
      <c r="N3044" s="2" t="s">
        <v>164</v>
      </c>
      <c r="O3044" s="2" t="s">
        <v>101</v>
      </c>
      <c r="P3044" s="2" t="str">
        <f>"2170607503                    "</f>
        <v xml:space="preserve">2170607503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5.03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35.89</v>
      </c>
      <c r="BM3044" s="2">
        <v>5.0199999999999996</v>
      </c>
      <c r="BN3044" s="2">
        <v>40.909999999999997</v>
      </c>
      <c r="BO3044" s="2">
        <v>40.909999999999997</v>
      </c>
      <c r="BQ3044" s="2" t="s">
        <v>102</v>
      </c>
      <c r="BR3044" s="2" t="s">
        <v>103</v>
      </c>
      <c r="BS3044" s="3">
        <v>43090</v>
      </c>
      <c r="BT3044" s="4">
        <v>0.3840277777777778</v>
      </c>
      <c r="BU3044" s="2" t="s">
        <v>2395</v>
      </c>
      <c r="BV3044" s="2" t="s">
        <v>85</v>
      </c>
      <c r="BY3044" s="2">
        <v>1200</v>
      </c>
      <c r="CC3044" s="2" t="s">
        <v>163</v>
      </c>
      <c r="CD3044" s="2">
        <v>1451</v>
      </c>
      <c r="CE3044" s="2" t="s">
        <v>120</v>
      </c>
      <c r="CF3044" s="3">
        <v>43096</v>
      </c>
      <c r="CI3044" s="2">
        <v>1</v>
      </c>
      <c r="CJ3044" s="2">
        <v>1</v>
      </c>
      <c r="CK3044" s="2">
        <v>22</v>
      </c>
      <c r="CL3044" s="2" t="s">
        <v>89</v>
      </c>
    </row>
    <row r="3045" spans="1:90">
      <c r="A3045" s="2" t="s">
        <v>71</v>
      </c>
      <c r="B3045" s="2" t="s">
        <v>72</v>
      </c>
      <c r="C3045" s="2" t="s">
        <v>73</v>
      </c>
      <c r="E3045" s="2" t="str">
        <f>"FES1162597090"</f>
        <v>FES1162597090</v>
      </c>
      <c r="F3045" s="3">
        <v>43089</v>
      </c>
      <c r="G3045" s="2">
        <v>201806</v>
      </c>
      <c r="H3045" s="2" t="s">
        <v>74</v>
      </c>
      <c r="I3045" s="2" t="s">
        <v>75</v>
      </c>
      <c r="J3045" s="2" t="s">
        <v>97</v>
      </c>
      <c r="K3045" s="2" t="s">
        <v>77</v>
      </c>
      <c r="L3045" s="2" t="s">
        <v>158</v>
      </c>
      <c r="M3045" s="2" t="s">
        <v>159</v>
      </c>
      <c r="N3045" s="2" t="s">
        <v>2565</v>
      </c>
      <c r="O3045" s="2" t="s">
        <v>101</v>
      </c>
      <c r="P3045" s="2" t="str">
        <f>"2170608026                    "</f>
        <v xml:space="preserve">2170608026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6.43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</v>
      </c>
      <c r="BJ3045" s="2">
        <v>0.2</v>
      </c>
      <c r="BK3045" s="2">
        <v>1</v>
      </c>
      <c r="BL3045" s="2">
        <v>45.93</v>
      </c>
      <c r="BM3045" s="2">
        <v>6.43</v>
      </c>
      <c r="BN3045" s="2">
        <v>52.36</v>
      </c>
      <c r="BO3045" s="2">
        <v>52.36</v>
      </c>
      <c r="BR3045" s="2" t="s">
        <v>103</v>
      </c>
      <c r="BS3045" s="3">
        <v>43090</v>
      </c>
      <c r="BT3045" s="4">
        <v>0.46527777777777773</v>
      </c>
      <c r="BU3045" s="2" t="s">
        <v>2939</v>
      </c>
      <c r="BV3045" s="2" t="s">
        <v>89</v>
      </c>
      <c r="BY3045" s="2">
        <v>1200</v>
      </c>
      <c r="CC3045" s="2" t="s">
        <v>159</v>
      </c>
      <c r="CD3045" s="2">
        <v>200</v>
      </c>
      <c r="CE3045" s="2" t="s">
        <v>120</v>
      </c>
      <c r="CF3045" s="3">
        <v>43091</v>
      </c>
      <c r="CI3045" s="2">
        <v>1</v>
      </c>
      <c r="CJ3045" s="2">
        <v>1</v>
      </c>
      <c r="CK3045" s="2">
        <v>21</v>
      </c>
      <c r="CL3045" s="2" t="s">
        <v>89</v>
      </c>
    </row>
    <row r="3046" spans="1:90">
      <c r="A3046" s="2" t="s">
        <v>71</v>
      </c>
      <c r="B3046" s="2" t="s">
        <v>72</v>
      </c>
      <c r="C3046" s="2" t="s">
        <v>73</v>
      </c>
      <c r="E3046" s="2" t="str">
        <f>"FES1162597299"</f>
        <v>FES1162597299</v>
      </c>
      <c r="F3046" s="3">
        <v>43089</v>
      </c>
      <c r="G3046" s="2">
        <v>201806</v>
      </c>
      <c r="H3046" s="2" t="s">
        <v>74</v>
      </c>
      <c r="I3046" s="2" t="s">
        <v>75</v>
      </c>
      <c r="J3046" s="2" t="s">
        <v>97</v>
      </c>
      <c r="K3046" s="2" t="s">
        <v>77</v>
      </c>
      <c r="L3046" s="2" t="s">
        <v>136</v>
      </c>
      <c r="M3046" s="2" t="s">
        <v>137</v>
      </c>
      <c r="N3046" s="2" t="s">
        <v>178</v>
      </c>
      <c r="O3046" s="2" t="s">
        <v>101</v>
      </c>
      <c r="P3046" s="2" t="str">
        <f>"2170607035                    "</f>
        <v xml:space="preserve">2170607035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6.43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</v>
      </c>
      <c r="BJ3046" s="2">
        <v>0.2</v>
      </c>
      <c r="BK3046" s="2">
        <v>1</v>
      </c>
      <c r="BL3046" s="2">
        <v>45.93</v>
      </c>
      <c r="BM3046" s="2">
        <v>6.43</v>
      </c>
      <c r="BN3046" s="2">
        <v>52.36</v>
      </c>
      <c r="BO3046" s="2">
        <v>52.36</v>
      </c>
      <c r="BQ3046" s="2" t="s">
        <v>102</v>
      </c>
      <c r="BR3046" s="2" t="s">
        <v>103</v>
      </c>
      <c r="BS3046" s="3">
        <v>43090</v>
      </c>
      <c r="BT3046" s="4">
        <v>0.3125</v>
      </c>
      <c r="BU3046" s="2" t="s">
        <v>179</v>
      </c>
      <c r="BV3046" s="2" t="s">
        <v>85</v>
      </c>
      <c r="BY3046" s="2">
        <v>1200</v>
      </c>
      <c r="CA3046" s="2" t="s">
        <v>180</v>
      </c>
      <c r="CC3046" s="2" t="s">
        <v>137</v>
      </c>
      <c r="CD3046" s="2">
        <v>6001</v>
      </c>
      <c r="CE3046" s="2" t="s">
        <v>120</v>
      </c>
      <c r="CF3046" s="3">
        <v>43096</v>
      </c>
      <c r="CI3046" s="2">
        <v>1</v>
      </c>
      <c r="CJ3046" s="2">
        <v>1</v>
      </c>
      <c r="CK3046" s="2">
        <v>21</v>
      </c>
      <c r="CL3046" s="2" t="s">
        <v>89</v>
      </c>
    </row>
    <row r="3047" spans="1:90">
      <c r="A3047" s="2" t="s">
        <v>71</v>
      </c>
      <c r="B3047" s="2" t="s">
        <v>72</v>
      </c>
      <c r="C3047" s="2" t="s">
        <v>73</v>
      </c>
      <c r="E3047" s="2" t="str">
        <f>"FES1162597306"</f>
        <v>FES1162597306</v>
      </c>
      <c r="F3047" s="3">
        <v>43089</v>
      </c>
      <c r="G3047" s="2">
        <v>201806</v>
      </c>
      <c r="H3047" s="2" t="s">
        <v>74</v>
      </c>
      <c r="I3047" s="2" t="s">
        <v>75</v>
      </c>
      <c r="J3047" s="2" t="s">
        <v>97</v>
      </c>
      <c r="K3047" s="2" t="s">
        <v>77</v>
      </c>
      <c r="L3047" s="2" t="s">
        <v>158</v>
      </c>
      <c r="M3047" s="2" t="s">
        <v>159</v>
      </c>
      <c r="N3047" s="2" t="s">
        <v>588</v>
      </c>
      <c r="O3047" s="2" t="s">
        <v>101</v>
      </c>
      <c r="P3047" s="2" t="str">
        <f>"2170604705                    "</f>
        <v xml:space="preserve">2170604705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6.43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</v>
      </c>
      <c r="BJ3047" s="2">
        <v>0.2</v>
      </c>
      <c r="BK3047" s="2">
        <v>1</v>
      </c>
      <c r="BL3047" s="2">
        <v>45.93</v>
      </c>
      <c r="BM3047" s="2">
        <v>6.43</v>
      </c>
      <c r="BN3047" s="2">
        <v>52.36</v>
      </c>
      <c r="BO3047" s="2">
        <v>52.36</v>
      </c>
      <c r="BQ3047" s="2" t="s">
        <v>102</v>
      </c>
      <c r="BR3047" s="2" t="s">
        <v>103</v>
      </c>
      <c r="BS3047" s="2" t="s">
        <v>185</v>
      </c>
      <c r="BY3047" s="2">
        <v>1200</v>
      </c>
      <c r="CC3047" s="2" t="s">
        <v>159</v>
      </c>
      <c r="CD3047" s="2">
        <v>40</v>
      </c>
      <c r="CE3047" s="2" t="s">
        <v>120</v>
      </c>
      <c r="CI3047" s="2">
        <v>1</v>
      </c>
      <c r="CJ3047" s="2" t="s">
        <v>185</v>
      </c>
      <c r="CK3047" s="2">
        <v>21</v>
      </c>
      <c r="CL3047" s="2" t="s">
        <v>89</v>
      </c>
    </row>
    <row r="3048" spans="1:90">
      <c r="A3048" s="2" t="s">
        <v>71</v>
      </c>
      <c r="B3048" s="2" t="s">
        <v>72</v>
      </c>
      <c r="C3048" s="2" t="s">
        <v>73</v>
      </c>
      <c r="E3048" s="2" t="str">
        <f>"FES1162596572"</f>
        <v>FES1162596572</v>
      </c>
      <c r="F3048" s="3">
        <v>43089</v>
      </c>
      <c r="G3048" s="2">
        <v>201806</v>
      </c>
      <c r="H3048" s="2" t="s">
        <v>74</v>
      </c>
      <c r="I3048" s="2" t="s">
        <v>75</v>
      </c>
      <c r="J3048" s="2" t="s">
        <v>97</v>
      </c>
      <c r="K3048" s="2" t="s">
        <v>77</v>
      </c>
      <c r="L3048" s="2" t="s">
        <v>212</v>
      </c>
      <c r="M3048" s="2" t="s">
        <v>212</v>
      </c>
      <c r="N3048" s="2" t="s">
        <v>2940</v>
      </c>
      <c r="O3048" s="2" t="s">
        <v>101</v>
      </c>
      <c r="P3048" s="2" t="str">
        <f>"2170593813                    "</f>
        <v xml:space="preserve">2170593813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12.87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2.7</v>
      </c>
      <c r="BJ3048" s="2">
        <v>3.6</v>
      </c>
      <c r="BK3048" s="2">
        <v>4</v>
      </c>
      <c r="BL3048" s="2">
        <v>91.85</v>
      </c>
      <c r="BM3048" s="2">
        <v>12.86</v>
      </c>
      <c r="BN3048" s="2">
        <v>104.71</v>
      </c>
      <c r="BO3048" s="2">
        <v>104.71</v>
      </c>
      <c r="BQ3048" s="2" t="s">
        <v>102</v>
      </c>
      <c r="BR3048" s="2" t="s">
        <v>103</v>
      </c>
      <c r="BS3048" s="3">
        <v>43090</v>
      </c>
      <c r="BT3048" s="4">
        <v>0.54166666666666663</v>
      </c>
      <c r="BU3048" s="2" t="s">
        <v>480</v>
      </c>
      <c r="BV3048" s="2" t="s">
        <v>85</v>
      </c>
      <c r="BY3048" s="2">
        <v>17779.66</v>
      </c>
      <c r="CC3048" s="2" t="s">
        <v>212</v>
      </c>
      <c r="CD3048" s="2">
        <v>7646</v>
      </c>
      <c r="CE3048" s="2" t="s">
        <v>87</v>
      </c>
      <c r="CF3048" s="3">
        <v>43091</v>
      </c>
      <c r="CI3048" s="2">
        <v>1</v>
      </c>
      <c r="CJ3048" s="2">
        <v>1</v>
      </c>
      <c r="CK3048" s="2">
        <v>21</v>
      </c>
      <c r="CL3048" s="2" t="s">
        <v>89</v>
      </c>
    </row>
    <row r="3049" spans="1:90">
      <c r="A3049" s="2" t="s">
        <v>71</v>
      </c>
      <c r="B3049" s="2" t="s">
        <v>72</v>
      </c>
      <c r="C3049" s="2" t="s">
        <v>73</v>
      </c>
      <c r="E3049" s="2" t="str">
        <f>"FES1162597323"</f>
        <v>FES1162597323</v>
      </c>
      <c r="F3049" s="3">
        <v>43089</v>
      </c>
      <c r="G3049" s="2">
        <v>201806</v>
      </c>
      <c r="H3049" s="2" t="s">
        <v>74</v>
      </c>
      <c r="I3049" s="2" t="s">
        <v>75</v>
      </c>
      <c r="J3049" s="2" t="s">
        <v>97</v>
      </c>
      <c r="K3049" s="2" t="s">
        <v>77</v>
      </c>
      <c r="L3049" s="2" t="s">
        <v>2941</v>
      </c>
      <c r="M3049" s="2" t="s">
        <v>2942</v>
      </c>
      <c r="N3049" s="2" t="s">
        <v>2943</v>
      </c>
      <c r="O3049" s="2" t="s">
        <v>101</v>
      </c>
      <c r="P3049" s="2" t="str">
        <f>"2170608188                    "</f>
        <v xml:space="preserve">2170608188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20.91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1.8</v>
      </c>
      <c r="BJ3049" s="2">
        <v>3.4</v>
      </c>
      <c r="BK3049" s="2">
        <v>3.5</v>
      </c>
      <c r="BL3049" s="2">
        <v>149.28</v>
      </c>
      <c r="BM3049" s="2">
        <v>20.9</v>
      </c>
      <c r="BN3049" s="2">
        <v>170.18</v>
      </c>
      <c r="BO3049" s="2">
        <v>170.18</v>
      </c>
      <c r="BQ3049" s="2" t="s">
        <v>2944</v>
      </c>
      <c r="BR3049" s="2" t="s">
        <v>103</v>
      </c>
      <c r="BS3049" s="2" t="s">
        <v>185</v>
      </c>
      <c r="BY3049" s="2">
        <v>17155.580000000002</v>
      </c>
      <c r="CC3049" s="2" t="s">
        <v>2942</v>
      </c>
      <c r="CD3049" s="2">
        <v>7310</v>
      </c>
      <c r="CE3049" s="2" t="s">
        <v>95</v>
      </c>
      <c r="CI3049" s="2">
        <v>3</v>
      </c>
      <c r="CJ3049" s="2" t="s">
        <v>185</v>
      </c>
      <c r="CK3049" s="2">
        <v>23</v>
      </c>
      <c r="CL3049" s="2" t="s">
        <v>89</v>
      </c>
    </row>
    <row r="3050" spans="1:90">
      <c r="A3050" s="2" t="s">
        <v>71</v>
      </c>
      <c r="B3050" s="2" t="s">
        <v>72</v>
      </c>
      <c r="C3050" s="2" t="s">
        <v>73</v>
      </c>
      <c r="E3050" s="2" t="str">
        <f>"FES1162597292"</f>
        <v>FES1162597292</v>
      </c>
      <c r="F3050" s="3">
        <v>43089</v>
      </c>
      <c r="G3050" s="2">
        <v>201806</v>
      </c>
      <c r="H3050" s="2" t="s">
        <v>74</v>
      </c>
      <c r="I3050" s="2" t="s">
        <v>75</v>
      </c>
      <c r="J3050" s="2" t="s">
        <v>97</v>
      </c>
      <c r="K3050" s="2" t="s">
        <v>77</v>
      </c>
      <c r="L3050" s="2" t="s">
        <v>106</v>
      </c>
      <c r="M3050" s="2" t="s">
        <v>107</v>
      </c>
      <c r="N3050" s="2" t="s">
        <v>108</v>
      </c>
      <c r="O3050" s="2" t="s">
        <v>101</v>
      </c>
      <c r="P3050" s="2" t="str">
        <f>"2170606674                    "</f>
        <v xml:space="preserve">2170606674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5.03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1</v>
      </c>
      <c r="BJ3050" s="2">
        <v>0.2</v>
      </c>
      <c r="BK3050" s="2">
        <v>1</v>
      </c>
      <c r="BL3050" s="2">
        <v>35.89</v>
      </c>
      <c r="BM3050" s="2">
        <v>5.0199999999999996</v>
      </c>
      <c r="BN3050" s="2">
        <v>40.909999999999997</v>
      </c>
      <c r="BO3050" s="2">
        <v>40.909999999999997</v>
      </c>
      <c r="BQ3050" s="2" t="s">
        <v>82</v>
      </c>
      <c r="BR3050" s="2" t="s">
        <v>103</v>
      </c>
      <c r="BS3050" s="3">
        <v>43090</v>
      </c>
      <c r="BT3050" s="4">
        <v>0.3888888888888889</v>
      </c>
      <c r="BU3050" s="2" t="s">
        <v>328</v>
      </c>
      <c r="BV3050" s="2" t="s">
        <v>85</v>
      </c>
      <c r="BY3050" s="2">
        <v>1200</v>
      </c>
      <c r="CC3050" s="2" t="s">
        <v>107</v>
      </c>
      <c r="CD3050" s="2">
        <v>2094</v>
      </c>
      <c r="CE3050" s="2" t="s">
        <v>120</v>
      </c>
      <c r="CF3050" s="3">
        <v>43096</v>
      </c>
      <c r="CI3050" s="2">
        <v>1</v>
      </c>
      <c r="CJ3050" s="2">
        <v>1</v>
      </c>
      <c r="CK3050" s="2">
        <v>22</v>
      </c>
      <c r="CL3050" s="2" t="s">
        <v>89</v>
      </c>
    </row>
    <row r="3051" spans="1:90">
      <c r="A3051" s="2" t="s">
        <v>71</v>
      </c>
      <c r="B3051" s="2" t="s">
        <v>72</v>
      </c>
      <c r="C3051" s="2" t="s">
        <v>73</v>
      </c>
      <c r="E3051" s="2" t="str">
        <f>"FES1162595010"</f>
        <v>FES1162595010</v>
      </c>
      <c r="F3051" s="3">
        <v>43089</v>
      </c>
      <c r="G3051" s="2">
        <v>201806</v>
      </c>
      <c r="H3051" s="2" t="s">
        <v>74</v>
      </c>
      <c r="I3051" s="2" t="s">
        <v>75</v>
      </c>
      <c r="J3051" s="2" t="s">
        <v>97</v>
      </c>
      <c r="K3051" s="2" t="s">
        <v>77</v>
      </c>
      <c r="L3051" s="2" t="s">
        <v>158</v>
      </c>
      <c r="M3051" s="2" t="s">
        <v>159</v>
      </c>
      <c r="N3051" s="2" t="s">
        <v>700</v>
      </c>
      <c r="O3051" s="2" t="s">
        <v>101</v>
      </c>
      <c r="P3051" s="2" t="str">
        <f>"2170606930                    "</f>
        <v xml:space="preserve">2170606930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6.43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0.2</v>
      </c>
      <c r="BK3051" s="2">
        <v>1</v>
      </c>
      <c r="BL3051" s="2">
        <v>45.93</v>
      </c>
      <c r="BM3051" s="2">
        <v>6.43</v>
      </c>
      <c r="BN3051" s="2">
        <v>52.36</v>
      </c>
      <c r="BO3051" s="2">
        <v>52.36</v>
      </c>
      <c r="BQ3051" s="2" t="s">
        <v>102</v>
      </c>
      <c r="BR3051" s="2" t="s">
        <v>103</v>
      </c>
      <c r="BS3051" s="2" t="s">
        <v>185</v>
      </c>
      <c r="BY3051" s="2">
        <v>1200</v>
      </c>
      <c r="CC3051" s="2" t="s">
        <v>159</v>
      </c>
      <c r="CD3051" s="2">
        <v>184</v>
      </c>
      <c r="CE3051" s="2" t="s">
        <v>120</v>
      </c>
      <c r="CI3051" s="2">
        <v>1</v>
      </c>
      <c r="CJ3051" s="2" t="s">
        <v>185</v>
      </c>
      <c r="CK3051" s="2">
        <v>21</v>
      </c>
      <c r="CL3051" s="2" t="s">
        <v>89</v>
      </c>
    </row>
    <row r="3052" spans="1:90">
      <c r="A3052" s="2" t="s">
        <v>71</v>
      </c>
      <c r="B3052" s="2" t="s">
        <v>72</v>
      </c>
      <c r="C3052" s="2" t="s">
        <v>73</v>
      </c>
      <c r="E3052" s="2" t="str">
        <f>"FES1162597097"</f>
        <v>FES1162597097</v>
      </c>
      <c r="F3052" s="3">
        <v>43089</v>
      </c>
      <c r="G3052" s="2">
        <v>201806</v>
      </c>
      <c r="H3052" s="2" t="s">
        <v>74</v>
      </c>
      <c r="I3052" s="2" t="s">
        <v>75</v>
      </c>
      <c r="J3052" s="2" t="s">
        <v>97</v>
      </c>
      <c r="K3052" s="2" t="s">
        <v>77</v>
      </c>
      <c r="L3052" s="2" t="s">
        <v>106</v>
      </c>
      <c r="M3052" s="2" t="s">
        <v>107</v>
      </c>
      <c r="N3052" s="2" t="s">
        <v>2945</v>
      </c>
      <c r="O3052" s="2" t="s">
        <v>101</v>
      </c>
      <c r="P3052" s="2" t="str">
        <f>"2170608406                    "</f>
        <v xml:space="preserve">2170608406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5.03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</v>
      </c>
      <c r="BJ3052" s="2">
        <v>0.2</v>
      </c>
      <c r="BK3052" s="2">
        <v>1</v>
      </c>
      <c r="BL3052" s="2">
        <v>35.89</v>
      </c>
      <c r="BM3052" s="2">
        <v>5.0199999999999996</v>
      </c>
      <c r="BN3052" s="2">
        <v>40.909999999999997</v>
      </c>
      <c r="BO3052" s="2">
        <v>40.909999999999997</v>
      </c>
      <c r="BQ3052" s="2" t="s">
        <v>2946</v>
      </c>
      <c r="BR3052" s="2" t="s">
        <v>103</v>
      </c>
      <c r="BS3052" s="3">
        <v>43090</v>
      </c>
      <c r="BT3052" s="4">
        <v>0.3972222222222222</v>
      </c>
      <c r="BU3052" s="2" t="s">
        <v>2947</v>
      </c>
      <c r="BV3052" s="2" t="s">
        <v>85</v>
      </c>
      <c r="BY3052" s="2">
        <v>1200</v>
      </c>
      <c r="CC3052" s="2" t="s">
        <v>107</v>
      </c>
      <c r="CD3052" s="2">
        <v>2091</v>
      </c>
      <c r="CE3052" s="2" t="s">
        <v>120</v>
      </c>
      <c r="CF3052" s="3">
        <v>43096</v>
      </c>
      <c r="CI3052" s="2">
        <v>1</v>
      </c>
      <c r="CJ3052" s="2">
        <v>1</v>
      </c>
      <c r="CK3052" s="2">
        <v>22</v>
      </c>
      <c r="CL3052" s="2" t="s">
        <v>89</v>
      </c>
    </row>
    <row r="3053" spans="1:90">
      <c r="A3053" s="2" t="s">
        <v>71</v>
      </c>
      <c r="B3053" s="2" t="s">
        <v>72</v>
      </c>
      <c r="C3053" s="2" t="s">
        <v>73</v>
      </c>
      <c r="E3053" s="2" t="str">
        <f>"FES1162597354"</f>
        <v>FES1162597354</v>
      </c>
      <c r="F3053" s="3">
        <v>43089</v>
      </c>
      <c r="G3053" s="2">
        <v>201806</v>
      </c>
      <c r="H3053" s="2" t="s">
        <v>74</v>
      </c>
      <c r="I3053" s="2" t="s">
        <v>75</v>
      </c>
      <c r="J3053" s="2" t="s">
        <v>97</v>
      </c>
      <c r="K3053" s="2" t="s">
        <v>77</v>
      </c>
      <c r="L3053" s="2" t="s">
        <v>173</v>
      </c>
      <c r="M3053" s="2" t="s">
        <v>174</v>
      </c>
      <c r="N3053" s="2" t="s">
        <v>1939</v>
      </c>
      <c r="O3053" s="2" t="s">
        <v>101</v>
      </c>
      <c r="P3053" s="2" t="str">
        <f>"2170608671                    "</f>
        <v xml:space="preserve">2170608671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6.43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</v>
      </c>
      <c r="BJ3053" s="2">
        <v>0.2</v>
      </c>
      <c r="BK3053" s="2">
        <v>1</v>
      </c>
      <c r="BL3053" s="2">
        <v>45.93</v>
      </c>
      <c r="BM3053" s="2">
        <v>6.43</v>
      </c>
      <c r="BN3053" s="2">
        <v>52.36</v>
      </c>
      <c r="BO3053" s="2">
        <v>52.36</v>
      </c>
      <c r="BQ3053" s="2" t="s">
        <v>102</v>
      </c>
      <c r="BR3053" s="2" t="s">
        <v>103</v>
      </c>
      <c r="BS3053" s="2" t="s">
        <v>185</v>
      </c>
      <c r="BY3053" s="2">
        <v>1200</v>
      </c>
      <c r="CC3053" s="2" t="s">
        <v>174</v>
      </c>
      <c r="CD3053" s="2">
        <v>7945</v>
      </c>
      <c r="CE3053" s="2" t="s">
        <v>120</v>
      </c>
      <c r="CI3053" s="2">
        <v>1</v>
      </c>
      <c r="CJ3053" s="2" t="s">
        <v>185</v>
      </c>
      <c r="CK3053" s="2">
        <v>21</v>
      </c>
      <c r="CL3053" s="2" t="s">
        <v>89</v>
      </c>
    </row>
    <row r="3054" spans="1:90">
      <c r="A3054" s="2" t="s">
        <v>71</v>
      </c>
      <c r="B3054" s="2" t="s">
        <v>72</v>
      </c>
      <c r="C3054" s="2" t="s">
        <v>73</v>
      </c>
      <c r="E3054" s="2" t="str">
        <f>"FES1162597208"</f>
        <v>FES1162597208</v>
      </c>
      <c r="F3054" s="3">
        <v>43089</v>
      </c>
      <c r="G3054" s="2">
        <v>201806</v>
      </c>
      <c r="H3054" s="2" t="s">
        <v>74</v>
      </c>
      <c r="I3054" s="2" t="s">
        <v>75</v>
      </c>
      <c r="J3054" s="2" t="s">
        <v>97</v>
      </c>
      <c r="K3054" s="2" t="s">
        <v>77</v>
      </c>
      <c r="L3054" s="2" t="s">
        <v>74</v>
      </c>
      <c r="M3054" s="2" t="s">
        <v>75</v>
      </c>
      <c r="N3054" s="2" t="s">
        <v>1404</v>
      </c>
      <c r="O3054" s="2" t="s">
        <v>101</v>
      </c>
      <c r="P3054" s="2" t="str">
        <f>"2170607511                    "</f>
        <v xml:space="preserve">2170607511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5.03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1</v>
      </c>
      <c r="BJ3054" s="2">
        <v>0.2</v>
      </c>
      <c r="BK3054" s="2">
        <v>1</v>
      </c>
      <c r="BL3054" s="2">
        <v>35.89</v>
      </c>
      <c r="BM3054" s="2">
        <v>5.0199999999999996</v>
      </c>
      <c r="BN3054" s="2">
        <v>40.909999999999997</v>
      </c>
      <c r="BO3054" s="2">
        <v>40.909999999999997</v>
      </c>
      <c r="BQ3054" s="2" t="s">
        <v>1405</v>
      </c>
      <c r="BR3054" s="2" t="s">
        <v>103</v>
      </c>
      <c r="BS3054" s="2" t="s">
        <v>185</v>
      </c>
      <c r="BY3054" s="2">
        <v>1200</v>
      </c>
      <c r="CC3054" s="2" t="s">
        <v>75</v>
      </c>
      <c r="CD3054" s="2">
        <v>1601</v>
      </c>
      <c r="CE3054" s="2" t="s">
        <v>120</v>
      </c>
      <c r="CI3054" s="2">
        <v>1</v>
      </c>
      <c r="CJ3054" s="2" t="s">
        <v>185</v>
      </c>
      <c r="CK3054" s="2">
        <v>22</v>
      </c>
      <c r="CL3054" s="2" t="s">
        <v>89</v>
      </c>
    </row>
    <row r="3055" spans="1:90">
      <c r="A3055" s="2" t="s">
        <v>71</v>
      </c>
      <c r="B3055" s="2" t="s">
        <v>72</v>
      </c>
      <c r="C3055" s="2" t="s">
        <v>73</v>
      </c>
      <c r="E3055" s="2" t="str">
        <f>"FES1162596774"</f>
        <v>FES1162596774</v>
      </c>
      <c r="F3055" s="3">
        <v>43089</v>
      </c>
      <c r="G3055" s="2">
        <v>201806</v>
      </c>
      <c r="H3055" s="2" t="s">
        <v>74</v>
      </c>
      <c r="I3055" s="2" t="s">
        <v>75</v>
      </c>
      <c r="J3055" s="2" t="s">
        <v>97</v>
      </c>
      <c r="K3055" s="2" t="s">
        <v>77</v>
      </c>
      <c r="L3055" s="2" t="s">
        <v>74</v>
      </c>
      <c r="M3055" s="2" t="s">
        <v>75</v>
      </c>
      <c r="N3055" s="2" t="s">
        <v>1404</v>
      </c>
      <c r="O3055" s="2" t="s">
        <v>101</v>
      </c>
      <c r="P3055" s="2" t="str">
        <f>"2170607511                    "</f>
        <v xml:space="preserve">2170607511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5.03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0.5</v>
      </c>
      <c r="BJ3055" s="2">
        <v>1.2</v>
      </c>
      <c r="BK3055" s="2">
        <v>2</v>
      </c>
      <c r="BL3055" s="2">
        <v>35.89</v>
      </c>
      <c r="BM3055" s="2">
        <v>5.0199999999999996</v>
      </c>
      <c r="BN3055" s="2">
        <v>40.909999999999997</v>
      </c>
      <c r="BO3055" s="2">
        <v>40.909999999999997</v>
      </c>
      <c r="BQ3055" s="2" t="s">
        <v>1405</v>
      </c>
      <c r="BR3055" s="2" t="s">
        <v>103</v>
      </c>
      <c r="BS3055" s="2" t="s">
        <v>185</v>
      </c>
      <c r="BY3055" s="2">
        <v>6072.92</v>
      </c>
      <c r="CC3055" s="2" t="s">
        <v>75</v>
      </c>
      <c r="CD3055" s="2">
        <v>1601</v>
      </c>
      <c r="CE3055" s="2" t="s">
        <v>2948</v>
      </c>
      <c r="CI3055" s="2">
        <v>1</v>
      </c>
      <c r="CJ3055" s="2" t="s">
        <v>185</v>
      </c>
      <c r="CK3055" s="2">
        <v>22</v>
      </c>
      <c r="CL3055" s="2" t="s">
        <v>89</v>
      </c>
    </row>
    <row r="3056" spans="1:90">
      <c r="A3056" s="2" t="s">
        <v>71</v>
      </c>
      <c r="B3056" s="2" t="s">
        <v>72</v>
      </c>
      <c r="C3056" s="2" t="s">
        <v>73</v>
      </c>
      <c r="E3056" s="2" t="str">
        <f>"FES1162597289"</f>
        <v>FES1162597289</v>
      </c>
      <c r="F3056" s="3">
        <v>43089</v>
      </c>
      <c r="G3056" s="2">
        <v>201806</v>
      </c>
      <c r="H3056" s="2" t="s">
        <v>74</v>
      </c>
      <c r="I3056" s="2" t="s">
        <v>75</v>
      </c>
      <c r="J3056" s="2" t="s">
        <v>97</v>
      </c>
      <c r="K3056" s="2" t="s">
        <v>77</v>
      </c>
      <c r="L3056" s="2" t="s">
        <v>136</v>
      </c>
      <c r="M3056" s="2" t="s">
        <v>137</v>
      </c>
      <c r="N3056" s="2" t="s">
        <v>178</v>
      </c>
      <c r="O3056" s="2" t="s">
        <v>101</v>
      </c>
      <c r="P3056" s="2" t="str">
        <f>"2170606546                    "</f>
        <v xml:space="preserve">2170606546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6.43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1</v>
      </c>
      <c r="BJ3056" s="2">
        <v>0.2</v>
      </c>
      <c r="BK3056" s="2">
        <v>1</v>
      </c>
      <c r="BL3056" s="2">
        <v>45.93</v>
      </c>
      <c r="BM3056" s="2">
        <v>6.43</v>
      </c>
      <c r="BN3056" s="2">
        <v>52.36</v>
      </c>
      <c r="BO3056" s="2">
        <v>52.36</v>
      </c>
      <c r="BQ3056" s="2" t="s">
        <v>102</v>
      </c>
      <c r="BR3056" s="2" t="s">
        <v>103</v>
      </c>
      <c r="BS3056" s="3">
        <v>43090</v>
      </c>
      <c r="BT3056" s="4">
        <v>0.3125</v>
      </c>
      <c r="BU3056" s="2" t="s">
        <v>179</v>
      </c>
      <c r="BV3056" s="2" t="s">
        <v>85</v>
      </c>
      <c r="BY3056" s="2">
        <v>1200</v>
      </c>
      <c r="CA3056" s="2" t="s">
        <v>180</v>
      </c>
      <c r="CC3056" s="2" t="s">
        <v>137</v>
      </c>
      <c r="CD3056" s="2">
        <v>6001</v>
      </c>
      <c r="CE3056" s="2" t="s">
        <v>120</v>
      </c>
      <c r="CF3056" s="3">
        <v>43096</v>
      </c>
      <c r="CI3056" s="2">
        <v>1</v>
      </c>
      <c r="CJ3056" s="2">
        <v>1</v>
      </c>
      <c r="CK3056" s="2">
        <v>21</v>
      </c>
      <c r="CL3056" s="2" t="s">
        <v>89</v>
      </c>
    </row>
    <row r="3057" spans="1:90">
      <c r="A3057" s="2" t="s">
        <v>71</v>
      </c>
      <c r="B3057" s="2" t="s">
        <v>72</v>
      </c>
      <c r="C3057" s="2" t="s">
        <v>73</v>
      </c>
      <c r="E3057" s="2" t="str">
        <f>"FES1162597118"</f>
        <v>FES1162597118</v>
      </c>
      <c r="F3057" s="3">
        <v>43089</v>
      </c>
      <c r="G3057" s="2">
        <v>201806</v>
      </c>
      <c r="H3057" s="2" t="s">
        <v>74</v>
      </c>
      <c r="I3057" s="2" t="s">
        <v>75</v>
      </c>
      <c r="J3057" s="2" t="s">
        <v>97</v>
      </c>
      <c r="K3057" s="2" t="s">
        <v>77</v>
      </c>
      <c r="L3057" s="2" t="s">
        <v>98</v>
      </c>
      <c r="M3057" s="2" t="s">
        <v>99</v>
      </c>
      <c r="N3057" s="2" t="s">
        <v>2949</v>
      </c>
      <c r="O3057" s="2" t="s">
        <v>101</v>
      </c>
      <c r="P3057" s="2" t="str">
        <f>"2170604980                    "</f>
        <v xml:space="preserve">2170604980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53.06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16.3</v>
      </c>
      <c r="BJ3057" s="2">
        <v>6.5</v>
      </c>
      <c r="BK3057" s="2">
        <v>16.5</v>
      </c>
      <c r="BL3057" s="2">
        <v>378.79</v>
      </c>
      <c r="BM3057" s="2">
        <v>53.03</v>
      </c>
      <c r="BN3057" s="2">
        <v>431.82</v>
      </c>
      <c r="BO3057" s="2">
        <v>431.82</v>
      </c>
      <c r="BQ3057" s="2" t="s">
        <v>102</v>
      </c>
      <c r="BR3057" s="2" t="s">
        <v>103</v>
      </c>
      <c r="BS3057" s="3">
        <v>43090</v>
      </c>
      <c r="BT3057" s="4">
        <v>0.41319444444444442</v>
      </c>
      <c r="BU3057" s="2" t="s">
        <v>227</v>
      </c>
      <c r="BV3057" s="2" t="s">
        <v>85</v>
      </c>
      <c r="BY3057" s="2">
        <v>32676.21</v>
      </c>
      <c r="CA3057" s="2" t="s">
        <v>105</v>
      </c>
      <c r="CC3057" s="2" t="s">
        <v>99</v>
      </c>
      <c r="CD3057" s="2">
        <v>3201</v>
      </c>
      <c r="CE3057" s="2" t="s">
        <v>87</v>
      </c>
      <c r="CF3057" s="3">
        <v>43091</v>
      </c>
      <c r="CI3057" s="2">
        <v>1</v>
      </c>
      <c r="CJ3057" s="2">
        <v>1</v>
      </c>
      <c r="CK3057" s="2">
        <v>21</v>
      </c>
      <c r="CL3057" s="2" t="s">
        <v>89</v>
      </c>
    </row>
    <row r="3058" spans="1:90">
      <c r="A3058" s="2" t="s">
        <v>71</v>
      </c>
      <c r="B3058" s="2" t="s">
        <v>72</v>
      </c>
      <c r="C3058" s="2" t="s">
        <v>73</v>
      </c>
      <c r="E3058" s="2" t="str">
        <f>"FES1162597330"</f>
        <v>FES1162597330</v>
      </c>
      <c r="F3058" s="3">
        <v>43089</v>
      </c>
      <c r="G3058" s="2">
        <v>201806</v>
      </c>
      <c r="H3058" s="2" t="s">
        <v>74</v>
      </c>
      <c r="I3058" s="2" t="s">
        <v>75</v>
      </c>
      <c r="J3058" s="2" t="s">
        <v>97</v>
      </c>
      <c r="K3058" s="2" t="s">
        <v>77</v>
      </c>
      <c r="L3058" s="2" t="s">
        <v>212</v>
      </c>
      <c r="M3058" s="2" t="s">
        <v>212</v>
      </c>
      <c r="N3058" s="2" t="s">
        <v>1639</v>
      </c>
      <c r="O3058" s="2" t="s">
        <v>101</v>
      </c>
      <c r="P3058" s="2" t="str">
        <f>"2170642                       "</f>
        <v xml:space="preserve">2170642   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20.9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6.2</v>
      </c>
      <c r="BJ3058" s="2">
        <v>2.2000000000000002</v>
      </c>
      <c r="BK3058" s="2">
        <v>6.5</v>
      </c>
      <c r="BL3058" s="2">
        <v>149.22999999999999</v>
      </c>
      <c r="BM3058" s="2">
        <v>20.89</v>
      </c>
      <c r="BN3058" s="2">
        <v>170.12</v>
      </c>
      <c r="BO3058" s="2">
        <v>170.12</v>
      </c>
      <c r="BQ3058" s="2" t="s">
        <v>82</v>
      </c>
      <c r="BR3058" s="2" t="s">
        <v>103</v>
      </c>
      <c r="BS3058" s="3">
        <v>43090</v>
      </c>
      <c r="BT3058" s="4">
        <v>0.4916666666666667</v>
      </c>
      <c r="BU3058" s="2" t="s">
        <v>2950</v>
      </c>
      <c r="BV3058" s="2" t="s">
        <v>85</v>
      </c>
      <c r="BY3058" s="2">
        <v>10876.28</v>
      </c>
      <c r="CC3058" s="2" t="s">
        <v>212</v>
      </c>
      <c r="CD3058" s="2">
        <v>7646</v>
      </c>
      <c r="CE3058" s="2" t="s">
        <v>87</v>
      </c>
      <c r="CF3058" s="3">
        <v>43091</v>
      </c>
      <c r="CI3058" s="2">
        <v>1</v>
      </c>
      <c r="CJ3058" s="2">
        <v>1</v>
      </c>
      <c r="CK3058" s="2">
        <v>21</v>
      </c>
      <c r="CL3058" s="2" t="s">
        <v>89</v>
      </c>
    </row>
    <row r="3059" spans="1:90">
      <c r="A3059" s="2" t="s">
        <v>71</v>
      </c>
      <c r="B3059" s="2" t="s">
        <v>72</v>
      </c>
      <c r="C3059" s="2" t="s">
        <v>73</v>
      </c>
      <c r="E3059" s="2" t="str">
        <f>"FES1162597288"</f>
        <v>FES1162597288</v>
      </c>
      <c r="F3059" s="3">
        <v>43089</v>
      </c>
      <c r="G3059" s="2">
        <v>201806</v>
      </c>
      <c r="H3059" s="2" t="s">
        <v>74</v>
      </c>
      <c r="I3059" s="2" t="s">
        <v>75</v>
      </c>
      <c r="J3059" s="2" t="s">
        <v>97</v>
      </c>
      <c r="K3059" s="2" t="s">
        <v>77</v>
      </c>
      <c r="L3059" s="2" t="s">
        <v>131</v>
      </c>
      <c r="M3059" s="2" t="s">
        <v>132</v>
      </c>
      <c r="N3059" s="2" t="s">
        <v>228</v>
      </c>
      <c r="O3059" s="2" t="s">
        <v>101</v>
      </c>
      <c r="P3059" s="2" t="str">
        <f>"2170606544                    "</f>
        <v xml:space="preserve">2170606544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6.43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1</v>
      </c>
      <c r="BJ3059" s="2">
        <v>0.2</v>
      </c>
      <c r="BK3059" s="2">
        <v>1</v>
      </c>
      <c r="BL3059" s="2">
        <v>45.93</v>
      </c>
      <c r="BM3059" s="2">
        <v>6.43</v>
      </c>
      <c r="BN3059" s="2">
        <v>52.36</v>
      </c>
      <c r="BO3059" s="2">
        <v>52.36</v>
      </c>
      <c r="BQ3059" s="2" t="s">
        <v>229</v>
      </c>
      <c r="BR3059" s="2" t="s">
        <v>103</v>
      </c>
      <c r="BS3059" s="3">
        <v>43090</v>
      </c>
      <c r="BT3059" s="4">
        <v>0.39583333333333331</v>
      </c>
      <c r="BU3059" s="2" t="s">
        <v>2951</v>
      </c>
      <c r="BV3059" s="2" t="s">
        <v>85</v>
      </c>
      <c r="BY3059" s="2">
        <v>1200</v>
      </c>
      <c r="CC3059" s="2" t="s">
        <v>132</v>
      </c>
      <c r="CD3059" s="2">
        <v>4300</v>
      </c>
      <c r="CE3059" s="2" t="s">
        <v>120</v>
      </c>
      <c r="CF3059" s="3">
        <v>43091</v>
      </c>
      <c r="CI3059" s="2">
        <v>1</v>
      </c>
      <c r="CJ3059" s="2">
        <v>1</v>
      </c>
      <c r="CK3059" s="2">
        <v>21</v>
      </c>
      <c r="CL3059" s="2" t="s">
        <v>89</v>
      </c>
    </row>
    <row r="3060" spans="1:90">
      <c r="A3060" s="2" t="s">
        <v>71</v>
      </c>
      <c r="B3060" s="2" t="s">
        <v>72</v>
      </c>
      <c r="C3060" s="2" t="s">
        <v>73</v>
      </c>
      <c r="E3060" s="2" t="str">
        <f>"FES1162597362"</f>
        <v>FES1162597362</v>
      </c>
      <c r="F3060" s="3">
        <v>43089</v>
      </c>
      <c r="G3060" s="2">
        <v>201806</v>
      </c>
      <c r="H3060" s="2" t="s">
        <v>74</v>
      </c>
      <c r="I3060" s="2" t="s">
        <v>75</v>
      </c>
      <c r="J3060" s="2" t="s">
        <v>97</v>
      </c>
      <c r="K3060" s="2" t="s">
        <v>77</v>
      </c>
      <c r="L3060" s="2" t="s">
        <v>136</v>
      </c>
      <c r="M3060" s="2" t="s">
        <v>137</v>
      </c>
      <c r="N3060" s="2" t="s">
        <v>258</v>
      </c>
      <c r="O3060" s="2" t="s">
        <v>101</v>
      </c>
      <c r="P3060" s="2" t="str">
        <f>"2170607435                    "</f>
        <v xml:space="preserve">2170607435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6.43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</v>
      </c>
      <c r="BJ3060" s="2">
        <v>0.2</v>
      </c>
      <c r="BK3060" s="2">
        <v>1</v>
      </c>
      <c r="BL3060" s="2">
        <v>45.93</v>
      </c>
      <c r="BM3060" s="2">
        <v>6.43</v>
      </c>
      <c r="BN3060" s="2">
        <v>52.36</v>
      </c>
      <c r="BO3060" s="2">
        <v>52.36</v>
      </c>
      <c r="BQ3060" s="2" t="s">
        <v>102</v>
      </c>
      <c r="BR3060" s="2" t="s">
        <v>103</v>
      </c>
      <c r="BS3060" s="3">
        <v>43090</v>
      </c>
      <c r="BT3060" s="4">
        <v>0.26111111111111113</v>
      </c>
      <c r="BU3060" s="2" t="s">
        <v>2904</v>
      </c>
      <c r="BV3060" s="2" t="s">
        <v>85</v>
      </c>
      <c r="BY3060" s="2">
        <v>1200</v>
      </c>
      <c r="CC3060" s="2" t="s">
        <v>137</v>
      </c>
      <c r="CD3060" s="2">
        <v>6001</v>
      </c>
      <c r="CE3060" s="2" t="s">
        <v>120</v>
      </c>
      <c r="CF3060" s="3">
        <v>43096</v>
      </c>
      <c r="CI3060" s="2">
        <v>1</v>
      </c>
      <c r="CJ3060" s="2">
        <v>1</v>
      </c>
      <c r="CK3060" s="2">
        <v>21</v>
      </c>
      <c r="CL3060" s="2" t="s">
        <v>89</v>
      </c>
    </row>
    <row r="3061" spans="1:90">
      <c r="A3061" s="2" t="s">
        <v>71</v>
      </c>
      <c r="B3061" s="2" t="s">
        <v>72</v>
      </c>
      <c r="C3061" s="2" t="s">
        <v>73</v>
      </c>
      <c r="E3061" s="2" t="str">
        <f>"FES1162597334"</f>
        <v>FES1162597334</v>
      </c>
      <c r="F3061" s="3">
        <v>43089</v>
      </c>
      <c r="G3061" s="2">
        <v>201806</v>
      </c>
      <c r="H3061" s="2" t="s">
        <v>74</v>
      </c>
      <c r="I3061" s="2" t="s">
        <v>75</v>
      </c>
      <c r="J3061" s="2" t="s">
        <v>97</v>
      </c>
      <c r="K3061" s="2" t="s">
        <v>77</v>
      </c>
      <c r="L3061" s="2" t="s">
        <v>136</v>
      </c>
      <c r="M3061" s="2" t="s">
        <v>137</v>
      </c>
      <c r="N3061" s="2" t="s">
        <v>138</v>
      </c>
      <c r="O3061" s="2" t="s">
        <v>101</v>
      </c>
      <c r="P3061" s="2" t="str">
        <f>"21708653                      "</f>
        <v xml:space="preserve">21708653  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9.65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1</v>
      </c>
      <c r="BJ3061" s="2">
        <v>3</v>
      </c>
      <c r="BK3061" s="2">
        <v>3</v>
      </c>
      <c r="BL3061" s="2">
        <v>68.89</v>
      </c>
      <c r="BM3061" s="2">
        <v>9.64</v>
      </c>
      <c r="BN3061" s="2">
        <v>78.53</v>
      </c>
      <c r="BO3061" s="2">
        <v>78.53</v>
      </c>
      <c r="BQ3061" s="2" t="s">
        <v>82</v>
      </c>
      <c r="BR3061" s="2" t="s">
        <v>103</v>
      </c>
      <c r="BS3061" s="3">
        <v>43090</v>
      </c>
      <c r="BT3061" s="4">
        <v>0.33333333333333331</v>
      </c>
      <c r="BU3061" s="2" t="s">
        <v>732</v>
      </c>
      <c r="BV3061" s="2" t="s">
        <v>85</v>
      </c>
      <c r="BY3061" s="2">
        <v>14760</v>
      </c>
      <c r="CC3061" s="2" t="s">
        <v>137</v>
      </c>
      <c r="CD3061" s="2">
        <v>6001</v>
      </c>
      <c r="CE3061" s="2" t="s">
        <v>87</v>
      </c>
      <c r="CF3061" s="3">
        <v>43096</v>
      </c>
      <c r="CI3061" s="2">
        <v>1</v>
      </c>
      <c r="CJ3061" s="2">
        <v>1</v>
      </c>
      <c r="CK3061" s="2">
        <v>21</v>
      </c>
      <c r="CL3061" s="2" t="s">
        <v>89</v>
      </c>
    </row>
    <row r="3062" spans="1:90">
      <c r="A3062" s="2" t="s">
        <v>71</v>
      </c>
      <c r="B3062" s="2" t="s">
        <v>72</v>
      </c>
      <c r="C3062" s="2" t="s">
        <v>73</v>
      </c>
      <c r="E3062" s="2" t="str">
        <f>"FES1162597352"</f>
        <v>FES1162597352</v>
      </c>
      <c r="F3062" s="3">
        <v>43089</v>
      </c>
      <c r="G3062" s="2">
        <v>201806</v>
      </c>
      <c r="H3062" s="2" t="s">
        <v>74</v>
      </c>
      <c r="I3062" s="2" t="s">
        <v>75</v>
      </c>
      <c r="J3062" s="2" t="s">
        <v>97</v>
      </c>
      <c r="K3062" s="2" t="s">
        <v>77</v>
      </c>
      <c r="L3062" s="2" t="s">
        <v>136</v>
      </c>
      <c r="M3062" s="2" t="s">
        <v>137</v>
      </c>
      <c r="N3062" s="2" t="s">
        <v>178</v>
      </c>
      <c r="O3062" s="2" t="s">
        <v>101</v>
      </c>
      <c r="P3062" s="2" t="str">
        <f>"2170608666                    "</f>
        <v xml:space="preserve">2170608666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6.43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1</v>
      </c>
      <c r="BJ3062" s="2">
        <v>0.2</v>
      </c>
      <c r="BK3062" s="2">
        <v>1</v>
      </c>
      <c r="BL3062" s="2">
        <v>45.93</v>
      </c>
      <c r="BM3062" s="2">
        <v>6.43</v>
      </c>
      <c r="BN3062" s="2">
        <v>52.36</v>
      </c>
      <c r="BO3062" s="2">
        <v>52.36</v>
      </c>
      <c r="BQ3062" s="2" t="s">
        <v>102</v>
      </c>
      <c r="BR3062" s="2" t="s">
        <v>103</v>
      </c>
      <c r="BS3062" s="3">
        <v>43090</v>
      </c>
      <c r="BT3062" s="4">
        <v>0.3125</v>
      </c>
      <c r="BU3062" s="2" t="s">
        <v>179</v>
      </c>
      <c r="BV3062" s="2" t="s">
        <v>85</v>
      </c>
      <c r="BY3062" s="2">
        <v>1200</v>
      </c>
      <c r="CA3062" s="2" t="s">
        <v>180</v>
      </c>
      <c r="CC3062" s="2" t="s">
        <v>137</v>
      </c>
      <c r="CD3062" s="2">
        <v>6001</v>
      </c>
      <c r="CE3062" s="2" t="s">
        <v>120</v>
      </c>
      <c r="CF3062" s="3">
        <v>43096</v>
      </c>
      <c r="CI3062" s="2">
        <v>1</v>
      </c>
      <c r="CJ3062" s="2">
        <v>1</v>
      </c>
      <c r="CK3062" s="2">
        <v>21</v>
      </c>
      <c r="CL3062" s="2" t="s">
        <v>89</v>
      </c>
    </row>
    <row r="3063" spans="1:90">
      <c r="A3063" s="2" t="s">
        <v>71</v>
      </c>
      <c r="B3063" s="2" t="s">
        <v>72</v>
      </c>
      <c r="C3063" s="2" t="s">
        <v>73</v>
      </c>
      <c r="E3063" s="2" t="str">
        <f>"FES1162597155"</f>
        <v>FES1162597155</v>
      </c>
      <c r="F3063" s="3">
        <v>43089</v>
      </c>
      <c r="G3063" s="2">
        <v>201806</v>
      </c>
      <c r="H3063" s="2" t="s">
        <v>74</v>
      </c>
      <c r="I3063" s="2" t="s">
        <v>75</v>
      </c>
      <c r="J3063" s="2" t="s">
        <v>97</v>
      </c>
      <c r="K3063" s="2" t="s">
        <v>77</v>
      </c>
      <c r="L3063" s="2" t="s">
        <v>106</v>
      </c>
      <c r="M3063" s="2" t="s">
        <v>107</v>
      </c>
      <c r="N3063" s="2" t="s">
        <v>2952</v>
      </c>
      <c r="O3063" s="2" t="s">
        <v>101</v>
      </c>
      <c r="P3063" s="2" t="str">
        <f>"2170607709                    "</f>
        <v xml:space="preserve">2170607709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5.03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1</v>
      </c>
      <c r="BJ3063" s="2">
        <v>0.2</v>
      </c>
      <c r="BK3063" s="2">
        <v>1</v>
      </c>
      <c r="BL3063" s="2">
        <v>35.89</v>
      </c>
      <c r="BM3063" s="2">
        <v>5.0199999999999996</v>
      </c>
      <c r="BN3063" s="2">
        <v>40.909999999999997</v>
      </c>
      <c r="BO3063" s="2">
        <v>40.909999999999997</v>
      </c>
      <c r="BR3063" s="2" t="s">
        <v>103</v>
      </c>
      <c r="BS3063" s="3">
        <v>43090</v>
      </c>
      <c r="BT3063" s="4">
        <v>0.33333333333333331</v>
      </c>
      <c r="BU3063" s="2" t="s">
        <v>1651</v>
      </c>
      <c r="BV3063" s="2" t="s">
        <v>85</v>
      </c>
      <c r="BY3063" s="2">
        <v>1200</v>
      </c>
      <c r="CC3063" s="2" t="s">
        <v>107</v>
      </c>
      <c r="CD3063" s="2">
        <v>2094</v>
      </c>
      <c r="CE3063" s="2" t="s">
        <v>120</v>
      </c>
      <c r="CF3063" s="3">
        <v>43096</v>
      </c>
      <c r="CI3063" s="2">
        <v>1</v>
      </c>
      <c r="CJ3063" s="2">
        <v>1</v>
      </c>
      <c r="CK3063" s="2">
        <v>22</v>
      </c>
      <c r="CL3063" s="2" t="s">
        <v>89</v>
      </c>
    </row>
    <row r="3064" spans="1:90">
      <c r="A3064" s="2" t="s">
        <v>71</v>
      </c>
      <c r="B3064" s="2" t="s">
        <v>72</v>
      </c>
      <c r="C3064" s="2" t="s">
        <v>73</v>
      </c>
      <c r="E3064" s="2" t="str">
        <f>"FES1162597119"</f>
        <v>FES1162597119</v>
      </c>
      <c r="F3064" s="3">
        <v>43089</v>
      </c>
      <c r="G3064" s="2">
        <v>201806</v>
      </c>
      <c r="H3064" s="2" t="s">
        <v>74</v>
      </c>
      <c r="I3064" s="2" t="s">
        <v>75</v>
      </c>
      <c r="J3064" s="2" t="s">
        <v>97</v>
      </c>
      <c r="K3064" s="2" t="s">
        <v>77</v>
      </c>
      <c r="L3064" s="2" t="s">
        <v>782</v>
      </c>
      <c r="M3064" s="2" t="s">
        <v>783</v>
      </c>
      <c r="N3064" s="2" t="s">
        <v>784</v>
      </c>
      <c r="O3064" s="2" t="s">
        <v>101</v>
      </c>
      <c r="P3064" s="2" t="str">
        <f>"2170604981                    "</f>
        <v xml:space="preserve">2170604981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9.0500000000000007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1</v>
      </c>
      <c r="BJ3064" s="2">
        <v>0.2</v>
      </c>
      <c r="BK3064" s="2">
        <v>1</v>
      </c>
      <c r="BL3064" s="2">
        <v>64.599999999999994</v>
      </c>
      <c r="BM3064" s="2">
        <v>9.0399999999999991</v>
      </c>
      <c r="BN3064" s="2">
        <v>73.64</v>
      </c>
      <c r="BO3064" s="2">
        <v>73.64</v>
      </c>
      <c r="BR3064" s="2" t="s">
        <v>103</v>
      </c>
      <c r="BS3064" s="2" t="s">
        <v>185</v>
      </c>
      <c r="BY3064" s="2">
        <v>1200</v>
      </c>
      <c r="CC3064" s="2" t="s">
        <v>783</v>
      </c>
      <c r="CD3064" s="2">
        <v>1001</v>
      </c>
      <c r="CE3064" s="2" t="s">
        <v>120</v>
      </c>
      <c r="CI3064" s="2">
        <v>1</v>
      </c>
      <c r="CJ3064" s="2" t="s">
        <v>185</v>
      </c>
      <c r="CK3064" s="2">
        <v>24</v>
      </c>
      <c r="CL3064" s="2" t="s">
        <v>89</v>
      </c>
    </row>
    <row r="3065" spans="1:90">
      <c r="A3065" s="2" t="s">
        <v>71</v>
      </c>
      <c r="B3065" s="2" t="s">
        <v>72</v>
      </c>
      <c r="C3065" s="2" t="s">
        <v>73</v>
      </c>
      <c r="E3065" s="2" t="str">
        <f>"FES1162597320"</f>
        <v>FES1162597320</v>
      </c>
      <c r="F3065" s="3">
        <v>43089</v>
      </c>
      <c r="G3065" s="2">
        <v>201806</v>
      </c>
      <c r="H3065" s="2" t="s">
        <v>74</v>
      </c>
      <c r="I3065" s="2" t="s">
        <v>75</v>
      </c>
      <c r="J3065" s="2" t="s">
        <v>97</v>
      </c>
      <c r="K3065" s="2" t="s">
        <v>77</v>
      </c>
      <c r="L3065" s="2" t="s">
        <v>74</v>
      </c>
      <c r="M3065" s="2" t="s">
        <v>75</v>
      </c>
      <c r="N3065" s="2" t="s">
        <v>2953</v>
      </c>
      <c r="O3065" s="2" t="s">
        <v>101</v>
      </c>
      <c r="P3065" s="2" t="str">
        <f>"21706068633                   "</f>
        <v xml:space="preserve">21706068633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5.03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1</v>
      </c>
      <c r="BJ3065" s="2">
        <v>0.2</v>
      </c>
      <c r="BK3065" s="2">
        <v>1</v>
      </c>
      <c r="BL3065" s="2">
        <v>35.89</v>
      </c>
      <c r="BM3065" s="2">
        <v>5.0199999999999996</v>
      </c>
      <c r="BN3065" s="2">
        <v>40.909999999999997</v>
      </c>
      <c r="BO3065" s="2">
        <v>40.909999999999997</v>
      </c>
      <c r="BR3065" s="2" t="s">
        <v>103</v>
      </c>
      <c r="BS3065" s="3">
        <v>43090</v>
      </c>
      <c r="BT3065" s="4">
        <v>0.41666666666666669</v>
      </c>
      <c r="BU3065" s="2" t="s">
        <v>2619</v>
      </c>
      <c r="BV3065" s="2" t="s">
        <v>85</v>
      </c>
      <c r="BY3065" s="2">
        <v>1200</v>
      </c>
      <c r="CC3065" s="2" t="s">
        <v>75</v>
      </c>
      <c r="CD3065" s="2">
        <v>1666</v>
      </c>
      <c r="CE3065" s="2" t="s">
        <v>120</v>
      </c>
      <c r="CF3065" s="3">
        <v>43091</v>
      </c>
      <c r="CI3065" s="2">
        <v>1</v>
      </c>
      <c r="CJ3065" s="2">
        <v>1</v>
      </c>
      <c r="CK3065" s="2">
        <v>22</v>
      </c>
      <c r="CL3065" s="2" t="s">
        <v>89</v>
      </c>
    </row>
    <row r="3066" spans="1:90">
      <c r="A3066" s="2" t="s">
        <v>71</v>
      </c>
      <c r="B3066" s="2" t="s">
        <v>72</v>
      </c>
      <c r="C3066" s="2" t="s">
        <v>73</v>
      </c>
      <c r="E3066" s="2" t="str">
        <f>"FES1162597374"</f>
        <v>FES1162597374</v>
      </c>
      <c r="F3066" s="3">
        <v>43089</v>
      </c>
      <c r="G3066" s="2">
        <v>201806</v>
      </c>
      <c r="H3066" s="2" t="s">
        <v>74</v>
      </c>
      <c r="I3066" s="2" t="s">
        <v>75</v>
      </c>
      <c r="J3066" s="2" t="s">
        <v>97</v>
      </c>
      <c r="K3066" s="2" t="s">
        <v>77</v>
      </c>
      <c r="L3066" s="2" t="s">
        <v>850</v>
      </c>
      <c r="M3066" s="2" t="s">
        <v>851</v>
      </c>
      <c r="N3066" s="2" t="s">
        <v>1055</v>
      </c>
      <c r="O3066" s="2" t="s">
        <v>101</v>
      </c>
      <c r="P3066" s="2" t="str">
        <f>"2170608568                    "</f>
        <v xml:space="preserve">2170608568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6.43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45.93</v>
      </c>
      <c r="BM3066" s="2">
        <v>6.43</v>
      </c>
      <c r="BN3066" s="2">
        <v>52.36</v>
      </c>
      <c r="BO3066" s="2">
        <v>52.36</v>
      </c>
      <c r="BQ3066" s="2" t="s">
        <v>102</v>
      </c>
      <c r="BR3066" s="2" t="s">
        <v>103</v>
      </c>
      <c r="BS3066" s="3">
        <v>43090</v>
      </c>
      <c r="BT3066" s="4">
        <v>0.45833333333333331</v>
      </c>
      <c r="BU3066" s="2" t="s">
        <v>2954</v>
      </c>
      <c r="BV3066" s="2" t="s">
        <v>85</v>
      </c>
      <c r="BY3066" s="2">
        <v>1200</v>
      </c>
      <c r="CC3066" s="2" t="s">
        <v>851</v>
      </c>
      <c r="CD3066" s="2">
        <v>3290</v>
      </c>
      <c r="CE3066" s="2" t="s">
        <v>120</v>
      </c>
      <c r="CF3066" s="3">
        <v>43096</v>
      </c>
      <c r="CI3066" s="2">
        <v>1</v>
      </c>
      <c r="CJ3066" s="2">
        <v>1</v>
      </c>
      <c r="CK3066" s="2">
        <v>21</v>
      </c>
      <c r="CL3066" s="2" t="s">
        <v>89</v>
      </c>
    </row>
    <row r="3067" spans="1:90">
      <c r="A3067" s="2" t="s">
        <v>71</v>
      </c>
      <c r="B3067" s="2" t="s">
        <v>72</v>
      </c>
      <c r="C3067" s="2" t="s">
        <v>73</v>
      </c>
      <c r="E3067" s="2" t="str">
        <f>"FES1162597380"</f>
        <v>FES1162597380</v>
      </c>
      <c r="F3067" s="3">
        <v>43089</v>
      </c>
      <c r="G3067" s="2">
        <v>201806</v>
      </c>
      <c r="H3067" s="2" t="s">
        <v>74</v>
      </c>
      <c r="I3067" s="2" t="s">
        <v>75</v>
      </c>
      <c r="J3067" s="2" t="s">
        <v>97</v>
      </c>
      <c r="K3067" s="2" t="s">
        <v>77</v>
      </c>
      <c r="L3067" s="2" t="s">
        <v>158</v>
      </c>
      <c r="M3067" s="2" t="s">
        <v>159</v>
      </c>
      <c r="N3067" s="2" t="s">
        <v>1320</v>
      </c>
      <c r="O3067" s="2" t="s">
        <v>101</v>
      </c>
      <c r="P3067" s="2" t="str">
        <f>"2170608667                    "</f>
        <v xml:space="preserve">2170608667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6.43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45.93</v>
      </c>
      <c r="BM3067" s="2">
        <v>6.43</v>
      </c>
      <c r="BN3067" s="2">
        <v>52.36</v>
      </c>
      <c r="BO3067" s="2">
        <v>52.36</v>
      </c>
      <c r="BQ3067" s="2" t="s">
        <v>102</v>
      </c>
      <c r="BR3067" s="2" t="s">
        <v>103</v>
      </c>
      <c r="BS3067" s="3">
        <v>43090</v>
      </c>
      <c r="BT3067" s="4">
        <v>0.36458333333333331</v>
      </c>
      <c r="BU3067" s="2" t="s">
        <v>2955</v>
      </c>
      <c r="BV3067" s="2" t="s">
        <v>85</v>
      </c>
      <c r="BY3067" s="2">
        <v>1200</v>
      </c>
      <c r="CC3067" s="2" t="s">
        <v>159</v>
      </c>
      <c r="CD3067" s="2">
        <v>117</v>
      </c>
      <c r="CE3067" s="2" t="s">
        <v>120</v>
      </c>
      <c r="CF3067" s="3">
        <v>43091</v>
      </c>
      <c r="CI3067" s="2">
        <v>1</v>
      </c>
      <c r="CJ3067" s="2">
        <v>1</v>
      </c>
      <c r="CK3067" s="2">
        <v>21</v>
      </c>
      <c r="CL3067" s="2" t="s">
        <v>89</v>
      </c>
    </row>
    <row r="3068" spans="1:90">
      <c r="A3068" s="2" t="s">
        <v>71</v>
      </c>
      <c r="B3068" s="2" t="s">
        <v>72</v>
      </c>
      <c r="C3068" s="2" t="s">
        <v>73</v>
      </c>
      <c r="E3068" s="2" t="str">
        <f>"FES1162597124"</f>
        <v>FES1162597124</v>
      </c>
      <c r="F3068" s="3">
        <v>43089</v>
      </c>
      <c r="G3068" s="2">
        <v>201806</v>
      </c>
      <c r="H3068" s="2" t="s">
        <v>74</v>
      </c>
      <c r="I3068" s="2" t="s">
        <v>75</v>
      </c>
      <c r="J3068" s="2" t="s">
        <v>97</v>
      </c>
      <c r="K3068" s="2" t="s">
        <v>77</v>
      </c>
      <c r="L3068" s="2" t="s">
        <v>449</v>
      </c>
      <c r="M3068" s="2" t="s">
        <v>450</v>
      </c>
      <c r="N3068" s="2" t="s">
        <v>1013</v>
      </c>
      <c r="O3068" s="2" t="s">
        <v>101</v>
      </c>
      <c r="P3068" s="2" t="str">
        <f>"2170605208                    "</f>
        <v xml:space="preserve">2170605208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5.03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35.89</v>
      </c>
      <c r="BM3068" s="2">
        <v>5.0199999999999996</v>
      </c>
      <c r="BN3068" s="2">
        <v>40.909999999999997</v>
      </c>
      <c r="BO3068" s="2">
        <v>40.909999999999997</v>
      </c>
      <c r="BQ3068" s="2" t="s">
        <v>1014</v>
      </c>
      <c r="BR3068" s="2" t="s">
        <v>103</v>
      </c>
      <c r="BS3068" s="2" t="s">
        <v>185</v>
      </c>
      <c r="BY3068" s="2">
        <v>1200</v>
      </c>
      <c r="CC3068" s="2" t="s">
        <v>450</v>
      </c>
      <c r="CD3068" s="2">
        <v>1709</v>
      </c>
      <c r="CE3068" s="2" t="s">
        <v>120</v>
      </c>
      <c r="CI3068" s="2">
        <v>1</v>
      </c>
      <c r="CJ3068" s="2" t="s">
        <v>185</v>
      </c>
      <c r="CK3068" s="2">
        <v>22</v>
      </c>
      <c r="CL3068" s="2" t="s">
        <v>89</v>
      </c>
    </row>
    <row r="3069" spans="1:90">
      <c r="A3069" s="2" t="s">
        <v>71</v>
      </c>
      <c r="B3069" s="2" t="s">
        <v>72</v>
      </c>
      <c r="C3069" s="2" t="s">
        <v>73</v>
      </c>
      <c r="E3069" s="2" t="str">
        <f>"FES1162597139"</f>
        <v>FES1162597139</v>
      </c>
      <c r="F3069" s="3">
        <v>43089</v>
      </c>
      <c r="G3069" s="2">
        <v>201806</v>
      </c>
      <c r="H3069" s="2" t="s">
        <v>74</v>
      </c>
      <c r="I3069" s="2" t="s">
        <v>75</v>
      </c>
      <c r="J3069" s="2" t="s">
        <v>97</v>
      </c>
      <c r="K3069" s="2" t="s">
        <v>77</v>
      </c>
      <c r="L3069" s="2" t="s">
        <v>74</v>
      </c>
      <c r="M3069" s="2" t="s">
        <v>75</v>
      </c>
      <c r="N3069" s="2" t="s">
        <v>1125</v>
      </c>
      <c r="O3069" s="2" t="s">
        <v>101</v>
      </c>
      <c r="P3069" s="2" t="str">
        <f>"2170605424                    "</f>
        <v xml:space="preserve">2170605424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5.03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35.89</v>
      </c>
      <c r="BM3069" s="2">
        <v>5.0199999999999996</v>
      </c>
      <c r="BN3069" s="2">
        <v>40.909999999999997</v>
      </c>
      <c r="BO3069" s="2">
        <v>40.909999999999997</v>
      </c>
      <c r="BQ3069" s="2" t="s">
        <v>142</v>
      </c>
      <c r="BR3069" s="2" t="s">
        <v>103</v>
      </c>
      <c r="BS3069" s="3">
        <v>43090</v>
      </c>
      <c r="BT3069" s="4">
        <v>0.38750000000000001</v>
      </c>
      <c r="BU3069" s="2" t="s">
        <v>504</v>
      </c>
      <c r="BV3069" s="2" t="s">
        <v>85</v>
      </c>
      <c r="BY3069" s="2">
        <v>1200</v>
      </c>
      <c r="CC3069" s="2" t="s">
        <v>75</v>
      </c>
      <c r="CD3069" s="2">
        <v>1624</v>
      </c>
      <c r="CE3069" s="2" t="s">
        <v>120</v>
      </c>
      <c r="CF3069" s="3">
        <v>43091</v>
      </c>
      <c r="CI3069" s="2">
        <v>1</v>
      </c>
      <c r="CJ3069" s="2">
        <v>1</v>
      </c>
      <c r="CK3069" s="2">
        <v>22</v>
      </c>
      <c r="CL3069" s="2" t="s">
        <v>89</v>
      </c>
    </row>
    <row r="3070" spans="1:90">
      <c r="A3070" s="2" t="s">
        <v>71</v>
      </c>
      <c r="B3070" s="2" t="s">
        <v>72</v>
      </c>
      <c r="C3070" s="2" t="s">
        <v>73</v>
      </c>
      <c r="E3070" s="2" t="str">
        <f>"FES1162597294"</f>
        <v>FES1162597294</v>
      </c>
      <c r="F3070" s="3">
        <v>43089</v>
      </c>
      <c r="G3070" s="2">
        <v>201806</v>
      </c>
      <c r="H3070" s="2" t="s">
        <v>74</v>
      </c>
      <c r="I3070" s="2" t="s">
        <v>75</v>
      </c>
      <c r="J3070" s="2" t="s">
        <v>97</v>
      </c>
      <c r="K3070" s="2" t="s">
        <v>77</v>
      </c>
      <c r="L3070" s="2" t="s">
        <v>136</v>
      </c>
      <c r="M3070" s="2" t="s">
        <v>137</v>
      </c>
      <c r="N3070" s="2" t="s">
        <v>333</v>
      </c>
      <c r="O3070" s="2" t="s">
        <v>101</v>
      </c>
      <c r="P3070" s="2" t="str">
        <f>"2170606737                    "</f>
        <v xml:space="preserve">2170606737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8.0399999999999991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1.5</v>
      </c>
      <c r="BJ3070" s="2">
        <v>2.5</v>
      </c>
      <c r="BK3070" s="2">
        <v>2.5</v>
      </c>
      <c r="BL3070" s="2">
        <v>57.41</v>
      </c>
      <c r="BM3070" s="2">
        <v>8.0399999999999991</v>
      </c>
      <c r="BN3070" s="2">
        <v>65.45</v>
      </c>
      <c r="BO3070" s="2">
        <v>65.45</v>
      </c>
      <c r="BQ3070" s="2" t="s">
        <v>334</v>
      </c>
      <c r="BR3070" s="2" t="s">
        <v>103</v>
      </c>
      <c r="BS3070" s="3">
        <v>43090</v>
      </c>
      <c r="BT3070" s="4">
        <v>0.3125</v>
      </c>
      <c r="BU3070" s="2" t="s">
        <v>2956</v>
      </c>
      <c r="BV3070" s="2" t="s">
        <v>85</v>
      </c>
      <c r="BY3070" s="2">
        <v>12674.99</v>
      </c>
      <c r="CC3070" s="2" t="s">
        <v>137</v>
      </c>
      <c r="CD3070" s="2">
        <v>6012</v>
      </c>
      <c r="CE3070" s="2" t="s">
        <v>87</v>
      </c>
      <c r="CF3070" s="3">
        <v>43096</v>
      </c>
      <c r="CI3070" s="2">
        <v>1</v>
      </c>
      <c r="CJ3070" s="2">
        <v>1</v>
      </c>
      <c r="CK3070" s="2">
        <v>21</v>
      </c>
      <c r="CL3070" s="2" t="s">
        <v>89</v>
      </c>
    </row>
    <row r="3071" spans="1:90">
      <c r="A3071" s="2" t="s">
        <v>71</v>
      </c>
      <c r="B3071" s="2" t="s">
        <v>72</v>
      </c>
      <c r="C3071" s="2" t="s">
        <v>73</v>
      </c>
      <c r="E3071" s="2" t="str">
        <f>"FES1162597313"</f>
        <v>FES1162597313</v>
      </c>
      <c r="F3071" s="3">
        <v>43089</v>
      </c>
      <c r="G3071" s="2">
        <v>201806</v>
      </c>
      <c r="H3071" s="2" t="s">
        <v>74</v>
      </c>
      <c r="I3071" s="2" t="s">
        <v>75</v>
      </c>
      <c r="J3071" s="2" t="s">
        <v>97</v>
      </c>
      <c r="K3071" s="2" t="s">
        <v>77</v>
      </c>
      <c r="L3071" s="2" t="s">
        <v>651</v>
      </c>
      <c r="M3071" s="2" t="s">
        <v>652</v>
      </c>
      <c r="N3071" s="2" t="s">
        <v>2174</v>
      </c>
      <c r="O3071" s="2" t="s">
        <v>101</v>
      </c>
      <c r="P3071" s="2" t="str">
        <f>"2170606746                    "</f>
        <v xml:space="preserve">2170606746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9.0500000000000007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1</v>
      </c>
      <c r="BJ3071" s="2">
        <v>0.2</v>
      </c>
      <c r="BK3071" s="2">
        <v>1</v>
      </c>
      <c r="BL3071" s="2">
        <v>64.599999999999994</v>
      </c>
      <c r="BM3071" s="2">
        <v>9.0399999999999991</v>
      </c>
      <c r="BN3071" s="2">
        <v>73.64</v>
      </c>
      <c r="BO3071" s="2">
        <v>73.64</v>
      </c>
      <c r="BQ3071" s="2" t="s">
        <v>2395</v>
      </c>
      <c r="BR3071" s="2" t="s">
        <v>103</v>
      </c>
      <c r="BS3071" s="2" t="s">
        <v>185</v>
      </c>
      <c r="BY3071" s="2">
        <v>1200</v>
      </c>
      <c r="CC3071" s="2" t="s">
        <v>652</v>
      </c>
      <c r="CD3071" s="2">
        <v>250</v>
      </c>
      <c r="CE3071" s="2" t="s">
        <v>120</v>
      </c>
      <c r="CI3071" s="2">
        <v>1</v>
      </c>
      <c r="CJ3071" s="2" t="s">
        <v>185</v>
      </c>
      <c r="CK3071" s="2">
        <v>24</v>
      </c>
      <c r="CL3071" s="2" t="s">
        <v>89</v>
      </c>
    </row>
    <row r="3072" spans="1:90">
      <c r="A3072" s="2" t="s">
        <v>71</v>
      </c>
      <c r="B3072" s="2" t="s">
        <v>72</v>
      </c>
      <c r="C3072" s="2" t="s">
        <v>73</v>
      </c>
      <c r="E3072" s="2" t="str">
        <f>"FES1162597286"</f>
        <v>FES1162597286</v>
      </c>
      <c r="F3072" s="3">
        <v>43089</v>
      </c>
      <c r="G3072" s="2">
        <v>201806</v>
      </c>
      <c r="H3072" s="2" t="s">
        <v>74</v>
      </c>
      <c r="I3072" s="2" t="s">
        <v>75</v>
      </c>
      <c r="J3072" s="2" t="s">
        <v>97</v>
      </c>
      <c r="K3072" s="2" t="s">
        <v>77</v>
      </c>
      <c r="L3072" s="2" t="s">
        <v>136</v>
      </c>
      <c r="M3072" s="2" t="s">
        <v>137</v>
      </c>
      <c r="N3072" s="2" t="s">
        <v>974</v>
      </c>
      <c r="O3072" s="2" t="s">
        <v>101</v>
      </c>
      <c r="P3072" s="2" t="str">
        <f>"2170606481                    "</f>
        <v xml:space="preserve">2170606481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6.43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1</v>
      </c>
      <c r="BJ3072" s="2">
        <v>0.2</v>
      </c>
      <c r="BK3072" s="2">
        <v>1</v>
      </c>
      <c r="BL3072" s="2">
        <v>45.93</v>
      </c>
      <c r="BM3072" s="2">
        <v>6.43</v>
      </c>
      <c r="BN3072" s="2">
        <v>52.36</v>
      </c>
      <c r="BO3072" s="2">
        <v>52.36</v>
      </c>
      <c r="BQ3072" s="2" t="s">
        <v>82</v>
      </c>
      <c r="BR3072" s="2" t="s">
        <v>103</v>
      </c>
      <c r="BS3072" s="3">
        <v>43090</v>
      </c>
      <c r="BT3072" s="4">
        <v>0.3125</v>
      </c>
      <c r="BU3072" s="2" t="s">
        <v>2769</v>
      </c>
      <c r="BV3072" s="2" t="s">
        <v>85</v>
      </c>
      <c r="BY3072" s="2">
        <v>1200</v>
      </c>
      <c r="CC3072" s="2" t="s">
        <v>137</v>
      </c>
      <c r="CD3072" s="2">
        <v>6001</v>
      </c>
      <c r="CE3072" s="2" t="s">
        <v>120</v>
      </c>
      <c r="CF3072" s="3">
        <v>43096</v>
      </c>
      <c r="CI3072" s="2">
        <v>1</v>
      </c>
      <c r="CJ3072" s="2">
        <v>1</v>
      </c>
      <c r="CK3072" s="2">
        <v>21</v>
      </c>
      <c r="CL3072" s="2" t="s">
        <v>89</v>
      </c>
    </row>
    <row r="3073" spans="1:90">
      <c r="A3073" s="2" t="s">
        <v>71</v>
      </c>
      <c r="B3073" s="2" t="s">
        <v>72</v>
      </c>
      <c r="C3073" s="2" t="s">
        <v>73</v>
      </c>
      <c r="E3073" s="2" t="str">
        <f>"FES1162597298"</f>
        <v>FES1162597298</v>
      </c>
      <c r="F3073" s="3">
        <v>43089</v>
      </c>
      <c r="G3073" s="2">
        <v>201806</v>
      </c>
      <c r="H3073" s="2" t="s">
        <v>74</v>
      </c>
      <c r="I3073" s="2" t="s">
        <v>75</v>
      </c>
      <c r="J3073" s="2" t="s">
        <v>97</v>
      </c>
      <c r="K3073" s="2" t="s">
        <v>77</v>
      </c>
      <c r="L3073" s="2" t="s">
        <v>136</v>
      </c>
      <c r="M3073" s="2" t="s">
        <v>137</v>
      </c>
      <c r="N3073" s="2" t="s">
        <v>974</v>
      </c>
      <c r="O3073" s="2" t="s">
        <v>101</v>
      </c>
      <c r="P3073" s="2" t="str">
        <f>"2170606880                    "</f>
        <v xml:space="preserve">2170606880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6.43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45.93</v>
      </c>
      <c r="BM3073" s="2">
        <v>6.43</v>
      </c>
      <c r="BN3073" s="2">
        <v>52.36</v>
      </c>
      <c r="BO3073" s="2">
        <v>52.36</v>
      </c>
      <c r="BQ3073" s="2" t="s">
        <v>82</v>
      </c>
      <c r="BR3073" s="2" t="s">
        <v>103</v>
      </c>
      <c r="BS3073" s="3">
        <v>43090</v>
      </c>
      <c r="BT3073" s="4">
        <v>0.3125</v>
      </c>
      <c r="BU3073" s="2" t="s">
        <v>2769</v>
      </c>
      <c r="BV3073" s="2" t="s">
        <v>85</v>
      </c>
      <c r="BY3073" s="2">
        <v>1200</v>
      </c>
      <c r="CC3073" s="2" t="s">
        <v>137</v>
      </c>
      <c r="CD3073" s="2">
        <v>6001</v>
      </c>
      <c r="CE3073" s="2" t="s">
        <v>120</v>
      </c>
      <c r="CF3073" s="3">
        <v>43096</v>
      </c>
      <c r="CI3073" s="2">
        <v>1</v>
      </c>
      <c r="CJ3073" s="2">
        <v>1</v>
      </c>
      <c r="CK3073" s="2">
        <v>21</v>
      </c>
      <c r="CL3073" s="2" t="s">
        <v>89</v>
      </c>
    </row>
    <row r="3074" spans="1:90">
      <c r="A3074" s="2" t="s">
        <v>71</v>
      </c>
      <c r="B3074" s="2" t="s">
        <v>72</v>
      </c>
      <c r="C3074" s="2" t="s">
        <v>73</v>
      </c>
      <c r="E3074" s="2" t="str">
        <f>"FES1162597304"</f>
        <v>FES1162597304</v>
      </c>
      <c r="F3074" s="3">
        <v>43089</v>
      </c>
      <c r="G3074" s="2">
        <v>201806</v>
      </c>
      <c r="H3074" s="2" t="s">
        <v>74</v>
      </c>
      <c r="I3074" s="2" t="s">
        <v>75</v>
      </c>
      <c r="J3074" s="2" t="s">
        <v>97</v>
      </c>
      <c r="K3074" s="2" t="s">
        <v>77</v>
      </c>
      <c r="L3074" s="2" t="s">
        <v>158</v>
      </c>
      <c r="M3074" s="2" t="s">
        <v>159</v>
      </c>
      <c r="N3074" s="2" t="s">
        <v>588</v>
      </c>
      <c r="O3074" s="2" t="s">
        <v>101</v>
      </c>
      <c r="P3074" s="2" t="str">
        <f>"2170602834                    "</f>
        <v xml:space="preserve">2170602834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6.43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1</v>
      </c>
      <c r="BJ3074" s="2">
        <v>0.2</v>
      </c>
      <c r="BK3074" s="2">
        <v>1</v>
      </c>
      <c r="BL3074" s="2">
        <v>45.93</v>
      </c>
      <c r="BM3074" s="2">
        <v>6.43</v>
      </c>
      <c r="BN3074" s="2">
        <v>52.36</v>
      </c>
      <c r="BO3074" s="2">
        <v>52.36</v>
      </c>
      <c r="BQ3074" s="2" t="s">
        <v>102</v>
      </c>
      <c r="BR3074" s="2" t="s">
        <v>103</v>
      </c>
      <c r="BS3074" s="2" t="s">
        <v>185</v>
      </c>
      <c r="BY3074" s="2">
        <v>1200</v>
      </c>
      <c r="CC3074" s="2" t="s">
        <v>159</v>
      </c>
      <c r="CD3074" s="2">
        <v>40</v>
      </c>
      <c r="CE3074" s="2" t="s">
        <v>120</v>
      </c>
      <c r="CI3074" s="2">
        <v>1</v>
      </c>
      <c r="CJ3074" s="2" t="s">
        <v>185</v>
      </c>
      <c r="CK3074" s="2">
        <v>21</v>
      </c>
      <c r="CL3074" s="2" t="s">
        <v>89</v>
      </c>
    </row>
    <row r="3075" spans="1:90">
      <c r="A3075" s="2" t="s">
        <v>71</v>
      </c>
      <c r="B3075" s="2" t="s">
        <v>72</v>
      </c>
      <c r="C3075" s="2" t="s">
        <v>73</v>
      </c>
      <c r="E3075" s="2" t="str">
        <f>"FES1162597280"</f>
        <v>FES1162597280</v>
      </c>
      <c r="F3075" s="3">
        <v>43089</v>
      </c>
      <c r="G3075" s="2">
        <v>201806</v>
      </c>
      <c r="H3075" s="2" t="s">
        <v>74</v>
      </c>
      <c r="I3075" s="2" t="s">
        <v>75</v>
      </c>
      <c r="J3075" s="2" t="s">
        <v>97</v>
      </c>
      <c r="K3075" s="2" t="s">
        <v>77</v>
      </c>
      <c r="L3075" s="2" t="s">
        <v>74</v>
      </c>
      <c r="M3075" s="2" t="s">
        <v>75</v>
      </c>
      <c r="N3075" s="2" t="s">
        <v>1125</v>
      </c>
      <c r="O3075" s="2" t="s">
        <v>101</v>
      </c>
      <c r="P3075" s="2" t="str">
        <f>"2170603888                    "</f>
        <v xml:space="preserve">2170603888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5.03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3</v>
      </c>
      <c r="BJ3075" s="2">
        <v>1.8</v>
      </c>
      <c r="BK3075" s="2">
        <v>3</v>
      </c>
      <c r="BL3075" s="2">
        <v>35.89</v>
      </c>
      <c r="BM3075" s="2">
        <v>5.0199999999999996</v>
      </c>
      <c r="BN3075" s="2">
        <v>40.909999999999997</v>
      </c>
      <c r="BO3075" s="2">
        <v>40.909999999999997</v>
      </c>
      <c r="BQ3075" s="2" t="s">
        <v>142</v>
      </c>
      <c r="BR3075" s="2" t="s">
        <v>103</v>
      </c>
      <c r="BS3075" s="3">
        <v>43090</v>
      </c>
      <c r="BT3075" s="4">
        <v>0.38750000000000001</v>
      </c>
      <c r="BU3075" s="2" t="s">
        <v>504</v>
      </c>
      <c r="BV3075" s="2" t="s">
        <v>85</v>
      </c>
      <c r="BY3075" s="2">
        <v>8785.92</v>
      </c>
      <c r="CC3075" s="2" t="s">
        <v>75</v>
      </c>
      <c r="CD3075" s="2">
        <v>1624</v>
      </c>
      <c r="CE3075" s="2" t="s">
        <v>95</v>
      </c>
      <c r="CF3075" s="3">
        <v>43091</v>
      </c>
      <c r="CI3075" s="2">
        <v>1</v>
      </c>
      <c r="CJ3075" s="2">
        <v>1</v>
      </c>
      <c r="CK3075" s="2">
        <v>22</v>
      </c>
      <c r="CL3075" s="2" t="s">
        <v>89</v>
      </c>
    </row>
    <row r="3076" spans="1:90">
      <c r="A3076" s="2" t="s">
        <v>71</v>
      </c>
      <c r="B3076" s="2" t="s">
        <v>72</v>
      </c>
      <c r="C3076" s="2" t="s">
        <v>73</v>
      </c>
      <c r="E3076" s="2" t="str">
        <f>"FES1162597339"</f>
        <v>FES1162597339</v>
      </c>
      <c r="F3076" s="3">
        <v>43089</v>
      </c>
      <c r="G3076" s="2">
        <v>201806</v>
      </c>
      <c r="H3076" s="2" t="s">
        <v>74</v>
      </c>
      <c r="I3076" s="2" t="s">
        <v>75</v>
      </c>
      <c r="J3076" s="2" t="s">
        <v>97</v>
      </c>
      <c r="K3076" s="2" t="s">
        <v>77</v>
      </c>
      <c r="L3076" s="2" t="s">
        <v>1021</v>
      </c>
      <c r="M3076" s="2" t="s">
        <v>1022</v>
      </c>
      <c r="N3076" s="2" t="s">
        <v>733</v>
      </c>
      <c r="O3076" s="2" t="s">
        <v>101</v>
      </c>
      <c r="P3076" s="2" t="str">
        <f>"2170608661                    "</f>
        <v xml:space="preserve">2170608661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37.799999999999997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2.4</v>
      </c>
      <c r="BJ3076" s="2">
        <v>6.1</v>
      </c>
      <c r="BK3076" s="2">
        <v>6.5</v>
      </c>
      <c r="BL3076" s="2">
        <v>269.85000000000002</v>
      </c>
      <c r="BM3076" s="2">
        <v>37.78</v>
      </c>
      <c r="BN3076" s="2">
        <v>307.63</v>
      </c>
      <c r="BO3076" s="2">
        <v>307.63</v>
      </c>
      <c r="BQ3076" s="2" t="s">
        <v>1023</v>
      </c>
      <c r="BR3076" s="2" t="s">
        <v>103</v>
      </c>
      <c r="BS3076" s="3">
        <v>43090</v>
      </c>
      <c r="BT3076" s="4">
        <v>0.41666666666666669</v>
      </c>
      <c r="BU3076" s="2" t="s">
        <v>2768</v>
      </c>
      <c r="BV3076" s="2" t="s">
        <v>85</v>
      </c>
      <c r="BY3076" s="2">
        <v>30484.57</v>
      </c>
      <c r="CA3076" s="2" t="s">
        <v>602</v>
      </c>
      <c r="CC3076" s="2" t="s">
        <v>1022</v>
      </c>
      <c r="CD3076" s="2">
        <v>9880</v>
      </c>
      <c r="CE3076" s="2" t="s">
        <v>87</v>
      </c>
      <c r="CF3076" s="3">
        <v>43096</v>
      </c>
      <c r="CI3076" s="2">
        <v>1</v>
      </c>
      <c r="CJ3076" s="2">
        <v>1</v>
      </c>
      <c r="CK3076" s="2">
        <v>23</v>
      </c>
      <c r="CL3076" s="2" t="s">
        <v>89</v>
      </c>
    </row>
    <row r="3077" spans="1:90">
      <c r="A3077" s="2" t="s">
        <v>71</v>
      </c>
      <c r="B3077" s="2" t="s">
        <v>72</v>
      </c>
      <c r="C3077" s="2" t="s">
        <v>73</v>
      </c>
      <c r="E3077" s="2" t="str">
        <f>"FES1162597248"</f>
        <v>FES1162597248</v>
      </c>
      <c r="F3077" s="3">
        <v>43089</v>
      </c>
      <c r="G3077" s="2">
        <v>201806</v>
      </c>
      <c r="H3077" s="2" t="s">
        <v>74</v>
      </c>
      <c r="I3077" s="2" t="s">
        <v>75</v>
      </c>
      <c r="J3077" s="2" t="s">
        <v>97</v>
      </c>
      <c r="K3077" s="2" t="s">
        <v>77</v>
      </c>
      <c r="L3077" s="2" t="s">
        <v>125</v>
      </c>
      <c r="M3077" s="2" t="s">
        <v>126</v>
      </c>
      <c r="N3077" s="2" t="s">
        <v>858</v>
      </c>
      <c r="O3077" s="2" t="s">
        <v>101</v>
      </c>
      <c r="P3077" s="2" t="str">
        <f>"2170606723                    "</f>
        <v xml:space="preserve">2170606723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46.63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14.1</v>
      </c>
      <c r="BJ3077" s="2">
        <v>9.6999999999999993</v>
      </c>
      <c r="BK3077" s="2">
        <v>14.5</v>
      </c>
      <c r="BL3077" s="2">
        <v>332.88</v>
      </c>
      <c r="BM3077" s="2">
        <v>46.6</v>
      </c>
      <c r="BN3077" s="2">
        <v>379.48</v>
      </c>
      <c r="BO3077" s="2">
        <v>379.48</v>
      </c>
      <c r="BQ3077" s="2" t="s">
        <v>82</v>
      </c>
      <c r="BR3077" s="2" t="s">
        <v>103</v>
      </c>
      <c r="BS3077" s="3">
        <v>43090</v>
      </c>
      <c r="BT3077" s="4">
        <v>0.36527777777777781</v>
      </c>
      <c r="BU3077" s="2" t="s">
        <v>2957</v>
      </c>
      <c r="BV3077" s="2" t="s">
        <v>85</v>
      </c>
      <c r="BY3077" s="2">
        <v>48320.13</v>
      </c>
      <c r="CA3077" s="2" t="s">
        <v>2874</v>
      </c>
      <c r="CC3077" s="2" t="s">
        <v>126</v>
      </c>
      <c r="CD3077" s="2">
        <v>4001</v>
      </c>
      <c r="CE3077" s="2" t="s">
        <v>95</v>
      </c>
      <c r="CF3077" s="3">
        <v>43091</v>
      </c>
      <c r="CI3077" s="2">
        <v>1</v>
      </c>
      <c r="CJ3077" s="2">
        <v>1</v>
      </c>
      <c r="CK3077" s="2">
        <v>21</v>
      </c>
      <c r="CL3077" s="2" t="s">
        <v>89</v>
      </c>
    </row>
    <row r="3078" spans="1:90">
      <c r="A3078" s="2" t="s">
        <v>71</v>
      </c>
      <c r="B3078" s="2" t="s">
        <v>72</v>
      </c>
      <c r="C3078" s="2" t="s">
        <v>73</v>
      </c>
      <c r="E3078" s="2" t="str">
        <f>"FES1162597333"</f>
        <v>FES1162597333</v>
      </c>
      <c r="F3078" s="3">
        <v>43089</v>
      </c>
      <c r="G3078" s="2">
        <v>201806</v>
      </c>
      <c r="H3078" s="2" t="s">
        <v>74</v>
      </c>
      <c r="I3078" s="2" t="s">
        <v>75</v>
      </c>
      <c r="J3078" s="2" t="s">
        <v>97</v>
      </c>
      <c r="K3078" s="2" t="s">
        <v>77</v>
      </c>
      <c r="L3078" s="2" t="s">
        <v>125</v>
      </c>
      <c r="M3078" s="2" t="s">
        <v>126</v>
      </c>
      <c r="N3078" s="2" t="s">
        <v>514</v>
      </c>
      <c r="O3078" s="2" t="s">
        <v>101</v>
      </c>
      <c r="P3078" s="2" t="str">
        <f>"2170608652                    "</f>
        <v xml:space="preserve">2170608652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6.43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1.6</v>
      </c>
      <c r="BJ3078" s="2">
        <v>0.7</v>
      </c>
      <c r="BK3078" s="2">
        <v>2</v>
      </c>
      <c r="BL3078" s="2">
        <v>45.93</v>
      </c>
      <c r="BM3078" s="2">
        <v>6.43</v>
      </c>
      <c r="BN3078" s="2">
        <v>52.36</v>
      </c>
      <c r="BO3078" s="2">
        <v>52.36</v>
      </c>
      <c r="BQ3078" s="2" t="s">
        <v>515</v>
      </c>
      <c r="BR3078" s="2" t="s">
        <v>103</v>
      </c>
      <c r="BS3078" s="3">
        <v>43090</v>
      </c>
      <c r="BT3078" s="4">
        <v>0.33333333333333331</v>
      </c>
      <c r="BU3078" s="2" t="s">
        <v>2958</v>
      </c>
      <c r="BV3078" s="2" t="s">
        <v>85</v>
      </c>
      <c r="BY3078" s="2">
        <v>3564.13</v>
      </c>
      <c r="CC3078" s="2" t="s">
        <v>126</v>
      </c>
      <c r="CD3078" s="2">
        <v>4001</v>
      </c>
      <c r="CE3078" s="2" t="s">
        <v>95</v>
      </c>
      <c r="CF3078" s="3">
        <v>43091</v>
      </c>
      <c r="CI3078" s="2">
        <v>1</v>
      </c>
      <c r="CJ3078" s="2">
        <v>1</v>
      </c>
      <c r="CK3078" s="2">
        <v>21</v>
      </c>
      <c r="CL3078" s="2" t="s">
        <v>89</v>
      </c>
    </row>
    <row r="3079" spans="1:90">
      <c r="A3079" s="2" t="s">
        <v>71</v>
      </c>
      <c r="B3079" s="2" t="s">
        <v>72</v>
      </c>
      <c r="C3079" s="2" t="s">
        <v>73</v>
      </c>
      <c r="E3079" s="2" t="str">
        <f>"FES1162597091"</f>
        <v>FES1162597091</v>
      </c>
      <c r="F3079" s="3">
        <v>43089</v>
      </c>
      <c r="G3079" s="2">
        <v>201806</v>
      </c>
      <c r="H3079" s="2" t="s">
        <v>74</v>
      </c>
      <c r="I3079" s="2" t="s">
        <v>75</v>
      </c>
      <c r="J3079" s="2" t="s">
        <v>97</v>
      </c>
      <c r="K3079" s="2" t="s">
        <v>77</v>
      </c>
      <c r="L3079" s="2" t="s">
        <v>566</v>
      </c>
      <c r="M3079" s="2" t="s">
        <v>567</v>
      </c>
      <c r="N3079" s="2" t="s">
        <v>164</v>
      </c>
      <c r="O3079" s="2" t="s">
        <v>101</v>
      </c>
      <c r="P3079" s="2" t="str">
        <f>"2170608220                    "</f>
        <v xml:space="preserve">2170608220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9.0500000000000007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1</v>
      </c>
      <c r="BJ3079" s="2">
        <v>0.2</v>
      </c>
      <c r="BK3079" s="2">
        <v>1</v>
      </c>
      <c r="BL3079" s="2">
        <v>64.599999999999994</v>
      </c>
      <c r="BM3079" s="2">
        <v>9.0399999999999991</v>
      </c>
      <c r="BN3079" s="2">
        <v>73.64</v>
      </c>
      <c r="BO3079" s="2">
        <v>73.64</v>
      </c>
      <c r="BQ3079" s="2" t="s">
        <v>102</v>
      </c>
      <c r="BR3079" s="2" t="s">
        <v>103</v>
      </c>
      <c r="BS3079" s="3">
        <v>43090</v>
      </c>
      <c r="BT3079" s="4">
        <v>0.34722222222222227</v>
      </c>
      <c r="BU3079" s="2" t="s">
        <v>205</v>
      </c>
      <c r="BV3079" s="2" t="s">
        <v>85</v>
      </c>
      <c r="BY3079" s="2">
        <v>1200</v>
      </c>
      <c r="CA3079" s="2" t="s">
        <v>2169</v>
      </c>
      <c r="CC3079" s="2" t="s">
        <v>567</v>
      </c>
      <c r="CD3079" s="2">
        <v>1754</v>
      </c>
      <c r="CE3079" s="2" t="s">
        <v>120</v>
      </c>
      <c r="CF3079" s="3">
        <v>43091</v>
      </c>
      <c r="CI3079" s="2">
        <v>1</v>
      </c>
      <c r="CJ3079" s="2">
        <v>1</v>
      </c>
      <c r="CK3079" s="2">
        <v>24</v>
      </c>
      <c r="CL3079" s="2" t="s">
        <v>89</v>
      </c>
    </row>
    <row r="3080" spans="1:90">
      <c r="A3080" s="2" t="s">
        <v>71</v>
      </c>
      <c r="B3080" s="2" t="s">
        <v>72</v>
      </c>
      <c r="C3080" s="2" t="s">
        <v>73</v>
      </c>
      <c r="E3080" s="2" t="str">
        <f>"FES1162597082"</f>
        <v>FES1162597082</v>
      </c>
      <c r="F3080" s="3">
        <v>43089</v>
      </c>
      <c r="G3080" s="2">
        <v>201806</v>
      </c>
      <c r="H3080" s="2" t="s">
        <v>74</v>
      </c>
      <c r="I3080" s="2" t="s">
        <v>75</v>
      </c>
      <c r="J3080" s="2" t="s">
        <v>97</v>
      </c>
      <c r="K3080" s="2" t="s">
        <v>77</v>
      </c>
      <c r="L3080" s="2" t="s">
        <v>152</v>
      </c>
      <c r="M3080" s="2" t="s">
        <v>153</v>
      </c>
      <c r="N3080" s="2" t="s">
        <v>2829</v>
      </c>
      <c r="O3080" s="2" t="s">
        <v>101</v>
      </c>
      <c r="P3080" s="2" t="str">
        <f>"2170608574                    "</f>
        <v xml:space="preserve">2170608574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5.03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</v>
      </c>
      <c r="BJ3080" s="2">
        <v>0.2</v>
      </c>
      <c r="BK3080" s="2">
        <v>1</v>
      </c>
      <c r="BL3080" s="2">
        <v>35.89</v>
      </c>
      <c r="BM3080" s="2">
        <v>5.0199999999999996</v>
      </c>
      <c r="BN3080" s="2">
        <v>40.909999999999997</v>
      </c>
      <c r="BO3080" s="2">
        <v>40.909999999999997</v>
      </c>
      <c r="BR3080" s="2" t="s">
        <v>103</v>
      </c>
      <c r="BS3080" s="3">
        <v>43090</v>
      </c>
      <c r="BT3080" s="4">
        <v>0.40486111111111112</v>
      </c>
      <c r="BU3080" s="2" t="s">
        <v>1817</v>
      </c>
      <c r="BV3080" s="2" t="s">
        <v>85</v>
      </c>
      <c r="BY3080" s="2">
        <v>1200</v>
      </c>
      <c r="CA3080" s="2" t="s">
        <v>439</v>
      </c>
      <c r="CC3080" s="2" t="s">
        <v>153</v>
      </c>
      <c r="CD3080" s="2">
        <v>1401</v>
      </c>
      <c r="CE3080" s="2" t="s">
        <v>120</v>
      </c>
      <c r="CF3080" s="3">
        <v>43096</v>
      </c>
      <c r="CI3080" s="2">
        <v>1</v>
      </c>
      <c r="CJ3080" s="2">
        <v>1</v>
      </c>
      <c r="CK3080" s="2">
        <v>22</v>
      </c>
      <c r="CL3080" s="2" t="s">
        <v>89</v>
      </c>
    </row>
    <row r="3081" spans="1:90">
      <c r="A3081" s="2" t="s">
        <v>71</v>
      </c>
      <c r="B3081" s="2" t="s">
        <v>72</v>
      </c>
      <c r="C3081" s="2" t="s">
        <v>73</v>
      </c>
      <c r="E3081" s="2" t="str">
        <f>"FES1162597160"</f>
        <v>FES1162597160</v>
      </c>
      <c r="F3081" s="3">
        <v>43089</v>
      </c>
      <c r="G3081" s="2">
        <v>201806</v>
      </c>
      <c r="H3081" s="2" t="s">
        <v>74</v>
      </c>
      <c r="I3081" s="2" t="s">
        <v>75</v>
      </c>
      <c r="J3081" s="2" t="s">
        <v>97</v>
      </c>
      <c r="K3081" s="2" t="s">
        <v>77</v>
      </c>
      <c r="L3081" s="2" t="s">
        <v>106</v>
      </c>
      <c r="M3081" s="2" t="s">
        <v>107</v>
      </c>
      <c r="N3081" s="2" t="s">
        <v>108</v>
      </c>
      <c r="O3081" s="2" t="s">
        <v>101</v>
      </c>
      <c r="P3081" s="2" t="str">
        <f>"2170608022                    "</f>
        <v xml:space="preserve">2170608022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5.03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1</v>
      </c>
      <c r="BJ3081" s="2">
        <v>0.2</v>
      </c>
      <c r="BK3081" s="2">
        <v>1</v>
      </c>
      <c r="BL3081" s="2">
        <v>35.89</v>
      </c>
      <c r="BM3081" s="2">
        <v>5.0199999999999996</v>
      </c>
      <c r="BN3081" s="2">
        <v>40.909999999999997</v>
      </c>
      <c r="BO3081" s="2">
        <v>40.909999999999997</v>
      </c>
      <c r="BQ3081" s="2" t="s">
        <v>82</v>
      </c>
      <c r="BR3081" s="2" t="s">
        <v>103</v>
      </c>
      <c r="BS3081" s="3">
        <v>43090</v>
      </c>
      <c r="BT3081" s="4">
        <v>0.3888888888888889</v>
      </c>
      <c r="BU3081" s="2" t="s">
        <v>328</v>
      </c>
      <c r="BV3081" s="2" t="s">
        <v>85</v>
      </c>
      <c r="BY3081" s="2">
        <v>1200</v>
      </c>
      <c r="CC3081" s="2" t="s">
        <v>107</v>
      </c>
      <c r="CD3081" s="2">
        <v>2094</v>
      </c>
      <c r="CE3081" s="2" t="s">
        <v>120</v>
      </c>
      <c r="CF3081" s="3">
        <v>43096</v>
      </c>
      <c r="CI3081" s="2">
        <v>1</v>
      </c>
      <c r="CJ3081" s="2">
        <v>1</v>
      </c>
      <c r="CK3081" s="2">
        <v>22</v>
      </c>
      <c r="CL3081" s="2" t="s">
        <v>89</v>
      </c>
    </row>
    <row r="3082" spans="1:90">
      <c r="A3082" s="2" t="s">
        <v>71</v>
      </c>
      <c r="B3082" s="2" t="s">
        <v>72</v>
      </c>
      <c r="C3082" s="2" t="s">
        <v>73</v>
      </c>
      <c r="E3082" s="2" t="str">
        <f>"FES1162597071"</f>
        <v>FES1162597071</v>
      </c>
      <c r="F3082" s="3">
        <v>43089</v>
      </c>
      <c r="G3082" s="2">
        <v>201806</v>
      </c>
      <c r="H3082" s="2" t="s">
        <v>74</v>
      </c>
      <c r="I3082" s="2" t="s">
        <v>75</v>
      </c>
      <c r="J3082" s="2" t="s">
        <v>97</v>
      </c>
      <c r="K3082" s="2" t="s">
        <v>77</v>
      </c>
      <c r="L3082" s="2" t="s">
        <v>74</v>
      </c>
      <c r="M3082" s="2" t="s">
        <v>75</v>
      </c>
      <c r="N3082" s="2" t="s">
        <v>2240</v>
      </c>
      <c r="O3082" s="2" t="s">
        <v>101</v>
      </c>
      <c r="P3082" s="2" t="str">
        <f>"2170607469                    "</f>
        <v xml:space="preserve">2170607469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5.03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1</v>
      </c>
      <c r="BJ3082" s="2">
        <v>0.2</v>
      </c>
      <c r="BK3082" s="2">
        <v>1</v>
      </c>
      <c r="BL3082" s="2">
        <v>35.89</v>
      </c>
      <c r="BM3082" s="2">
        <v>5.0199999999999996</v>
      </c>
      <c r="BN3082" s="2">
        <v>40.909999999999997</v>
      </c>
      <c r="BO3082" s="2">
        <v>40.909999999999997</v>
      </c>
      <c r="BQ3082" s="2" t="s">
        <v>2959</v>
      </c>
      <c r="BR3082" s="2" t="s">
        <v>103</v>
      </c>
      <c r="BS3082" s="3">
        <v>43090</v>
      </c>
      <c r="BT3082" s="4">
        <v>0.4375</v>
      </c>
      <c r="BU3082" s="2" t="s">
        <v>2241</v>
      </c>
      <c r="BV3082" s="2" t="s">
        <v>85</v>
      </c>
      <c r="BY3082" s="2">
        <v>1200</v>
      </c>
      <c r="CC3082" s="2" t="s">
        <v>75</v>
      </c>
      <c r="CD3082" s="2">
        <v>1682</v>
      </c>
      <c r="CE3082" s="2" t="s">
        <v>120</v>
      </c>
      <c r="CF3082" s="3">
        <v>43091</v>
      </c>
      <c r="CI3082" s="2">
        <v>1</v>
      </c>
      <c r="CJ3082" s="2">
        <v>1</v>
      </c>
      <c r="CK3082" s="2">
        <v>22</v>
      </c>
      <c r="CL3082" s="2" t="s">
        <v>89</v>
      </c>
    </row>
    <row r="3083" spans="1:90">
      <c r="A3083" s="2" t="s">
        <v>71</v>
      </c>
      <c r="B3083" s="2" t="s">
        <v>72</v>
      </c>
      <c r="C3083" s="2" t="s">
        <v>73</v>
      </c>
      <c r="E3083" s="2" t="str">
        <f>"FES1162597122"</f>
        <v>FES1162597122</v>
      </c>
      <c r="F3083" s="3">
        <v>43089</v>
      </c>
      <c r="G3083" s="2">
        <v>201806</v>
      </c>
      <c r="H3083" s="2" t="s">
        <v>74</v>
      </c>
      <c r="I3083" s="2" t="s">
        <v>75</v>
      </c>
      <c r="J3083" s="2" t="s">
        <v>97</v>
      </c>
      <c r="K3083" s="2" t="s">
        <v>77</v>
      </c>
      <c r="L3083" s="2" t="s">
        <v>115</v>
      </c>
      <c r="M3083" s="2" t="s">
        <v>116</v>
      </c>
      <c r="N3083" s="2" t="s">
        <v>384</v>
      </c>
      <c r="O3083" s="2" t="s">
        <v>101</v>
      </c>
      <c r="P3083" s="2" t="str">
        <f>"2170605006                    "</f>
        <v xml:space="preserve">2170605006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5.03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</v>
      </c>
      <c r="BJ3083" s="2">
        <v>0.2</v>
      </c>
      <c r="BK3083" s="2">
        <v>1</v>
      </c>
      <c r="BL3083" s="2">
        <v>35.89</v>
      </c>
      <c r="BM3083" s="2">
        <v>5.0199999999999996</v>
      </c>
      <c r="BN3083" s="2">
        <v>40.909999999999997</v>
      </c>
      <c r="BO3083" s="2">
        <v>40.909999999999997</v>
      </c>
      <c r="BQ3083" s="2" t="s">
        <v>102</v>
      </c>
      <c r="BR3083" s="2" t="s">
        <v>103</v>
      </c>
      <c r="BS3083" s="2" t="s">
        <v>185</v>
      </c>
      <c r="BY3083" s="2">
        <v>1200</v>
      </c>
      <c r="CC3083" s="2" t="s">
        <v>116</v>
      </c>
      <c r="CD3083" s="2">
        <v>1459</v>
      </c>
      <c r="CE3083" s="2" t="s">
        <v>120</v>
      </c>
      <c r="CI3083" s="2">
        <v>1</v>
      </c>
      <c r="CJ3083" s="2" t="s">
        <v>185</v>
      </c>
      <c r="CK3083" s="2">
        <v>22</v>
      </c>
      <c r="CL3083" s="2" t="s">
        <v>89</v>
      </c>
    </row>
    <row r="3084" spans="1:90">
      <c r="A3084" s="2" t="s">
        <v>71</v>
      </c>
      <c r="B3084" s="2" t="s">
        <v>72</v>
      </c>
      <c r="C3084" s="2" t="s">
        <v>73</v>
      </c>
      <c r="E3084" s="2" t="str">
        <f>"FES1162597092"</f>
        <v>FES1162597092</v>
      </c>
      <c r="F3084" s="3">
        <v>43089</v>
      </c>
      <c r="G3084" s="2">
        <v>201806</v>
      </c>
      <c r="H3084" s="2" t="s">
        <v>74</v>
      </c>
      <c r="I3084" s="2" t="s">
        <v>75</v>
      </c>
      <c r="J3084" s="2" t="s">
        <v>97</v>
      </c>
      <c r="K3084" s="2" t="s">
        <v>77</v>
      </c>
      <c r="L3084" s="2" t="s">
        <v>74</v>
      </c>
      <c r="M3084" s="2" t="s">
        <v>75</v>
      </c>
      <c r="N3084" s="2" t="s">
        <v>695</v>
      </c>
      <c r="O3084" s="2" t="s">
        <v>101</v>
      </c>
      <c r="P3084" s="2" t="str">
        <f>"2170608223                    "</f>
        <v xml:space="preserve">2170608223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5.03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35.89</v>
      </c>
      <c r="BM3084" s="2">
        <v>5.0199999999999996</v>
      </c>
      <c r="BN3084" s="2">
        <v>40.909999999999997</v>
      </c>
      <c r="BO3084" s="2">
        <v>40.909999999999997</v>
      </c>
      <c r="BQ3084" s="2" t="s">
        <v>696</v>
      </c>
      <c r="BR3084" s="2" t="s">
        <v>103</v>
      </c>
      <c r="BS3084" s="3">
        <v>43090</v>
      </c>
      <c r="BT3084" s="4">
        <v>0.36041666666666666</v>
      </c>
      <c r="BU3084" s="2" t="s">
        <v>2960</v>
      </c>
      <c r="BV3084" s="2" t="s">
        <v>85</v>
      </c>
      <c r="BY3084" s="2">
        <v>1200</v>
      </c>
      <c r="CA3084" s="2" t="s">
        <v>366</v>
      </c>
      <c r="CC3084" s="2" t="s">
        <v>75</v>
      </c>
      <c r="CD3084" s="2">
        <v>1601</v>
      </c>
      <c r="CE3084" s="2" t="s">
        <v>120</v>
      </c>
      <c r="CF3084" s="3">
        <v>43091</v>
      </c>
      <c r="CI3084" s="2">
        <v>1</v>
      </c>
      <c r="CJ3084" s="2">
        <v>1</v>
      </c>
      <c r="CK3084" s="2">
        <v>22</v>
      </c>
      <c r="CL3084" s="2" t="s">
        <v>89</v>
      </c>
    </row>
    <row r="3085" spans="1:90">
      <c r="A3085" s="2" t="s">
        <v>71</v>
      </c>
      <c r="B3085" s="2" t="s">
        <v>72</v>
      </c>
      <c r="C3085" s="2" t="s">
        <v>73</v>
      </c>
      <c r="E3085" s="2" t="str">
        <f>"FES1162597054"</f>
        <v>FES1162597054</v>
      </c>
      <c r="F3085" s="3">
        <v>43089</v>
      </c>
      <c r="G3085" s="2">
        <v>201806</v>
      </c>
      <c r="H3085" s="2" t="s">
        <v>74</v>
      </c>
      <c r="I3085" s="2" t="s">
        <v>75</v>
      </c>
      <c r="J3085" s="2" t="s">
        <v>97</v>
      </c>
      <c r="K3085" s="2" t="s">
        <v>77</v>
      </c>
      <c r="L3085" s="2" t="s">
        <v>115</v>
      </c>
      <c r="M3085" s="2" t="s">
        <v>116</v>
      </c>
      <c r="N3085" s="2" t="s">
        <v>283</v>
      </c>
      <c r="O3085" s="2" t="s">
        <v>101</v>
      </c>
      <c r="P3085" s="2" t="str">
        <f>"2170604431                    "</f>
        <v xml:space="preserve">2170604431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5.03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</v>
      </c>
      <c r="BJ3085" s="2">
        <v>0.2</v>
      </c>
      <c r="BK3085" s="2">
        <v>1</v>
      </c>
      <c r="BL3085" s="2">
        <v>35.89</v>
      </c>
      <c r="BM3085" s="2">
        <v>5.0199999999999996</v>
      </c>
      <c r="BN3085" s="2">
        <v>40.909999999999997</v>
      </c>
      <c r="BO3085" s="2">
        <v>40.909999999999997</v>
      </c>
      <c r="BQ3085" s="2" t="s">
        <v>102</v>
      </c>
      <c r="BR3085" s="2" t="s">
        <v>103</v>
      </c>
      <c r="BS3085" s="3">
        <v>43090</v>
      </c>
      <c r="BT3085" s="4">
        <v>0.41666666666666669</v>
      </c>
      <c r="BU3085" s="2" t="s">
        <v>205</v>
      </c>
      <c r="BV3085" s="2" t="s">
        <v>85</v>
      </c>
      <c r="BY3085" s="2">
        <v>1200</v>
      </c>
      <c r="CC3085" s="2" t="s">
        <v>116</v>
      </c>
      <c r="CD3085" s="2">
        <v>1459</v>
      </c>
      <c r="CE3085" s="2" t="s">
        <v>120</v>
      </c>
      <c r="CF3085" s="3">
        <v>43091</v>
      </c>
      <c r="CI3085" s="2">
        <v>1</v>
      </c>
      <c r="CJ3085" s="2">
        <v>1</v>
      </c>
      <c r="CK3085" s="2">
        <v>22</v>
      </c>
      <c r="CL3085" s="2" t="s">
        <v>89</v>
      </c>
    </row>
    <row r="3086" spans="1:90">
      <c r="A3086" s="2" t="s">
        <v>71</v>
      </c>
      <c r="B3086" s="2" t="s">
        <v>72</v>
      </c>
      <c r="C3086" s="2" t="s">
        <v>73</v>
      </c>
      <c r="E3086" s="2" t="str">
        <f>"FES1162597055"</f>
        <v>FES1162597055</v>
      </c>
      <c r="F3086" s="3">
        <v>43089</v>
      </c>
      <c r="G3086" s="2">
        <v>201806</v>
      </c>
      <c r="H3086" s="2" t="s">
        <v>74</v>
      </c>
      <c r="I3086" s="2" t="s">
        <v>75</v>
      </c>
      <c r="J3086" s="2" t="s">
        <v>97</v>
      </c>
      <c r="K3086" s="2" t="s">
        <v>77</v>
      </c>
      <c r="L3086" s="2" t="s">
        <v>115</v>
      </c>
      <c r="M3086" s="2" t="s">
        <v>116</v>
      </c>
      <c r="N3086" s="2" t="s">
        <v>283</v>
      </c>
      <c r="O3086" s="2" t="s">
        <v>101</v>
      </c>
      <c r="P3086" s="2" t="str">
        <f>"2170604689                    "</f>
        <v xml:space="preserve">2170604689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5.03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35.89</v>
      </c>
      <c r="BM3086" s="2">
        <v>5.0199999999999996</v>
      </c>
      <c r="BN3086" s="2">
        <v>40.909999999999997</v>
      </c>
      <c r="BO3086" s="2">
        <v>40.909999999999997</v>
      </c>
      <c r="BQ3086" s="2" t="s">
        <v>102</v>
      </c>
      <c r="BR3086" s="2" t="s">
        <v>103</v>
      </c>
      <c r="BS3086" s="3">
        <v>43090</v>
      </c>
      <c r="BT3086" s="4">
        <v>0.41666666666666669</v>
      </c>
      <c r="BU3086" s="2" t="s">
        <v>205</v>
      </c>
      <c r="BV3086" s="2" t="s">
        <v>85</v>
      </c>
      <c r="BY3086" s="2">
        <v>1200</v>
      </c>
      <c r="CC3086" s="2" t="s">
        <v>116</v>
      </c>
      <c r="CD3086" s="2">
        <v>1459</v>
      </c>
      <c r="CE3086" s="2" t="s">
        <v>120</v>
      </c>
      <c r="CF3086" s="3">
        <v>43091</v>
      </c>
      <c r="CI3086" s="2">
        <v>1</v>
      </c>
      <c r="CJ3086" s="2">
        <v>1</v>
      </c>
      <c r="CK3086" s="2">
        <v>22</v>
      </c>
      <c r="CL3086" s="2" t="s">
        <v>89</v>
      </c>
    </row>
    <row r="3087" spans="1:90">
      <c r="A3087" s="2" t="s">
        <v>71</v>
      </c>
      <c r="B3087" s="2" t="s">
        <v>72</v>
      </c>
      <c r="C3087" s="2" t="s">
        <v>73</v>
      </c>
      <c r="E3087" s="2" t="str">
        <f>"FES1162597194"</f>
        <v>FES1162597194</v>
      </c>
      <c r="F3087" s="3">
        <v>43089</v>
      </c>
      <c r="G3087" s="2">
        <v>201806</v>
      </c>
      <c r="H3087" s="2" t="s">
        <v>74</v>
      </c>
      <c r="I3087" s="2" t="s">
        <v>75</v>
      </c>
      <c r="J3087" s="2" t="s">
        <v>97</v>
      </c>
      <c r="K3087" s="2" t="s">
        <v>77</v>
      </c>
      <c r="L3087" s="2" t="s">
        <v>566</v>
      </c>
      <c r="M3087" s="2" t="s">
        <v>567</v>
      </c>
      <c r="N3087" s="2" t="s">
        <v>2708</v>
      </c>
      <c r="O3087" s="2" t="s">
        <v>101</v>
      </c>
      <c r="P3087" s="2" t="str">
        <f>"2170606093                    "</f>
        <v xml:space="preserve">2170606093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9.0500000000000007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1</v>
      </c>
      <c r="BJ3087" s="2">
        <v>0.2</v>
      </c>
      <c r="BK3087" s="2">
        <v>1</v>
      </c>
      <c r="BL3087" s="2">
        <v>64.599999999999994</v>
      </c>
      <c r="BM3087" s="2">
        <v>9.0399999999999991</v>
      </c>
      <c r="BN3087" s="2">
        <v>73.64</v>
      </c>
      <c r="BO3087" s="2">
        <v>73.64</v>
      </c>
      <c r="BQ3087" s="2" t="s">
        <v>2709</v>
      </c>
      <c r="BR3087" s="2" t="s">
        <v>103</v>
      </c>
      <c r="BS3087" s="2" t="s">
        <v>185</v>
      </c>
      <c r="BY3087" s="2">
        <v>1200</v>
      </c>
      <c r="CC3087" s="2" t="s">
        <v>567</v>
      </c>
      <c r="CD3087" s="2">
        <v>1754</v>
      </c>
      <c r="CE3087" s="2" t="s">
        <v>120</v>
      </c>
      <c r="CI3087" s="2">
        <v>1</v>
      </c>
      <c r="CJ3087" s="2" t="s">
        <v>185</v>
      </c>
      <c r="CK3087" s="2">
        <v>24</v>
      </c>
      <c r="CL3087" s="2" t="s">
        <v>89</v>
      </c>
    </row>
    <row r="3088" spans="1:90">
      <c r="A3088" s="2" t="s">
        <v>71</v>
      </c>
      <c r="B3088" s="2" t="s">
        <v>72</v>
      </c>
      <c r="C3088" s="2" t="s">
        <v>73</v>
      </c>
      <c r="E3088" s="2" t="str">
        <f>"FES1162597365"</f>
        <v>FES1162597365</v>
      </c>
      <c r="F3088" s="3">
        <v>43089</v>
      </c>
      <c r="G3088" s="2">
        <v>201806</v>
      </c>
      <c r="H3088" s="2" t="s">
        <v>74</v>
      </c>
      <c r="I3088" s="2" t="s">
        <v>75</v>
      </c>
      <c r="J3088" s="2" t="s">
        <v>97</v>
      </c>
      <c r="K3088" s="2" t="s">
        <v>77</v>
      </c>
      <c r="L3088" s="2" t="s">
        <v>173</v>
      </c>
      <c r="M3088" s="2" t="s">
        <v>174</v>
      </c>
      <c r="N3088" s="2" t="s">
        <v>175</v>
      </c>
      <c r="O3088" s="2" t="s">
        <v>101</v>
      </c>
      <c r="P3088" s="2" t="str">
        <f>"2170608677                    "</f>
        <v xml:space="preserve">2170608677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6.43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1</v>
      </c>
      <c r="BJ3088" s="2">
        <v>0.2</v>
      </c>
      <c r="BK3088" s="2">
        <v>1</v>
      </c>
      <c r="BL3088" s="2">
        <v>45.93</v>
      </c>
      <c r="BM3088" s="2">
        <v>6.43</v>
      </c>
      <c r="BN3088" s="2">
        <v>52.36</v>
      </c>
      <c r="BO3088" s="2">
        <v>52.36</v>
      </c>
      <c r="BQ3088" s="2" t="s">
        <v>102</v>
      </c>
      <c r="BR3088" s="2" t="s">
        <v>103</v>
      </c>
      <c r="BS3088" s="3">
        <v>43090</v>
      </c>
      <c r="BT3088" s="4">
        <v>0.52847222222222223</v>
      </c>
      <c r="BU3088" s="2" t="s">
        <v>2898</v>
      </c>
      <c r="BV3088" s="2" t="s">
        <v>89</v>
      </c>
      <c r="BW3088" s="2" t="s">
        <v>149</v>
      </c>
      <c r="BX3088" s="2" t="s">
        <v>246</v>
      </c>
      <c r="BY3088" s="2">
        <v>1200</v>
      </c>
      <c r="CA3088" s="2" t="s">
        <v>177</v>
      </c>
      <c r="CC3088" s="2" t="s">
        <v>174</v>
      </c>
      <c r="CD3088" s="2">
        <v>7405</v>
      </c>
      <c r="CE3088" s="2" t="s">
        <v>120</v>
      </c>
      <c r="CF3088" s="3">
        <v>43091</v>
      </c>
      <c r="CI3088" s="2">
        <v>1</v>
      </c>
      <c r="CJ3088" s="2">
        <v>1</v>
      </c>
      <c r="CK3088" s="2">
        <v>21</v>
      </c>
      <c r="CL3088" s="2" t="s">
        <v>89</v>
      </c>
    </row>
    <row r="3089" spans="1:90">
      <c r="A3089" s="2" t="s">
        <v>71</v>
      </c>
      <c r="B3089" s="2" t="s">
        <v>72</v>
      </c>
      <c r="C3089" s="2" t="s">
        <v>73</v>
      </c>
      <c r="E3089" s="2" t="str">
        <f>"009935791586"</f>
        <v>009935791586</v>
      </c>
      <c r="F3089" s="3">
        <v>43089</v>
      </c>
      <c r="G3089" s="2">
        <v>201806</v>
      </c>
      <c r="H3089" s="2" t="s">
        <v>74</v>
      </c>
      <c r="I3089" s="2" t="s">
        <v>75</v>
      </c>
      <c r="J3089" s="2" t="s">
        <v>97</v>
      </c>
      <c r="K3089" s="2" t="s">
        <v>77</v>
      </c>
      <c r="L3089" s="2" t="s">
        <v>125</v>
      </c>
      <c r="M3089" s="2" t="s">
        <v>126</v>
      </c>
      <c r="N3089" s="2" t="s">
        <v>773</v>
      </c>
      <c r="O3089" s="2" t="s">
        <v>101</v>
      </c>
      <c r="P3089" s="2" t="str">
        <f>"2170602296                    "</f>
        <v xml:space="preserve">2170602296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6.43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</v>
      </c>
      <c r="BJ3089" s="2">
        <v>0.2</v>
      </c>
      <c r="BK3089" s="2">
        <v>1</v>
      </c>
      <c r="BL3089" s="2">
        <v>45.93</v>
      </c>
      <c r="BM3089" s="2">
        <v>6.43</v>
      </c>
      <c r="BN3089" s="2">
        <v>52.36</v>
      </c>
      <c r="BO3089" s="2">
        <v>52.36</v>
      </c>
      <c r="BQ3089" s="2" t="s">
        <v>2961</v>
      </c>
      <c r="BR3089" s="2" t="s">
        <v>103</v>
      </c>
      <c r="BS3089" s="3">
        <v>43090</v>
      </c>
      <c r="BT3089" s="4">
        <v>0.4375</v>
      </c>
      <c r="BU3089" s="2" t="s">
        <v>114</v>
      </c>
      <c r="BV3089" s="2" t="s">
        <v>85</v>
      </c>
      <c r="BY3089" s="2">
        <v>1200</v>
      </c>
      <c r="CC3089" s="2" t="s">
        <v>126</v>
      </c>
      <c r="CD3089" s="2">
        <v>4052</v>
      </c>
      <c r="CE3089" s="2" t="s">
        <v>120</v>
      </c>
      <c r="CI3089" s="2">
        <v>1</v>
      </c>
      <c r="CJ3089" s="2">
        <v>1</v>
      </c>
      <c r="CK3089" s="2">
        <v>21</v>
      </c>
      <c r="CL3089" s="2" t="s">
        <v>89</v>
      </c>
    </row>
    <row r="3090" spans="1:90">
      <c r="A3090" s="2" t="s">
        <v>71</v>
      </c>
      <c r="B3090" s="2" t="s">
        <v>72</v>
      </c>
      <c r="C3090" s="2" t="s">
        <v>73</v>
      </c>
      <c r="E3090" s="2" t="str">
        <f>"FES1162597332"</f>
        <v>FES1162597332</v>
      </c>
      <c r="F3090" s="3">
        <v>43089</v>
      </c>
      <c r="G3090" s="2">
        <v>201806</v>
      </c>
      <c r="H3090" s="2" t="s">
        <v>74</v>
      </c>
      <c r="I3090" s="2" t="s">
        <v>75</v>
      </c>
      <c r="J3090" s="2" t="s">
        <v>97</v>
      </c>
      <c r="K3090" s="2" t="s">
        <v>77</v>
      </c>
      <c r="L3090" s="2" t="s">
        <v>125</v>
      </c>
      <c r="M3090" s="2" t="s">
        <v>126</v>
      </c>
      <c r="N3090" s="2" t="s">
        <v>514</v>
      </c>
      <c r="O3090" s="2" t="s">
        <v>101</v>
      </c>
      <c r="P3090" s="2" t="str">
        <f>"2170608650                    "</f>
        <v xml:space="preserve">2170608650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6.43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1</v>
      </c>
      <c r="BJ3090" s="2">
        <v>0.2</v>
      </c>
      <c r="BK3090" s="2">
        <v>1</v>
      </c>
      <c r="BL3090" s="2">
        <v>45.93</v>
      </c>
      <c r="BM3090" s="2">
        <v>6.43</v>
      </c>
      <c r="BN3090" s="2">
        <v>52.36</v>
      </c>
      <c r="BO3090" s="2">
        <v>52.36</v>
      </c>
      <c r="BQ3090" s="2" t="s">
        <v>515</v>
      </c>
      <c r="BR3090" s="2" t="s">
        <v>103</v>
      </c>
      <c r="BS3090" s="3">
        <v>43090</v>
      </c>
      <c r="BT3090" s="4">
        <v>0.4375</v>
      </c>
      <c r="BU3090" s="2" t="s">
        <v>2958</v>
      </c>
      <c r="BV3090" s="2" t="s">
        <v>85</v>
      </c>
      <c r="BY3090" s="2">
        <v>1200</v>
      </c>
      <c r="CC3090" s="2" t="s">
        <v>126</v>
      </c>
      <c r="CD3090" s="2">
        <v>4001</v>
      </c>
      <c r="CE3090" s="2" t="s">
        <v>120</v>
      </c>
      <c r="CF3090" s="3">
        <v>43091</v>
      </c>
      <c r="CI3090" s="2">
        <v>1</v>
      </c>
      <c r="CJ3090" s="2">
        <v>1</v>
      </c>
      <c r="CK3090" s="2">
        <v>21</v>
      </c>
      <c r="CL3090" s="2" t="s">
        <v>89</v>
      </c>
    </row>
    <row r="3091" spans="1:90">
      <c r="A3091" s="2" t="s">
        <v>71</v>
      </c>
      <c r="B3091" s="2" t="s">
        <v>72</v>
      </c>
      <c r="C3091" s="2" t="s">
        <v>73</v>
      </c>
      <c r="E3091" s="2" t="str">
        <f>"FES1162597309"</f>
        <v>FES1162597309</v>
      </c>
      <c r="F3091" s="3">
        <v>43089</v>
      </c>
      <c r="G3091" s="2">
        <v>201806</v>
      </c>
      <c r="H3091" s="2" t="s">
        <v>74</v>
      </c>
      <c r="I3091" s="2" t="s">
        <v>75</v>
      </c>
      <c r="J3091" s="2" t="s">
        <v>97</v>
      </c>
      <c r="K3091" s="2" t="s">
        <v>77</v>
      </c>
      <c r="L3091" s="2" t="s">
        <v>115</v>
      </c>
      <c r="M3091" s="2" t="s">
        <v>116</v>
      </c>
      <c r="N3091" s="2" t="s">
        <v>1894</v>
      </c>
      <c r="O3091" s="2" t="s">
        <v>101</v>
      </c>
      <c r="P3091" s="2" t="str">
        <f>"2170606590                    "</f>
        <v xml:space="preserve">2170606590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5.63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7.6</v>
      </c>
      <c r="BJ3091" s="2">
        <v>9</v>
      </c>
      <c r="BK3091" s="2">
        <v>9</v>
      </c>
      <c r="BL3091" s="2">
        <v>40.19</v>
      </c>
      <c r="BM3091" s="2">
        <v>5.63</v>
      </c>
      <c r="BN3091" s="2">
        <v>45.82</v>
      </c>
      <c r="BO3091" s="2">
        <v>45.82</v>
      </c>
      <c r="BQ3091" s="2" t="s">
        <v>102</v>
      </c>
      <c r="BR3091" s="2" t="s">
        <v>103</v>
      </c>
      <c r="BS3091" s="3">
        <v>43090</v>
      </c>
      <c r="BT3091" s="4">
        <v>0.35069444444444442</v>
      </c>
      <c r="BU3091" s="2" t="s">
        <v>2962</v>
      </c>
      <c r="BV3091" s="2" t="s">
        <v>85</v>
      </c>
      <c r="BY3091" s="2">
        <v>45035.82</v>
      </c>
      <c r="CC3091" s="2" t="s">
        <v>116</v>
      </c>
      <c r="CD3091" s="2">
        <v>1459</v>
      </c>
      <c r="CE3091" s="2" t="s">
        <v>95</v>
      </c>
      <c r="CF3091" s="3">
        <v>43096</v>
      </c>
      <c r="CI3091" s="2">
        <v>1</v>
      </c>
      <c r="CJ3091" s="2">
        <v>1</v>
      </c>
      <c r="CK3091" s="2">
        <v>22</v>
      </c>
      <c r="CL3091" s="2" t="s">
        <v>89</v>
      </c>
    </row>
    <row r="3092" spans="1:90">
      <c r="A3092" s="2" t="s">
        <v>71</v>
      </c>
      <c r="B3092" s="2" t="s">
        <v>72</v>
      </c>
      <c r="C3092" s="2" t="s">
        <v>73</v>
      </c>
      <c r="E3092" s="2" t="str">
        <f>"FES1162597301"</f>
        <v>FES1162597301</v>
      </c>
      <c r="F3092" s="3">
        <v>43089</v>
      </c>
      <c r="G3092" s="2">
        <v>201806</v>
      </c>
      <c r="H3092" s="2" t="s">
        <v>74</v>
      </c>
      <c r="I3092" s="2" t="s">
        <v>75</v>
      </c>
      <c r="J3092" s="2" t="s">
        <v>97</v>
      </c>
      <c r="K3092" s="2" t="s">
        <v>77</v>
      </c>
      <c r="L3092" s="2" t="s">
        <v>98</v>
      </c>
      <c r="M3092" s="2" t="s">
        <v>99</v>
      </c>
      <c r="N3092" s="2" t="s">
        <v>226</v>
      </c>
      <c r="O3092" s="2" t="s">
        <v>101</v>
      </c>
      <c r="P3092" s="2" t="str">
        <f>"2170607142                    "</f>
        <v xml:space="preserve">2170607142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6.43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1</v>
      </c>
      <c r="BJ3092" s="2">
        <v>0.2</v>
      </c>
      <c r="BK3092" s="2">
        <v>1</v>
      </c>
      <c r="BL3092" s="2">
        <v>45.93</v>
      </c>
      <c r="BM3092" s="2">
        <v>6.43</v>
      </c>
      <c r="BN3092" s="2">
        <v>52.36</v>
      </c>
      <c r="BO3092" s="2">
        <v>52.36</v>
      </c>
      <c r="BQ3092" s="2" t="s">
        <v>82</v>
      </c>
      <c r="BR3092" s="2" t="s">
        <v>103</v>
      </c>
      <c r="BS3092" s="3">
        <v>43090</v>
      </c>
      <c r="BT3092" s="4">
        <v>0.40972222222222227</v>
      </c>
      <c r="BU3092" s="2" t="s">
        <v>556</v>
      </c>
      <c r="BV3092" s="2" t="s">
        <v>85</v>
      </c>
      <c r="BY3092" s="2">
        <v>1200</v>
      </c>
      <c r="CA3092" s="2" t="s">
        <v>105</v>
      </c>
      <c r="CC3092" s="2" t="s">
        <v>99</v>
      </c>
      <c r="CD3092" s="2">
        <v>3201</v>
      </c>
      <c r="CE3092" s="2" t="s">
        <v>120</v>
      </c>
      <c r="CF3092" s="3">
        <v>43091</v>
      </c>
      <c r="CI3092" s="2">
        <v>1</v>
      </c>
      <c r="CJ3092" s="2">
        <v>1</v>
      </c>
      <c r="CK3092" s="2">
        <v>21</v>
      </c>
      <c r="CL3092" s="2" t="s">
        <v>89</v>
      </c>
    </row>
    <row r="3093" spans="1:90">
      <c r="A3093" s="2" t="s">
        <v>71</v>
      </c>
      <c r="B3093" s="2" t="s">
        <v>72</v>
      </c>
      <c r="C3093" s="2" t="s">
        <v>73</v>
      </c>
      <c r="E3093" s="2" t="str">
        <f>"FES1162597265"</f>
        <v>FES1162597265</v>
      </c>
      <c r="F3093" s="3">
        <v>43089</v>
      </c>
      <c r="G3093" s="2">
        <v>201806</v>
      </c>
      <c r="H3093" s="2" t="s">
        <v>74</v>
      </c>
      <c r="I3093" s="2" t="s">
        <v>75</v>
      </c>
      <c r="J3093" s="2" t="s">
        <v>97</v>
      </c>
      <c r="K3093" s="2" t="s">
        <v>77</v>
      </c>
      <c r="L3093" s="2" t="s">
        <v>115</v>
      </c>
      <c r="M3093" s="2" t="s">
        <v>116</v>
      </c>
      <c r="N3093" s="2" t="s">
        <v>2091</v>
      </c>
      <c r="O3093" s="2" t="s">
        <v>101</v>
      </c>
      <c r="P3093" s="2" t="str">
        <f>"21708625                      "</f>
        <v xml:space="preserve">21708625  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5.03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7.2</v>
      </c>
      <c r="BJ3093" s="2">
        <v>3.4</v>
      </c>
      <c r="BK3093" s="2">
        <v>8</v>
      </c>
      <c r="BL3093" s="2">
        <v>35.89</v>
      </c>
      <c r="BM3093" s="2">
        <v>5.0199999999999996</v>
      </c>
      <c r="BN3093" s="2">
        <v>40.909999999999997</v>
      </c>
      <c r="BO3093" s="2">
        <v>40.909999999999997</v>
      </c>
      <c r="BQ3093" s="2" t="s">
        <v>2092</v>
      </c>
      <c r="BR3093" s="2" t="s">
        <v>103</v>
      </c>
      <c r="BS3093" s="3">
        <v>43090</v>
      </c>
      <c r="BT3093" s="4">
        <v>0.3666666666666667</v>
      </c>
      <c r="BU3093" s="2" t="s">
        <v>428</v>
      </c>
      <c r="BV3093" s="2" t="s">
        <v>85</v>
      </c>
      <c r="BY3093" s="2">
        <v>17186.400000000001</v>
      </c>
      <c r="CC3093" s="2" t="s">
        <v>116</v>
      </c>
      <c r="CD3093" s="2">
        <v>1459</v>
      </c>
      <c r="CE3093" s="2" t="s">
        <v>95</v>
      </c>
      <c r="CF3093" s="3">
        <v>43096</v>
      </c>
      <c r="CI3093" s="2">
        <v>1</v>
      </c>
      <c r="CJ3093" s="2">
        <v>1</v>
      </c>
      <c r="CK3093" s="2">
        <v>22</v>
      </c>
      <c r="CL3093" s="2" t="s">
        <v>89</v>
      </c>
    </row>
    <row r="3094" spans="1:90">
      <c r="A3094" s="2" t="s">
        <v>71</v>
      </c>
      <c r="B3094" s="2" t="s">
        <v>72</v>
      </c>
      <c r="C3094" s="2" t="s">
        <v>73</v>
      </c>
      <c r="E3094" s="2" t="str">
        <f>"FES1162597189"</f>
        <v>FES1162597189</v>
      </c>
      <c r="F3094" s="3">
        <v>43089</v>
      </c>
      <c r="G3094" s="2">
        <v>201806</v>
      </c>
      <c r="H3094" s="2" t="s">
        <v>74</v>
      </c>
      <c r="I3094" s="2" t="s">
        <v>75</v>
      </c>
      <c r="J3094" s="2" t="s">
        <v>97</v>
      </c>
      <c r="K3094" s="2" t="s">
        <v>77</v>
      </c>
      <c r="L3094" s="2" t="s">
        <v>168</v>
      </c>
      <c r="M3094" s="2" t="s">
        <v>169</v>
      </c>
      <c r="N3094" s="2" t="s">
        <v>2219</v>
      </c>
      <c r="O3094" s="2" t="s">
        <v>101</v>
      </c>
      <c r="P3094" s="2" t="str">
        <f>"2170605982                    "</f>
        <v xml:space="preserve">2170605982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6.43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</v>
      </c>
      <c r="BJ3094" s="2">
        <v>0.2</v>
      </c>
      <c r="BK3094" s="2">
        <v>1</v>
      </c>
      <c r="BL3094" s="2">
        <v>45.93</v>
      </c>
      <c r="BM3094" s="2">
        <v>6.43</v>
      </c>
      <c r="BN3094" s="2">
        <v>52.36</v>
      </c>
      <c r="BO3094" s="2">
        <v>52.36</v>
      </c>
      <c r="BQ3094" s="2" t="s">
        <v>2574</v>
      </c>
      <c r="BR3094" s="2" t="s">
        <v>103</v>
      </c>
      <c r="BS3094" s="3">
        <v>43090</v>
      </c>
      <c r="BT3094" s="4">
        <v>0.40138888888888885</v>
      </c>
      <c r="BU3094" s="2" t="s">
        <v>2220</v>
      </c>
      <c r="BV3094" s="2" t="s">
        <v>85</v>
      </c>
      <c r="BY3094" s="2">
        <v>1200</v>
      </c>
      <c r="CA3094" s="2" t="s">
        <v>220</v>
      </c>
      <c r="CC3094" s="2" t="s">
        <v>169</v>
      </c>
      <c r="CD3094" s="2">
        <v>3600</v>
      </c>
      <c r="CE3094" s="2" t="s">
        <v>120</v>
      </c>
      <c r="CF3094" s="3">
        <v>43091</v>
      </c>
      <c r="CI3094" s="2">
        <v>1</v>
      </c>
      <c r="CJ3094" s="2">
        <v>1</v>
      </c>
      <c r="CK3094" s="2">
        <v>21</v>
      </c>
      <c r="CL3094" s="2" t="s">
        <v>89</v>
      </c>
    </row>
    <row r="3095" spans="1:90">
      <c r="A3095" s="2" t="s">
        <v>71</v>
      </c>
      <c r="B3095" s="2" t="s">
        <v>72</v>
      </c>
      <c r="C3095" s="2" t="s">
        <v>73</v>
      </c>
      <c r="E3095" s="2" t="str">
        <f>"FES1162597370"</f>
        <v>FES1162597370</v>
      </c>
      <c r="F3095" s="3">
        <v>43089</v>
      </c>
      <c r="G3095" s="2">
        <v>201806</v>
      </c>
      <c r="H3095" s="2" t="s">
        <v>74</v>
      </c>
      <c r="I3095" s="2" t="s">
        <v>75</v>
      </c>
      <c r="J3095" s="2" t="s">
        <v>97</v>
      </c>
      <c r="K3095" s="2" t="s">
        <v>77</v>
      </c>
      <c r="L3095" s="2" t="s">
        <v>212</v>
      </c>
      <c r="M3095" s="2" t="s">
        <v>212</v>
      </c>
      <c r="N3095" s="2" t="s">
        <v>370</v>
      </c>
      <c r="O3095" s="2" t="s">
        <v>101</v>
      </c>
      <c r="P3095" s="2" t="str">
        <f>"2170604893                    "</f>
        <v xml:space="preserve">2170604893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6.43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2</v>
      </c>
      <c r="BJ3095" s="2">
        <v>1</v>
      </c>
      <c r="BK3095" s="2">
        <v>2</v>
      </c>
      <c r="BL3095" s="2">
        <v>45.93</v>
      </c>
      <c r="BM3095" s="2">
        <v>6.43</v>
      </c>
      <c r="BN3095" s="2">
        <v>52.36</v>
      </c>
      <c r="BO3095" s="2">
        <v>52.36</v>
      </c>
      <c r="BQ3095" s="2" t="s">
        <v>102</v>
      </c>
      <c r="BR3095" s="2" t="s">
        <v>103</v>
      </c>
      <c r="BS3095" s="3">
        <v>43090</v>
      </c>
      <c r="BT3095" s="4">
        <v>0.53472222222222221</v>
      </c>
      <c r="BU3095" s="2" t="s">
        <v>2903</v>
      </c>
      <c r="BV3095" s="2" t="s">
        <v>85</v>
      </c>
      <c r="BY3095" s="2">
        <v>4800</v>
      </c>
      <c r="CC3095" s="2" t="s">
        <v>212</v>
      </c>
      <c r="CD3095" s="2">
        <v>7646</v>
      </c>
      <c r="CE3095" s="2" t="s">
        <v>87</v>
      </c>
      <c r="CF3095" s="3">
        <v>43091</v>
      </c>
      <c r="CI3095" s="2">
        <v>1</v>
      </c>
      <c r="CJ3095" s="2">
        <v>1</v>
      </c>
      <c r="CK3095" s="2">
        <v>21</v>
      </c>
      <c r="CL3095" s="2" t="s">
        <v>89</v>
      </c>
    </row>
    <row r="3096" spans="1:90">
      <c r="A3096" s="2" t="s">
        <v>71</v>
      </c>
      <c r="B3096" s="2" t="s">
        <v>72</v>
      </c>
      <c r="C3096" s="2" t="s">
        <v>73</v>
      </c>
      <c r="E3096" s="2" t="str">
        <f>"FES1162597357"</f>
        <v>FES1162597357</v>
      </c>
      <c r="F3096" s="3">
        <v>43089</v>
      </c>
      <c r="G3096" s="2">
        <v>201806</v>
      </c>
      <c r="H3096" s="2" t="s">
        <v>74</v>
      </c>
      <c r="I3096" s="2" t="s">
        <v>75</v>
      </c>
      <c r="J3096" s="2" t="s">
        <v>97</v>
      </c>
      <c r="K3096" s="2" t="s">
        <v>77</v>
      </c>
      <c r="L3096" s="2" t="s">
        <v>1624</v>
      </c>
      <c r="M3096" s="2" t="s">
        <v>1625</v>
      </c>
      <c r="N3096" s="2" t="s">
        <v>2316</v>
      </c>
      <c r="O3096" s="2" t="s">
        <v>101</v>
      </c>
      <c r="P3096" s="2" t="str">
        <f>"2170607976                    "</f>
        <v xml:space="preserve">2170607976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12.47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</v>
      </c>
      <c r="BJ3096" s="2">
        <v>0.2</v>
      </c>
      <c r="BK3096" s="2">
        <v>1</v>
      </c>
      <c r="BL3096" s="2">
        <v>89</v>
      </c>
      <c r="BM3096" s="2">
        <v>12.46</v>
      </c>
      <c r="BN3096" s="2">
        <v>101.46</v>
      </c>
      <c r="BO3096" s="2">
        <v>101.46</v>
      </c>
      <c r="BQ3096" s="2" t="s">
        <v>187</v>
      </c>
      <c r="BR3096" s="2" t="s">
        <v>103</v>
      </c>
      <c r="BS3096" s="3">
        <v>43090</v>
      </c>
      <c r="BT3096" s="4">
        <v>0.5</v>
      </c>
      <c r="BU3096" s="2" t="s">
        <v>2343</v>
      </c>
      <c r="BV3096" s="2" t="s">
        <v>85</v>
      </c>
      <c r="BY3096" s="2">
        <v>1200</v>
      </c>
      <c r="CC3096" s="2" t="s">
        <v>1625</v>
      </c>
      <c r="CD3096" s="2">
        <v>4449</v>
      </c>
      <c r="CE3096" s="2" t="s">
        <v>120</v>
      </c>
      <c r="CF3096" s="3">
        <v>43091</v>
      </c>
      <c r="CI3096" s="2">
        <v>1</v>
      </c>
      <c r="CJ3096" s="2">
        <v>1</v>
      </c>
      <c r="CK3096" s="2">
        <v>23</v>
      </c>
      <c r="CL3096" s="2" t="s">
        <v>89</v>
      </c>
    </row>
    <row r="3097" spans="1:90">
      <c r="A3097" s="2" t="s">
        <v>71</v>
      </c>
      <c r="B3097" s="2" t="s">
        <v>72</v>
      </c>
      <c r="C3097" s="2" t="s">
        <v>73</v>
      </c>
      <c r="E3097" s="2" t="str">
        <f>"FES1162597241"</f>
        <v>FES1162597241</v>
      </c>
      <c r="F3097" s="3">
        <v>43089</v>
      </c>
      <c r="G3097" s="2">
        <v>201806</v>
      </c>
      <c r="H3097" s="2" t="s">
        <v>74</v>
      </c>
      <c r="I3097" s="2" t="s">
        <v>75</v>
      </c>
      <c r="J3097" s="2" t="s">
        <v>97</v>
      </c>
      <c r="K3097" s="2" t="s">
        <v>77</v>
      </c>
      <c r="L3097" s="2" t="s">
        <v>158</v>
      </c>
      <c r="M3097" s="2" t="s">
        <v>159</v>
      </c>
      <c r="N3097" s="2" t="s">
        <v>1231</v>
      </c>
      <c r="O3097" s="2" t="s">
        <v>101</v>
      </c>
      <c r="P3097" s="2" t="str">
        <f>"21706097062                   "</f>
        <v xml:space="preserve">21706097062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6.43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1</v>
      </c>
      <c r="BJ3097" s="2">
        <v>0.2</v>
      </c>
      <c r="BK3097" s="2">
        <v>1</v>
      </c>
      <c r="BL3097" s="2">
        <v>45.93</v>
      </c>
      <c r="BM3097" s="2">
        <v>6.43</v>
      </c>
      <c r="BN3097" s="2">
        <v>52.36</v>
      </c>
      <c r="BO3097" s="2">
        <v>52.36</v>
      </c>
      <c r="BQ3097" s="2" t="s">
        <v>102</v>
      </c>
      <c r="BR3097" s="2" t="s">
        <v>103</v>
      </c>
      <c r="BS3097" s="3">
        <v>43090</v>
      </c>
      <c r="BT3097" s="4">
        <v>0.5</v>
      </c>
      <c r="BU3097" s="2" t="s">
        <v>1496</v>
      </c>
      <c r="BV3097" s="2" t="s">
        <v>89</v>
      </c>
      <c r="BW3097" s="2" t="s">
        <v>156</v>
      </c>
      <c r="BX3097" s="2" t="s">
        <v>668</v>
      </c>
      <c r="BY3097" s="2">
        <v>1200</v>
      </c>
      <c r="CC3097" s="2" t="s">
        <v>159</v>
      </c>
      <c r="CD3097" s="2">
        <v>184</v>
      </c>
      <c r="CE3097" s="2" t="s">
        <v>120</v>
      </c>
      <c r="CF3097" s="3">
        <v>43091</v>
      </c>
      <c r="CI3097" s="2">
        <v>1</v>
      </c>
      <c r="CJ3097" s="2">
        <v>1</v>
      </c>
      <c r="CK3097" s="2">
        <v>21</v>
      </c>
      <c r="CL3097" s="2" t="s">
        <v>89</v>
      </c>
    </row>
    <row r="3098" spans="1:90">
      <c r="A3098" s="2" t="s">
        <v>71</v>
      </c>
      <c r="B3098" s="2" t="s">
        <v>72</v>
      </c>
      <c r="C3098" s="2" t="s">
        <v>73</v>
      </c>
      <c r="E3098" s="2" t="str">
        <f>"FES1162597364"</f>
        <v>FES1162597364</v>
      </c>
      <c r="F3098" s="3">
        <v>43089</v>
      </c>
      <c r="G3098" s="2">
        <v>201806</v>
      </c>
      <c r="H3098" s="2" t="s">
        <v>74</v>
      </c>
      <c r="I3098" s="2" t="s">
        <v>75</v>
      </c>
      <c r="J3098" s="2" t="s">
        <v>97</v>
      </c>
      <c r="K3098" s="2" t="s">
        <v>77</v>
      </c>
      <c r="L3098" s="2" t="s">
        <v>295</v>
      </c>
      <c r="M3098" s="2" t="s">
        <v>296</v>
      </c>
      <c r="N3098" s="2" t="s">
        <v>2963</v>
      </c>
      <c r="O3098" s="2" t="s">
        <v>101</v>
      </c>
      <c r="P3098" s="2" t="str">
        <f>"2170608675                    "</f>
        <v xml:space="preserve">2170608675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9.0500000000000007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</v>
      </c>
      <c r="BJ3098" s="2">
        <v>0.2</v>
      </c>
      <c r="BK3098" s="2">
        <v>1</v>
      </c>
      <c r="BL3098" s="2">
        <v>64.599999999999994</v>
      </c>
      <c r="BM3098" s="2">
        <v>9.0399999999999991</v>
      </c>
      <c r="BN3098" s="2">
        <v>73.64</v>
      </c>
      <c r="BO3098" s="2">
        <v>73.64</v>
      </c>
      <c r="BQ3098" s="2" t="s">
        <v>2964</v>
      </c>
      <c r="BR3098" s="2" t="s">
        <v>103</v>
      </c>
      <c r="BS3098" s="3">
        <v>43090</v>
      </c>
      <c r="BT3098" s="4">
        <v>0.49305555555555558</v>
      </c>
      <c r="BU3098" s="2" t="s">
        <v>2965</v>
      </c>
      <c r="BV3098" s="2" t="s">
        <v>89</v>
      </c>
      <c r="BY3098" s="2">
        <v>1200</v>
      </c>
      <c r="CC3098" s="2" t="s">
        <v>296</v>
      </c>
      <c r="CD3098" s="2">
        <v>407</v>
      </c>
      <c r="CE3098" s="2" t="s">
        <v>120</v>
      </c>
      <c r="CF3098" s="3">
        <v>43091</v>
      </c>
      <c r="CI3098" s="2">
        <v>1</v>
      </c>
      <c r="CJ3098" s="2">
        <v>1</v>
      </c>
      <c r="CK3098" s="2">
        <v>24</v>
      </c>
      <c r="CL3098" s="2" t="s">
        <v>89</v>
      </c>
    </row>
    <row r="3099" spans="1:90">
      <c r="A3099" s="2" t="s">
        <v>71</v>
      </c>
      <c r="B3099" s="2" t="s">
        <v>72</v>
      </c>
      <c r="C3099" s="2" t="s">
        <v>73</v>
      </c>
      <c r="E3099" s="2" t="str">
        <f>"FES1162597153"</f>
        <v>FES1162597153</v>
      </c>
      <c r="F3099" s="3">
        <v>43089</v>
      </c>
      <c r="G3099" s="2">
        <v>201806</v>
      </c>
      <c r="H3099" s="2" t="s">
        <v>74</v>
      </c>
      <c r="I3099" s="2" t="s">
        <v>75</v>
      </c>
      <c r="J3099" s="2" t="s">
        <v>97</v>
      </c>
      <c r="K3099" s="2" t="s">
        <v>77</v>
      </c>
      <c r="L3099" s="2" t="s">
        <v>325</v>
      </c>
      <c r="M3099" s="2" t="s">
        <v>326</v>
      </c>
      <c r="N3099" s="2" t="s">
        <v>2646</v>
      </c>
      <c r="O3099" s="2" t="s">
        <v>101</v>
      </c>
      <c r="P3099" s="2" t="str">
        <f>"2170607363                    "</f>
        <v xml:space="preserve">2170607363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6.43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</v>
      </c>
      <c r="BJ3099" s="2">
        <v>0.2</v>
      </c>
      <c r="BK3099" s="2">
        <v>1</v>
      </c>
      <c r="BL3099" s="2">
        <v>45.93</v>
      </c>
      <c r="BM3099" s="2">
        <v>6.43</v>
      </c>
      <c r="BN3099" s="2">
        <v>52.36</v>
      </c>
      <c r="BO3099" s="2">
        <v>52.36</v>
      </c>
      <c r="BR3099" s="2" t="s">
        <v>103</v>
      </c>
      <c r="BS3099" s="3">
        <v>43090</v>
      </c>
      <c r="BT3099" s="4">
        <v>0.53263888888888888</v>
      </c>
      <c r="BU3099" s="2" t="s">
        <v>2966</v>
      </c>
      <c r="BV3099" s="2" t="s">
        <v>89</v>
      </c>
      <c r="BY3099" s="2">
        <v>1200</v>
      </c>
      <c r="CA3099" s="2" t="s">
        <v>1326</v>
      </c>
      <c r="CC3099" s="2" t="s">
        <v>326</v>
      </c>
      <c r="CD3099" s="2">
        <v>1939</v>
      </c>
      <c r="CE3099" s="2" t="s">
        <v>120</v>
      </c>
      <c r="CF3099" s="3">
        <v>43091</v>
      </c>
      <c r="CI3099" s="2">
        <v>1</v>
      </c>
      <c r="CJ3099" s="2">
        <v>1</v>
      </c>
      <c r="CK3099" s="2">
        <v>21</v>
      </c>
      <c r="CL3099" s="2" t="s">
        <v>89</v>
      </c>
    </row>
    <row r="3100" spans="1:90">
      <c r="A3100" s="2" t="s">
        <v>71</v>
      </c>
      <c r="B3100" s="2" t="s">
        <v>72</v>
      </c>
      <c r="C3100" s="2" t="s">
        <v>73</v>
      </c>
      <c r="E3100" s="2" t="str">
        <f>"FES1162597377"</f>
        <v>FES1162597377</v>
      </c>
      <c r="F3100" s="3">
        <v>43089</v>
      </c>
      <c r="G3100" s="2">
        <v>201806</v>
      </c>
      <c r="H3100" s="2" t="s">
        <v>74</v>
      </c>
      <c r="I3100" s="2" t="s">
        <v>75</v>
      </c>
      <c r="J3100" s="2" t="s">
        <v>97</v>
      </c>
      <c r="K3100" s="2" t="s">
        <v>77</v>
      </c>
      <c r="L3100" s="2" t="s">
        <v>125</v>
      </c>
      <c r="M3100" s="2" t="s">
        <v>126</v>
      </c>
      <c r="N3100" s="2" t="s">
        <v>930</v>
      </c>
      <c r="O3100" s="2" t="s">
        <v>101</v>
      </c>
      <c r="P3100" s="2" t="str">
        <f>"2170608680                    "</f>
        <v xml:space="preserve">2170608680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12.87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2.9</v>
      </c>
      <c r="BJ3100" s="2">
        <v>3.9</v>
      </c>
      <c r="BK3100" s="2">
        <v>4</v>
      </c>
      <c r="BL3100" s="2">
        <v>91.85</v>
      </c>
      <c r="BM3100" s="2">
        <v>12.86</v>
      </c>
      <c r="BN3100" s="2">
        <v>104.71</v>
      </c>
      <c r="BO3100" s="2">
        <v>104.71</v>
      </c>
      <c r="BQ3100" s="2" t="s">
        <v>1314</v>
      </c>
      <c r="BR3100" s="2" t="s">
        <v>103</v>
      </c>
      <c r="BS3100" s="3">
        <v>43090</v>
      </c>
      <c r="BT3100" s="4">
        <v>0.38541666666666669</v>
      </c>
      <c r="BU3100" s="2" t="s">
        <v>2754</v>
      </c>
      <c r="BV3100" s="2" t="s">
        <v>85</v>
      </c>
      <c r="BY3100" s="2">
        <v>19565.64</v>
      </c>
      <c r="CC3100" s="2" t="s">
        <v>126</v>
      </c>
      <c r="CD3100" s="2">
        <v>4072</v>
      </c>
      <c r="CE3100" s="2" t="s">
        <v>87</v>
      </c>
      <c r="CF3100" s="3">
        <v>43091</v>
      </c>
      <c r="CI3100" s="2">
        <v>1</v>
      </c>
      <c r="CJ3100" s="2">
        <v>1</v>
      </c>
      <c r="CK3100" s="2">
        <v>21</v>
      </c>
      <c r="CL3100" s="2" t="s">
        <v>89</v>
      </c>
    </row>
    <row r="3101" spans="1:90">
      <c r="A3101" s="2" t="s">
        <v>71</v>
      </c>
      <c r="B3101" s="2" t="s">
        <v>72</v>
      </c>
      <c r="C3101" s="2" t="s">
        <v>73</v>
      </c>
      <c r="E3101" s="2" t="str">
        <f>"FES1162597316"</f>
        <v>FES1162597316</v>
      </c>
      <c r="F3101" s="3">
        <v>43089</v>
      </c>
      <c r="G3101" s="2">
        <v>201806</v>
      </c>
      <c r="H3101" s="2" t="s">
        <v>74</v>
      </c>
      <c r="I3101" s="2" t="s">
        <v>75</v>
      </c>
      <c r="J3101" s="2" t="s">
        <v>97</v>
      </c>
      <c r="K3101" s="2" t="s">
        <v>77</v>
      </c>
      <c r="L3101" s="2" t="s">
        <v>253</v>
      </c>
      <c r="M3101" s="2" t="s">
        <v>254</v>
      </c>
      <c r="N3101" s="2" t="s">
        <v>773</v>
      </c>
      <c r="O3101" s="2" t="s">
        <v>101</v>
      </c>
      <c r="P3101" s="2" t="str">
        <f>"2170606855                    "</f>
        <v xml:space="preserve">2170606855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6.43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0.2</v>
      </c>
      <c r="BK3101" s="2">
        <v>1</v>
      </c>
      <c r="BL3101" s="2">
        <v>45.93</v>
      </c>
      <c r="BM3101" s="2">
        <v>6.43</v>
      </c>
      <c r="BN3101" s="2">
        <v>52.36</v>
      </c>
      <c r="BO3101" s="2">
        <v>52.36</v>
      </c>
      <c r="BQ3101" s="2" t="s">
        <v>82</v>
      </c>
      <c r="BR3101" s="2" t="s">
        <v>103</v>
      </c>
      <c r="BS3101" s="3">
        <v>43090</v>
      </c>
      <c r="BT3101" s="4">
        <v>0.38541666666666669</v>
      </c>
      <c r="BU3101" s="2" t="s">
        <v>2967</v>
      </c>
      <c r="BV3101" s="2" t="s">
        <v>85</v>
      </c>
      <c r="BY3101" s="2">
        <v>1200</v>
      </c>
      <c r="CA3101" s="2" t="s">
        <v>1010</v>
      </c>
      <c r="CC3101" s="2" t="s">
        <v>254</v>
      </c>
      <c r="CD3101" s="2">
        <v>1911</v>
      </c>
      <c r="CE3101" s="2" t="s">
        <v>120</v>
      </c>
      <c r="CF3101" s="3">
        <v>43091</v>
      </c>
      <c r="CI3101" s="2">
        <v>1</v>
      </c>
      <c r="CJ3101" s="2">
        <v>1</v>
      </c>
      <c r="CK3101" s="2">
        <v>21</v>
      </c>
      <c r="CL3101" s="2" t="s">
        <v>89</v>
      </c>
    </row>
    <row r="3102" spans="1:90">
      <c r="A3102" s="2" t="s">
        <v>71</v>
      </c>
      <c r="B3102" s="2" t="s">
        <v>72</v>
      </c>
      <c r="C3102" s="2" t="s">
        <v>73</v>
      </c>
      <c r="E3102" s="2" t="str">
        <f>"FES1162597141"</f>
        <v>FES1162597141</v>
      </c>
      <c r="F3102" s="3">
        <v>43089</v>
      </c>
      <c r="G3102" s="2">
        <v>201806</v>
      </c>
      <c r="H3102" s="2" t="s">
        <v>74</v>
      </c>
      <c r="I3102" s="2" t="s">
        <v>75</v>
      </c>
      <c r="J3102" s="2" t="s">
        <v>97</v>
      </c>
      <c r="K3102" s="2" t="s">
        <v>77</v>
      </c>
      <c r="L3102" s="2" t="s">
        <v>115</v>
      </c>
      <c r="M3102" s="2" t="s">
        <v>116</v>
      </c>
      <c r="N3102" s="2" t="s">
        <v>283</v>
      </c>
      <c r="O3102" s="2" t="s">
        <v>101</v>
      </c>
      <c r="P3102" s="2" t="str">
        <f>"2170606143                    "</f>
        <v xml:space="preserve">2170606143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5.03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</v>
      </c>
      <c r="BJ3102" s="2">
        <v>0.2</v>
      </c>
      <c r="BK3102" s="2">
        <v>1</v>
      </c>
      <c r="BL3102" s="2">
        <v>35.89</v>
      </c>
      <c r="BM3102" s="2">
        <v>5.0199999999999996</v>
      </c>
      <c r="BN3102" s="2">
        <v>40.909999999999997</v>
      </c>
      <c r="BO3102" s="2">
        <v>40.909999999999997</v>
      </c>
      <c r="BQ3102" s="2" t="s">
        <v>102</v>
      </c>
      <c r="BR3102" s="2" t="s">
        <v>103</v>
      </c>
      <c r="BS3102" s="3">
        <v>43090</v>
      </c>
      <c r="BT3102" s="4">
        <v>0.41666666666666669</v>
      </c>
      <c r="BU3102" s="2" t="s">
        <v>205</v>
      </c>
      <c r="BV3102" s="2" t="s">
        <v>85</v>
      </c>
      <c r="BY3102" s="2">
        <v>1200</v>
      </c>
      <c r="CC3102" s="2" t="s">
        <v>116</v>
      </c>
      <c r="CD3102" s="2">
        <v>1459</v>
      </c>
      <c r="CE3102" s="2" t="s">
        <v>120</v>
      </c>
      <c r="CF3102" s="3">
        <v>43091</v>
      </c>
      <c r="CI3102" s="2">
        <v>1</v>
      </c>
      <c r="CJ3102" s="2">
        <v>1</v>
      </c>
      <c r="CK3102" s="2">
        <v>22</v>
      </c>
      <c r="CL3102" s="2" t="s">
        <v>89</v>
      </c>
    </row>
    <row r="3103" spans="1:90">
      <c r="A3103" s="2" t="s">
        <v>71</v>
      </c>
      <c r="B3103" s="2" t="s">
        <v>72</v>
      </c>
      <c r="C3103" s="2" t="s">
        <v>73</v>
      </c>
      <c r="E3103" s="2" t="str">
        <f>"FES1162597328"</f>
        <v>FES1162597328</v>
      </c>
      <c r="F3103" s="3">
        <v>43089</v>
      </c>
      <c r="G3103" s="2">
        <v>201806</v>
      </c>
      <c r="H3103" s="2" t="s">
        <v>74</v>
      </c>
      <c r="I3103" s="2" t="s">
        <v>75</v>
      </c>
      <c r="J3103" s="2" t="s">
        <v>97</v>
      </c>
      <c r="K3103" s="2" t="s">
        <v>77</v>
      </c>
      <c r="L3103" s="2" t="s">
        <v>98</v>
      </c>
      <c r="M3103" s="2" t="s">
        <v>99</v>
      </c>
      <c r="N3103" s="2" t="s">
        <v>1365</v>
      </c>
      <c r="O3103" s="2" t="s">
        <v>101</v>
      </c>
      <c r="P3103" s="2" t="str">
        <f>"2170608646                    "</f>
        <v xml:space="preserve">2170608646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6.43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1</v>
      </c>
      <c r="BJ3103" s="2">
        <v>0.2</v>
      </c>
      <c r="BK3103" s="2">
        <v>1</v>
      </c>
      <c r="BL3103" s="2">
        <v>45.93</v>
      </c>
      <c r="BM3103" s="2">
        <v>6.43</v>
      </c>
      <c r="BN3103" s="2">
        <v>52.36</v>
      </c>
      <c r="BO3103" s="2">
        <v>52.36</v>
      </c>
      <c r="BQ3103" s="2" t="s">
        <v>128</v>
      </c>
      <c r="BR3103" s="2" t="s">
        <v>103</v>
      </c>
      <c r="BS3103" s="3">
        <v>43090</v>
      </c>
      <c r="BT3103" s="4">
        <v>0.38541666666666669</v>
      </c>
      <c r="BU3103" s="2" t="s">
        <v>2345</v>
      </c>
      <c r="BV3103" s="2" t="s">
        <v>85</v>
      </c>
      <c r="BY3103" s="2">
        <v>1200</v>
      </c>
      <c r="CA3103" s="2" t="s">
        <v>497</v>
      </c>
      <c r="CC3103" s="2" t="s">
        <v>99</v>
      </c>
      <c r="CD3103" s="2">
        <v>3201</v>
      </c>
      <c r="CE3103" s="2" t="s">
        <v>120</v>
      </c>
      <c r="CF3103" s="3">
        <v>43091</v>
      </c>
      <c r="CI3103" s="2">
        <v>1</v>
      </c>
      <c r="CJ3103" s="2">
        <v>1</v>
      </c>
      <c r="CK3103" s="2">
        <v>21</v>
      </c>
      <c r="CL3103" s="2" t="s">
        <v>89</v>
      </c>
    </row>
    <row r="3104" spans="1:90">
      <c r="A3104" s="2" t="s">
        <v>71</v>
      </c>
      <c r="B3104" s="2" t="s">
        <v>72</v>
      </c>
      <c r="C3104" s="2" t="s">
        <v>73</v>
      </c>
      <c r="E3104" s="2" t="str">
        <f>"009935791587"</f>
        <v>009935791587</v>
      </c>
      <c r="F3104" s="3">
        <v>43089</v>
      </c>
      <c r="G3104" s="2">
        <v>201806</v>
      </c>
      <c r="H3104" s="2" t="s">
        <v>74</v>
      </c>
      <c r="I3104" s="2" t="s">
        <v>75</v>
      </c>
      <c r="J3104" s="2" t="s">
        <v>97</v>
      </c>
      <c r="K3104" s="2" t="s">
        <v>77</v>
      </c>
      <c r="L3104" s="2" t="s">
        <v>125</v>
      </c>
      <c r="M3104" s="2" t="s">
        <v>126</v>
      </c>
      <c r="N3104" s="2" t="s">
        <v>773</v>
      </c>
      <c r="O3104" s="2" t="s">
        <v>101</v>
      </c>
      <c r="P3104" s="2" t="str">
        <f>"2170606539                    "</f>
        <v xml:space="preserve">2170606539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9.65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3</v>
      </c>
      <c r="BJ3104" s="2">
        <v>2.7</v>
      </c>
      <c r="BK3104" s="2">
        <v>3</v>
      </c>
      <c r="BL3104" s="2">
        <v>68.89</v>
      </c>
      <c r="BM3104" s="2">
        <v>9.64</v>
      </c>
      <c r="BN3104" s="2">
        <v>78.53</v>
      </c>
      <c r="BO3104" s="2">
        <v>78.53</v>
      </c>
      <c r="BQ3104" s="2" t="s">
        <v>2961</v>
      </c>
      <c r="BR3104" s="2" t="s">
        <v>103</v>
      </c>
      <c r="BS3104" s="2" t="s">
        <v>185</v>
      </c>
      <c r="BY3104" s="2">
        <v>13454</v>
      </c>
      <c r="CC3104" s="2" t="s">
        <v>126</v>
      </c>
      <c r="CD3104" s="2">
        <v>4052</v>
      </c>
      <c r="CE3104" s="2" t="s">
        <v>87</v>
      </c>
      <c r="CI3104" s="2">
        <v>1</v>
      </c>
      <c r="CJ3104" s="2" t="s">
        <v>185</v>
      </c>
      <c r="CK3104" s="2">
        <v>21</v>
      </c>
      <c r="CL3104" s="2" t="s">
        <v>89</v>
      </c>
    </row>
    <row r="3105" spans="1:90">
      <c r="A3105" s="2" t="s">
        <v>71</v>
      </c>
      <c r="B3105" s="2" t="s">
        <v>72</v>
      </c>
      <c r="C3105" s="2" t="s">
        <v>73</v>
      </c>
      <c r="E3105" s="2" t="str">
        <f>"FES1162597196"</f>
        <v>FES1162597196</v>
      </c>
      <c r="F3105" s="3">
        <v>43089</v>
      </c>
      <c r="G3105" s="2">
        <v>201806</v>
      </c>
      <c r="H3105" s="2" t="s">
        <v>74</v>
      </c>
      <c r="I3105" s="2" t="s">
        <v>75</v>
      </c>
      <c r="J3105" s="2" t="s">
        <v>97</v>
      </c>
      <c r="K3105" s="2" t="s">
        <v>77</v>
      </c>
      <c r="L3105" s="2" t="s">
        <v>115</v>
      </c>
      <c r="M3105" s="2" t="s">
        <v>116</v>
      </c>
      <c r="N3105" s="2" t="s">
        <v>2908</v>
      </c>
      <c r="O3105" s="2" t="s">
        <v>101</v>
      </c>
      <c r="P3105" s="2" t="str">
        <f>"2170606098                    "</f>
        <v xml:space="preserve">2170606098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5.03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6.1</v>
      </c>
      <c r="BJ3105" s="2">
        <v>6.6</v>
      </c>
      <c r="BK3105" s="2">
        <v>7</v>
      </c>
      <c r="BL3105" s="2">
        <v>35.89</v>
      </c>
      <c r="BM3105" s="2">
        <v>5.0199999999999996</v>
      </c>
      <c r="BN3105" s="2">
        <v>40.909999999999997</v>
      </c>
      <c r="BO3105" s="2">
        <v>40.909999999999997</v>
      </c>
      <c r="BQ3105" s="2" t="s">
        <v>128</v>
      </c>
      <c r="BR3105" s="2" t="s">
        <v>103</v>
      </c>
      <c r="BS3105" s="3">
        <v>43090</v>
      </c>
      <c r="BT3105" s="4">
        <v>0.40208333333333335</v>
      </c>
      <c r="BU3105" s="2" t="s">
        <v>2909</v>
      </c>
      <c r="BV3105" s="2" t="s">
        <v>85</v>
      </c>
      <c r="BY3105" s="2">
        <v>33103.040000000001</v>
      </c>
      <c r="CC3105" s="2" t="s">
        <v>116</v>
      </c>
      <c r="CD3105" s="2">
        <v>1460</v>
      </c>
      <c r="CE3105" s="2" t="s">
        <v>87</v>
      </c>
      <c r="CF3105" s="3">
        <v>43096</v>
      </c>
      <c r="CI3105" s="2">
        <v>1</v>
      </c>
      <c r="CJ3105" s="2">
        <v>1</v>
      </c>
      <c r="CK3105" s="2">
        <v>22</v>
      </c>
      <c r="CL3105" s="2" t="s">
        <v>89</v>
      </c>
    </row>
    <row r="3106" spans="1:90">
      <c r="A3106" s="2" t="s">
        <v>71</v>
      </c>
      <c r="B3106" s="2" t="s">
        <v>72</v>
      </c>
      <c r="C3106" s="2" t="s">
        <v>73</v>
      </c>
      <c r="E3106" s="2" t="str">
        <f>"FES1162597367"</f>
        <v>FES1162597367</v>
      </c>
      <c r="F3106" s="3">
        <v>43089</v>
      </c>
      <c r="G3106" s="2">
        <v>201806</v>
      </c>
      <c r="H3106" s="2" t="s">
        <v>74</v>
      </c>
      <c r="I3106" s="2" t="s">
        <v>75</v>
      </c>
      <c r="J3106" s="2" t="s">
        <v>97</v>
      </c>
      <c r="K3106" s="2" t="s">
        <v>77</v>
      </c>
      <c r="L3106" s="2" t="s">
        <v>145</v>
      </c>
      <c r="M3106" s="2" t="s">
        <v>146</v>
      </c>
      <c r="N3106" s="2" t="s">
        <v>470</v>
      </c>
      <c r="O3106" s="2" t="s">
        <v>101</v>
      </c>
      <c r="P3106" s="2" t="str">
        <f>"2170608678                    "</f>
        <v xml:space="preserve">2170608678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6.43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45.93</v>
      </c>
      <c r="BM3106" s="2">
        <v>6.43</v>
      </c>
      <c r="BN3106" s="2">
        <v>52.36</v>
      </c>
      <c r="BO3106" s="2">
        <v>52.36</v>
      </c>
      <c r="BQ3106" s="2" t="s">
        <v>2968</v>
      </c>
      <c r="BR3106" s="2" t="s">
        <v>103</v>
      </c>
      <c r="BS3106" s="3">
        <v>43090</v>
      </c>
      <c r="BT3106" s="4">
        <v>0.41666666666666669</v>
      </c>
      <c r="BU3106" s="2" t="s">
        <v>134</v>
      </c>
      <c r="BV3106" s="2" t="s">
        <v>85</v>
      </c>
      <c r="BY3106" s="2">
        <v>1200</v>
      </c>
      <c r="CC3106" s="2" t="s">
        <v>146</v>
      </c>
      <c r="CD3106" s="2">
        <v>5210</v>
      </c>
      <c r="CE3106" s="2" t="s">
        <v>120</v>
      </c>
      <c r="CF3106" s="3">
        <v>43096</v>
      </c>
      <c r="CI3106" s="2">
        <v>1</v>
      </c>
      <c r="CJ3106" s="2">
        <v>1</v>
      </c>
      <c r="CK3106" s="2">
        <v>21</v>
      </c>
      <c r="CL3106" s="2" t="s">
        <v>89</v>
      </c>
    </row>
    <row r="3107" spans="1:90">
      <c r="A3107" s="2" t="s">
        <v>71</v>
      </c>
      <c r="B3107" s="2" t="s">
        <v>72</v>
      </c>
      <c r="C3107" s="2" t="s">
        <v>73</v>
      </c>
      <c r="E3107" s="2" t="str">
        <f>"FES1162597341"</f>
        <v>FES1162597341</v>
      </c>
      <c r="F3107" s="3">
        <v>43089</v>
      </c>
      <c r="G3107" s="2">
        <v>201806</v>
      </c>
      <c r="H3107" s="2" t="s">
        <v>74</v>
      </c>
      <c r="I3107" s="2" t="s">
        <v>75</v>
      </c>
      <c r="J3107" s="2" t="s">
        <v>97</v>
      </c>
      <c r="K3107" s="2" t="s">
        <v>77</v>
      </c>
      <c r="L3107" s="2" t="s">
        <v>90</v>
      </c>
      <c r="M3107" s="2" t="s">
        <v>91</v>
      </c>
      <c r="N3107" s="2" t="s">
        <v>2969</v>
      </c>
      <c r="O3107" s="2" t="s">
        <v>101</v>
      </c>
      <c r="P3107" s="2" t="str">
        <f>"2170608660                    "</f>
        <v xml:space="preserve">2170608660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5.03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35.89</v>
      </c>
      <c r="BM3107" s="2">
        <v>5.0199999999999996</v>
      </c>
      <c r="BN3107" s="2">
        <v>40.909999999999997</v>
      </c>
      <c r="BO3107" s="2">
        <v>40.909999999999997</v>
      </c>
      <c r="BQ3107" s="2" t="s">
        <v>2970</v>
      </c>
      <c r="BR3107" s="2" t="s">
        <v>103</v>
      </c>
      <c r="BS3107" s="3">
        <v>43090</v>
      </c>
      <c r="BT3107" s="4">
        <v>0.41666666666666669</v>
      </c>
      <c r="BU3107" s="2" t="s">
        <v>2971</v>
      </c>
      <c r="BV3107" s="2" t="s">
        <v>85</v>
      </c>
      <c r="BY3107" s="2">
        <v>1200</v>
      </c>
      <c r="CC3107" s="2" t="s">
        <v>91</v>
      </c>
      <c r="CD3107" s="2">
        <v>1559</v>
      </c>
      <c r="CE3107" s="2" t="s">
        <v>120</v>
      </c>
      <c r="CF3107" s="3">
        <v>43091</v>
      </c>
      <c r="CI3107" s="2">
        <v>1</v>
      </c>
      <c r="CJ3107" s="2">
        <v>1</v>
      </c>
      <c r="CK3107" s="2">
        <v>22</v>
      </c>
      <c r="CL3107" s="2" t="s">
        <v>89</v>
      </c>
    </row>
    <row r="3108" spans="1:90">
      <c r="A3108" s="2" t="s">
        <v>71</v>
      </c>
      <c r="B3108" s="2" t="s">
        <v>72</v>
      </c>
      <c r="C3108" s="2" t="s">
        <v>73</v>
      </c>
      <c r="E3108" s="2" t="str">
        <f>"FES1162597179"</f>
        <v>FES1162597179</v>
      </c>
      <c r="F3108" s="3">
        <v>43089</v>
      </c>
      <c r="G3108" s="2">
        <v>201806</v>
      </c>
      <c r="H3108" s="2" t="s">
        <v>74</v>
      </c>
      <c r="I3108" s="2" t="s">
        <v>75</v>
      </c>
      <c r="J3108" s="2" t="s">
        <v>97</v>
      </c>
      <c r="K3108" s="2" t="s">
        <v>77</v>
      </c>
      <c r="L3108" s="2" t="s">
        <v>162</v>
      </c>
      <c r="M3108" s="2" t="s">
        <v>163</v>
      </c>
      <c r="N3108" s="2" t="s">
        <v>164</v>
      </c>
      <c r="O3108" s="2" t="s">
        <v>101</v>
      </c>
      <c r="P3108" s="2" t="str">
        <f>"2170608596                    "</f>
        <v xml:space="preserve">2170608596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5.03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35.89</v>
      </c>
      <c r="BM3108" s="2">
        <v>5.0199999999999996</v>
      </c>
      <c r="BN3108" s="2">
        <v>40.909999999999997</v>
      </c>
      <c r="BO3108" s="2">
        <v>40.909999999999997</v>
      </c>
      <c r="BQ3108" s="2" t="s">
        <v>102</v>
      </c>
      <c r="BR3108" s="2" t="s">
        <v>103</v>
      </c>
      <c r="BS3108" s="3">
        <v>43090</v>
      </c>
      <c r="BT3108" s="4">
        <v>0.3840277777777778</v>
      </c>
      <c r="BU3108" s="2" t="s">
        <v>2395</v>
      </c>
      <c r="BV3108" s="2" t="s">
        <v>85</v>
      </c>
      <c r="BY3108" s="2">
        <v>1200</v>
      </c>
      <c r="CC3108" s="2" t="s">
        <v>163</v>
      </c>
      <c r="CD3108" s="2">
        <v>1451</v>
      </c>
      <c r="CE3108" s="2" t="s">
        <v>120</v>
      </c>
      <c r="CF3108" s="3">
        <v>43096</v>
      </c>
      <c r="CI3108" s="2">
        <v>1</v>
      </c>
      <c r="CJ3108" s="2">
        <v>1</v>
      </c>
      <c r="CK3108" s="2">
        <v>22</v>
      </c>
      <c r="CL3108" s="2" t="s">
        <v>89</v>
      </c>
    </row>
    <row r="3109" spans="1:90">
      <c r="A3109" s="2" t="s">
        <v>71</v>
      </c>
      <c r="B3109" s="2" t="s">
        <v>72</v>
      </c>
      <c r="C3109" s="2" t="s">
        <v>73</v>
      </c>
      <c r="E3109" s="2" t="str">
        <f>"FES1162597242"</f>
        <v>FES1162597242</v>
      </c>
      <c r="F3109" s="3">
        <v>43089</v>
      </c>
      <c r="G3109" s="2">
        <v>201806</v>
      </c>
      <c r="H3109" s="2" t="s">
        <v>74</v>
      </c>
      <c r="I3109" s="2" t="s">
        <v>75</v>
      </c>
      <c r="J3109" s="2" t="s">
        <v>97</v>
      </c>
      <c r="K3109" s="2" t="s">
        <v>77</v>
      </c>
      <c r="L3109" s="2" t="s">
        <v>74</v>
      </c>
      <c r="M3109" s="2" t="s">
        <v>75</v>
      </c>
      <c r="N3109" s="2" t="s">
        <v>1125</v>
      </c>
      <c r="O3109" s="2" t="s">
        <v>101</v>
      </c>
      <c r="P3109" s="2" t="str">
        <f>"2170606135                    "</f>
        <v xml:space="preserve">2170606135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5.63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9</v>
      </c>
      <c r="BJ3109" s="2">
        <v>4</v>
      </c>
      <c r="BK3109" s="2">
        <v>9</v>
      </c>
      <c r="BL3109" s="2">
        <v>40.19</v>
      </c>
      <c r="BM3109" s="2">
        <v>5.63</v>
      </c>
      <c r="BN3109" s="2">
        <v>45.82</v>
      </c>
      <c r="BO3109" s="2">
        <v>45.82</v>
      </c>
      <c r="BQ3109" s="2" t="s">
        <v>142</v>
      </c>
      <c r="BR3109" s="2" t="s">
        <v>103</v>
      </c>
      <c r="BS3109" s="3">
        <v>43090</v>
      </c>
      <c r="BT3109" s="4">
        <v>0.38750000000000001</v>
      </c>
      <c r="BU3109" s="2" t="s">
        <v>504</v>
      </c>
      <c r="BV3109" s="2" t="s">
        <v>85</v>
      </c>
      <c r="BY3109" s="2">
        <v>19773</v>
      </c>
      <c r="CC3109" s="2" t="s">
        <v>75</v>
      </c>
      <c r="CD3109" s="2">
        <v>1624</v>
      </c>
      <c r="CE3109" s="2" t="s">
        <v>87</v>
      </c>
      <c r="CF3109" s="3">
        <v>43091</v>
      </c>
      <c r="CI3109" s="2">
        <v>1</v>
      </c>
      <c r="CJ3109" s="2">
        <v>1</v>
      </c>
      <c r="CK3109" s="2">
        <v>22</v>
      </c>
      <c r="CL3109" s="2" t="s">
        <v>89</v>
      </c>
    </row>
    <row r="3110" spans="1:90">
      <c r="A3110" s="2" t="s">
        <v>71</v>
      </c>
      <c r="B3110" s="2" t="s">
        <v>72</v>
      </c>
      <c r="C3110" s="2" t="s">
        <v>73</v>
      </c>
      <c r="E3110" s="2" t="str">
        <f>"FES1162597217"</f>
        <v>FES1162597217</v>
      </c>
      <c r="F3110" s="3">
        <v>43089</v>
      </c>
      <c r="G3110" s="2">
        <v>201806</v>
      </c>
      <c r="H3110" s="2" t="s">
        <v>74</v>
      </c>
      <c r="I3110" s="2" t="s">
        <v>75</v>
      </c>
      <c r="J3110" s="2" t="s">
        <v>97</v>
      </c>
      <c r="K3110" s="2" t="s">
        <v>77</v>
      </c>
      <c r="L3110" s="2" t="s">
        <v>106</v>
      </c>
      <c r="M3110" s="2" t="s">
        <v>107</v>
      </c>
      <c r="N3110" s="2" t="s">
        <v>108</v>
      </c>
      <c r="O3110" s="2" t="s">
        <v>101</v>
      </c>
      <c r="P3110" s="2" t="str">
        <f>"217060819                     "</f>
        <v xml:space="preserve">217060819 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5.03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</v>
      </c>
      <c r="BJ3110" s="2">
        <v>0.2</v>
      </c>
      <c r="BK3110" s="2">
        <v>1</v>
      </c>
      <c r="BL3110" s="2">
        <v>35.89</v>
      </c>
      <c r="BM3110" s="2">
        <v>5.0199999999999996</v>
      </c>
      <c r="BN3110" s="2">
        <v>40.909999999999997</v>
      </c>
      <c r="BO3110" s="2">
        <v>40.909999999999997</v>
      </c>
      <c r="BQ3110" s="2" t="s">
        <v>82</v>
      </c>
      <c r="BR3110" s="2" t="s">
        <v>103</v>
      </c>
      <c r="BS3110" s="3">
        <v>43090</v>
      </c>
      <c r="BT3110" s="4">
        <v>0.3888888888888889</v>
      </c>
      <c r="BU3110" s="2" t="s">
        <v>328</v>
      </c>
      <c r="BV3110" s="2" t="s">
        <v>85</v>
      </c>
      <c r="BY3110" s="2">
        <v>1200</v>
      </c>
      <c r="CC3110" s="2" t="s">
        <v>107</v>
      </c>
      <c r="CD3110" s="2">
        <v>2094</v>
      </c>
      <c r="CE3110" s="2" t="s">
        <v>120</v>
      </c>
      <c r="CF3110" s="3">
        <v>43096</v>
      </c>
      <c r="CI3110" s="2">
        <v>1</v>
      </c>
      <c r="CJ3110" s="2">
        <v>1</v>
      </c>
      <c r="CK3110" s="2">
        <v>22</v>
      </c>
      <c r="CL3110" s="2" t="s">
        <v>89</v>
      </c>
    </row>
    <row r="3111" spans="1:90">
      <c r="A3111" s="2" t="s">
        <v>71</v>
      </c>
      <c r="B3111" s="2" t="s">
        <v>72</v>
      </c>
      <c r="C3111" s="2" t="s">
        <v>73</v>
      </c>
      <c r="E3111" s="2" t="str">
        <f>"FES1162597133"</f>
        <v>FES1162597133</v>
      </c>
      <c r="F3111" s="3">
        <v>43089</v>
      </c>
      <c r="G3111" s="2">
        <v>201806</v>
      </c>
      <c r="H3111" s="2" t="s">
        <v>74</v>
      </c>
      <c r="I3111" s="2" t="s">
        <v>75</v>
      </c>
      <c r="J3111" s="2" t="s">
        <v>97</v>
      </c>
      <c r="K3111" s="2" t="s">
        <v>77</v>
      </c>
      <c r="L3111" s="2" t="s">
        <v>74</v>
      </c>
      <c r="M3111" s="2" t="s">
        <v>75</v>
      </c>
      <c r="N3111" s="2" t="s">
        <v>1094</v>
      </c>
      <c r="O3111" s="2" t="s">
        <v>101</v>
      </c>
      <c r="P3111" s="2" t="str">
        <f>"2170605325                    "</f>
        <v xml:space="preserve">2170605325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5.03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</v>
      </c>
      <c r="BJ3111" s="2">
        <v>0.2</v>
      </c>
      <c r="BK3111" s="2">
        <v>1</v>
      </c>
      <c r="BL3111" s="2">
        <v>35.89</v>
      </c>
      <c r="BM3111" s="2">
        <v>5.0199999999999996</v>
      </c>
      <c r="BN3111" s="2">
        <v>40.909999999999997</v>
      </c>
      <c r="BO3111" s="2">
        <v>40.909999999999997</v>
      </c>
      <c r="BQ3111" s="2" t="s">
        <v>1247</v>
      </c>
      <c r="BR3111" s="2" t="s">
        <v>103</v>
      </c>
      <c r="BS3111" s="3">
        <v>43090</v>
      </c>
      <c r="BT3111" s="4">
        <v>0.41666666666666669</v>
      </c>
      <c r="BU3111" s="2" t="s">
        <v>2972</v>
      </c>
      <c r="BV3111" s="2" t="s">
        <v>85</v>
      </c>
      <c r="BY3111" s="2">
        <v>1200</v>
      </c>
      <c r="CC3111" s="2" t="s">
        <v>75</v>
      </c>
      <c r="CD3111" s="2">
        <v>1666</v>
      </c>
      <c r="CE3111" s="2" t="s">
        <v>120</v>
      </c>
      <c r="CF3111" s="3">
        <v>43091</v>
      </c>
      <c r="CI3111" s="2">
        <v>1</v>
      </c>
      <c r="CJ3111" s="2">
        <v>1</v>
      </c>
      <c r="CK3111" s="2">
        <v>22</v>
      </c>
      <c r="CL3111" s="2" t="s">
        <v>89</v>
      </c>
    </row>
    <row r="3112" spans="1:90">
      <c r="A3112" s="2" t="s">
        <v>71</v>
      </c>
      <c r="B3112" s="2" t="s">
        <v>72</v>
      </c>
      <c r="C3112" s="2" t="s">
        <v>73</v>
      </c>
      <c r="E3112" s="2" t="str">
        <f>"FES1162597212"</f>
        <v>FES1162597212</v>
      </c>
      <c r="F3112" s="3">
        <v>43089</v>
      </c>
      <c r="G3112" s="2">
        <v>201806</v>
      </c>
      <c r="H3112" s="2" t="s">
        <v>74</v>
      </c>
      <c r="I3112" s="2" t="s">
        <v>75</v>
      </c>
      <c r="J3112" s="2" t="s">
        <v>97</v>
      </c>
      <c r="K3112" s="2" t="s">
        <v>77</v>
      </c>
      <c r="L3112" s="2" t="s">
        <v>106</v>
      </c>
      <c r="M3112" s="2" t="s">
        <v>107</v>
      </c>
      <c r="N3112" s="2" t="s">
        <v>427</v>
      </c>
      <c r="O3112" s="2" t="s">
        <v>101</v>
      </c>
      <c r="P3112" s="2" t="str">
        <f>"2170607880                    "</f>
        <v xml:space="preserve">2170607880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5.03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1</v>
      </c>
      <c r="BJ3112" s="2">
        <v>0.2</v>
      </c>
      <c r="BK3112" s="2">
        <v>1</v>
      </c>
      <c r="BL3112" s="2">
        <v>35.89</v>
      </c>
      <c r="BM3112" s="2">
        <v>5.0199999999999996</v>
      </c>
      <c r="BN3112" s="2">
        <v>40.909999999999997</v>
      </c>
      <c r="BO3112" s="2">
        <v>40.909999999999997</v>
      </c>
      <c r="BQ3112" s="2" t="s">
        <v>102</v>
      </c>
      <c r="BR3112" s="2" t="s">
        <v>103</v>
      </c>
      <c r="BS3112" s="3">
        <v>43090</v>
      </c>
      <c r="BT3112" s="4">
        <v>0.4375</v>
      </c>
      <c r="BU3112" s="2" t="s">
        <v>428</v>
      </c>
      <c r="BV3112" s="2" t="s">
        <v>85</v>
      </c>
      <c r="BY3112" s="2">
        <v>1200</v>
      </c>
      <c r="CC3112" s="2" t="s">
        <v>107</v>
      </c>
      <c r="CD3112" s="2">
        <v>2091</v>
      </c>
      <c r="CE3112" s="2" t="s">
        <v>120</v>
      </c>
      <c r="CF3112" s="3">
        <v>43096</v>
      </c>
      <c r="CI3112" s="2">
        <v>1</v>
      </c>
      <c r="CJ3112" s="2">
        <v>1</v>
      </c>
      <c r="CK3112" s="2">
        <v>22</v>
      </c>
      <c r="CL3112" s="2" t="s">
        <v>89</v>
      </c>
    </row>
    <row r="3113" spans="1:90">
      <c r="A3113" s="2" t="s">
        <v>71</v>
      </c>
      <c r="B3113" s="2" t="s">
        <v>72</v>
      </c>
      <c r="C3113" s="2" t="s">
        <v>73</v>
      </c>
      <c r="E3113" s="2" t="str">
        <f>"FES1162597220"</f>
        <v>FES1162597220</v>
      </c>
      <c r="F3113" s="3">
        <v>43089</v>
      </c>
      <c r="G3113" s="2">
        <v>201806</v>
      </c>
      <c r="H3113" s="2" t="s">
        <v>74</v>
      </c>
      <c r="I3113" s="2" t="s">
        <v>75</v>
      </c>
      <c r="J3113" s="2" t="s">
        <v>97</v>
      </c>
      <c r="K3113" s="2" t="s">
        <v>77</v>
      </c>
      <c r="L3113" s="2" t="s">
        <v>449</v>
      </c>
      <c r="M3113" s="2" t="s">
        <v>450</v>
      </c>
      <c r="N3113" s="2" t="s">
        <v>961</v>
      </c>
      <c r="O3113" s="2" t="s">
        <v>101</v>
      </c>
      <c r="P3113" s="2" t="str">
        <f>"2170608381                    "</f>
        <v xml:space="preserve">2170608381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5.03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</v>
      </c>
      <c r="BJ3113" s="2">
        <v>0.2</v>
      </c>
      <c r="BK3113" s="2">
        <v>1</v>
      </c>
      <c r="BL3113" s="2">
        <v>35.89</v>
      </c>
      <c r="BM3113" s="2">
        <v>5.0199999999999996</v>
      </c>
      <c r="BN3113" s="2">
        <v>40.909999999999997</v>
      </c>
      <c r="BO3113" s="2">
        <v>40.909999999999997</v>
      </c>
      <c r="BQ3113" s="2" t="s">
        <v>142</v>
      </c>
      <c r="BR3113" s="2" t="s">
        <v>103</v>
      </c>
      <c r="BS3113" s="3">
        <v>43090</v>
      </c>
      <c r="BT3113" s="4">
        <v>0.36458333333333331</v>
      </c>
      <c r="BU3113" s="2" t="s">
        <v>358</v>
      </c>
      <c r="BV3113" s="2" t="s">
        <v>85</v>
      </c>
      <c r="BY3113" s="2">
        <v>1200</v>
      </c>
      <c r="CC3113" s="2" t="s">
        <v>450</v>
      </c>
      <c r="CD3113" s="2">
        <v>1709</v>
      </c>
      <c r="CE3113" s="2" t="s">
        <v>120</v>
      </c>
      <c r="CF3113" s="3">
        <v>43091</v>
      </c>
      <c r="CI3113" s="2">
        <v>1</v>
      </c>
      <c r="CJ3113" s="2">
        <v>1</v>
      </c>
      <c r="CK3113" s="2">
        <v>22</v>
      </c>
      <c r="CL3113" s="2" t="s">
        <v>89</v>
      </c>
    </row>
    <row r="3114" spans="1:90">
      <c r="A3114" s="2" t="s">
        <v>71</v>
      </c>
      <c r="B3114" s="2" t="s">
        <v>72</v>
      </c>
      <c r="C3114" s="2" t="s">
        <v>73</v>
      </c>
      <c r="E3114" s="2" t="str">
        <f>"FES1162597359"</f>
        <v>FES1162597359</v>
      </c>
      <c r="F3114" s="3">
        <v>43089</v>
      </c>
      <c r="G3114" s="2">
        <v>201806</v>
      </c>
      <c r="H3114" s="2" t="s">
        <v>74</v>
      </c>
      <c r="I3114" s="2" t="s">
        <v>75</v>
      </c>
      <c r="J3114" s="2" t="s">
        <v>97</v>
      </c>
      <c r="K3114" s="2" t="s">
        <v>77</v>
      </c>
      <c r="L3114" s="2" t="s">
        <v>173</v>
      </c>
      <c r="M3114" s="2" t="s">
        <v>174</v>
      </c>
      <c r="N3114" s="2" t="s">
        <v>1725</v>
      </c>
      <c r="O3114" s="2" t="s">
        <v>101</v>
      </c>
      <c r="P3114" s="2" t="str">
        <f>"2170608493                    "</f>
        <v xml:space="preserve">2170608493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9.65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2.6</v>
      </c>
      <c r="BJ3114" s="2">
        <v>1.2</v>
      </c>
      <c r="BK3114" s="2">
        <v>3</v>
      </c>
      <c r="BL3114" s="2">
        <v>68.89</v>
      </c>
      <c r="BM3114" s="2">
        <v>9.64</v>
      </c>
      <c r="BN3114" s="2">
        <v>78.53</v>
      </c>
      <c r="BO3114" s="2">
        <v>78.53</v>
      </c>
      <c r="BQ3114" s="2" t="s">
        <v>2973</v>
      </c>
      <c r="BR3114" s="2" t="s">
        <v>103</v>
      </c>
      <c r="BS3114" s="3">
        <v>43090</v>
      </c>
      <c r="BT3114" s="4">
        <v>0.40208333333333335</v>
      </c>
      <c r="BU3114" s="2" t="s">
        <v>2974</v>
      </c>
      <c r="BV3114" s="2" t="s">
        <v>85</v>
      </c>
      <c r="BY3114" s="2">
        <v>5828.48</v>
      </c>
      <c r="CA3114" s="2" t="s">
        <v>1389</v>
      </c>
      <c r="CC3114" s="2" t="s">
        <v>174</v>
      </c>
      <c r="CD3114" s="2">
        <v>7460</v>
      </c>
      <c r="CE3114" s="2" t="s">
        <v>87</v>
      </c>
      <c r="CF3114" s="3">
        <v>43091</v>
      </c>
      <c r="CI3114" s="2">
        <v>1</v>
      </c>
      <c r="CJ3114" s="2">
        <v>1</v>
      </c>
      <c r="CK3114" s="2">
        <v>21</v>
      </c>
      <c r="CL3114" s="2" t="s">
        <v>89</v>
      </c>
    </row>
    <row r="3115" spans="1:90">
      <c r="A3115" s="2" t="s">
        <v>71</v>
      </c>
      <c r="B3115" s="2" t="s">
        <v>72</v>
      </c>
      <c r="C3115" s="2" t="s">
        <v>73</v>
      </c>
      <c r="E3115" s="2" t="str">
        <f>"FES1162597276"</f>
        <v>FES1162597276</v>
      </c>
      <c r="F3115" s="3">
        <v>43089</v>
      </c>
      <c r="G3115" s="2">
        <v>201806</v>
      </c>
      <c r="H3115" s="2" t="s">
        <v>74</v>
      </c>
      <c r="I3115" s="2" t="s">
        <v>75</v>
      </c>
      <c r="J3115" s="2" t="s">
        <v>97</v>
      </c>
      <c r="K3115" s="2" t="s">
        <v>77</v>
      </c>
      <c r="L3115" s="2" t="s">
        <v>152</v>
      </c>
      <c r="M3115" s="2" t="s">
        <v>153</v>
      </c>
      <c r="N3115" s="2" t="s">
        <v>1494</v>
      </c>
      <c r="O3115" s="2" t="s">
        <v>101</v>
      </c>
      <c r="P3115" s="2" t="str">
        <f>"217060209                     "</f>
        <v xml:space="preserve">217060209 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5.03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35.89</v>
      </c>
      <c r="BM3115" s="2">
        <v>5.0199999999999996</v>
      </c>
      <c r="BN3115" s="2">
        <v>40.909999999999997</v>
      </c>
      <c r="BO3115" s="2">
        <v>40.909999999999997</v>
      </c>
      <c r="BQ3115" s="2" t="s">
        <v>1495</v>
      </c>
      <c r="BR3115" s="2" t="s">
        <v>103</v>
      </c>
      <c r="BS3115" s="3">
        <v>43090</v>
      </c>
      <c r="BT3115" s="4">
        <v>0.35416666666666669</v>
      </c>
      <c r="BU3115" s="2" t="s">
        <v>428</v>
      </c>
      <c r="BV3115" s="2" t="s">
        <v>85</v>
      </c>
      <c r="BY3115" s="2">
        <v>1200</v>
      </c>
      <c r="CA3115" s="2" t="s">
        <v>439</v>
      </c>
      <c r="CC3115" s="2" t="s">
        <v>153</v>
      </c>
      <c r="CD3115" s="2">
        <v>1428</v>
      </c>
      <c r="CE3115" s="2" t="s">
        <v>120</v>
      </c>
      <c r="CF3115" s="3">
        <v>43096</v>
      </c>
      <c r="CI3115" s="2">
        <v>1</v>
      </c>
      <c r="CJ3115" s="2">
        <v>1</v>
      </c>
      <c r="CK3115" s="2">
        <v>22</v>
      </c>
      <c r="CL3115" s="2" t="s">
        <v>89</v>
      </c>
    </row>
    <row r="3116" spans="1:90">
      <c r="A3116" s="2" t="s">
        <v>71</v>
      </c>
      <c r="B3116" s="2" t="s">
        <v>72</v>
      </c>
      <c r="C3116" s="2" t="s">
        <v>73</v>
      </c>
      <c r="E3116" s="2" t="str">
        <f>"FES1162597324"</f>
        <v>FES1162597324</v>
      </c>
      <c r="F3116" s="3">
        <v>43089</v>
      </c>
      <c r="G3116" s="2">
        <v>201806</v>
      </c>
      <c r="H3116" s="2" t="s">
        <v>74</v>
      </c>
      <c r="I3116" s="2" t="s">
        <v>75</v>
      </c>
      <c r="J3116" s="2" t="s">
        <v>97</v>
      </c>
      <c r="K3116" s="2" t="s">
        <v>77</v>
      </c>
      <c r="L3116" s="2" t="s">
        <v>136</v>
      </c>
      <c r="M3116" s="2" t="s">
        <v>137</v>
      </c>
      <c r="N3116" s="2" t="s">
        <v>258</v>
      </c>
      <c r="O3116" s="2" t="s">
        <v>101</v>
      </c>
      <c r="P3116" s="2" t="str">
        <f>"2170608641                    "</f>
        <v xml:space="preserve">2170608641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6.43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45.93</v>
      </c>
      <c r="BM3116" s="2">
        <v>6.43</v>
      </c>
      <c r="BN3116" s="2">
        <v>52.36</v>
      </c>
      <c r="BO3116" s="2">
        <v>52.36</v>
      </c>
      <c r="BQ3116" s="2" t="s">
        <v>102</v>
      </c>
      <c r="BR3116" s="2" t="s">
        <v>103</v>
      </c>
      <c r="BS3116" s="3">
        <v>43090</v>
      </c>
      <c r="BT3116" s="4">
        <v>0.26041666666666669</v>
      </c>
      <c r="BU3116" s="2" t="s">
        <v>2904</v>
      </c>
      <c r="BV3116" s="2" t="s">
        <v>85</v>
      </c>
      <c r="BY3116" s="2">
        <v>1200</v>
      </c>
      <c r="CC3116" s="2" t="s">
        <v>137</v>
      </c>
      <c r="CD3116" s="2">
        <v>6001</v>
      </c>
      <c r="CE3116" s="2" t="s">
        <v>120</v>
      </c>
      <c r="CF3116" s="3">
        <v>43096</v>
      </c>
      <c r="CI3116" s="2">
        <v>1</v>
      </c>
      <c r="CJ3116" s="2">
        <v>1</v>
      </c>
      <c r="CK3116" s="2">
        <v>21</v>
      </c>
      <c r="CL3116" s="2" t="s">
        <v>89</v>
      </c>
    </row>
    <row r="3117" spans="1:90">
      <c r="A3117" s="2" t="s">
        <v>612</v>
      </c>
      <c r="B3117" s="2" t="s">
        <v>72</v>
      </c>
      <c r="C3117" s="2" t="s">
        <v>73</v>
      </c>
      <c r="E3117" s="2" t="str">
        <f>"029907969583"</f>
        <v>029907969583</v>
      </c>
      <c r="F3117" s="3">
        <v>43089</v>
      </c>
      <c r="G3117" s="2">
        <v>201806</v>
      </c>
      <c r="H3117" s="2" t="s">
        <v>168</v>
      </c>
      <c r="I3117" s="2" t="s">
        <v>169</v>
      </c>
      <c r="J3117" s="2" t="s">
        <v>170</v>
      </c>
      <c r="K3117" s="2" t="s">
        <v>77</v>
      </c>
      <c r="L3117" s="2" t="s">
        <v>74</v>
      </c>
      <c r="M3117" s="2" t="s">
        <v>75</v>
      </c>
      <c r="N3117" s="2" t="s">
        <v>76</v>
      </c>
      <c r="O3117" s="2" t="s">
        <v>101</v>
      </c>
      <c r="P3117" s="2" t="str">
        <f>"                              "</f>
        <v xml:space="preserve">          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16.079999999999998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5</v>
      </c>
      <c r="BJ3117" s="2">
        <v>3.1</v>
      </c>
      <c r="BK3117" s="2">
        <v>5</v>
      </c>
      <c r="BL3117" s="2">
        <v>114.8</v>
      </c>
      <c r="BM3117" s="2">
        <v>16.07</v>
      </c>
      <c r="BN3117" s="2">
        <v>130.87</v>
      </c>
      <c r="BO3117" s="2">
        <v>130.87</v>
      </c>
      <c r="BR3117" s="2" t="s">
        <v>2975</v>
      </c>
      <c r="BS3117" s="3">
        <v>43090</v>
      </c>
      <c r="BT3117" s="4">
        <v>0.50416666666666665</v>
      </c>
      <c r="BU3117" s="2" t="s">
        <v>373</v>
      </c>
      <c r="BV3117" s="2" t="s">
        <v>89</v>
      </c>
      <c r="BW3117" s="2" t="s">
        <v>156</v>
      </c>
      <c r="BX3117" s="2" t="s">
        <v>157</v>
      </c>
      <c r="BY3117" s="2">
        <v>15428</v>
      </c>
      <c r="BZ3117" s="2" t="s">
        <v>27</v>
      </c>
      <c r="CA3117" s="2" t="s">
        <v>366</v>
      </c>
      <c r="CC3117" s="2" t="s">
        <v>75</v>
      </c>
      <c r="CD3117" s="2">
        <v>1600</v>
      </c>
      <c r="CE3117" s="2" t="s">
        <v>95</v>
      </c>
      <c r="CF3117" s="3">
        <v>43091</v>
      </c>
      <c r="CI3117" s="2">
        <v>1</v>
      </c>
      <c r="CJ3117" s="2">
        <v>1</v>
      </c>
      <c r="CK3117" s="2">
        <v>21</v>
      </c>
      <c r="CL3117" s="2" t="s">
        <v>89</v>
      </c>
    </row>
    <row r="3118" spans="1:90">
      <c r="A3118" s="2" t="s">
        <v>71</v>
      </c>
      <c r="B3118" s="2" t="s">
        <v>72</v>
      </c>
      <c r="C3118" s="2" t="s">
        <v>73</v>
      </c>
      <c r="E3118" s="2" t="str">
        <f>"019911071362"</f>
        <v>019911071362</v>
      </c>
      <c r="F3118" s="3">
        <v>43089</v>
      </c>
      <c r="G3118" s="2">
        <v>201806</v>
      </c>
      <c r="H3118" s="2" t="s">
        <v>173</v>
      </c>
      <c r="I3118" s="2" t="s">
        <v>174</v>
      </c>
      <c r="J3118" s="2" t="s">
        <v>2976</v>
      </c>
      <c r="K3118" s="2" t="s">
        <v>77</v>
      </c>
      <c r="L3118" s="2" t="s">
        <v>74</v>
      </c>
      <c r="M3118" s="2" t="s">
        <v>75</v>
      </c>
      <c r="N3118" s="2" t="s">
        <v>76</v>
      </c>
      <c r="O3118" s="2" t="s">
        <v>101</v>
      </c>
      <c r="P3118" s="2" t="str">
        <f>"                              "</f>
        <v xml:space="preserve">          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6.43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0.6</v>
      </c>
      <c r="BJ3118" s="2">
        <v>1.9</v>
      </c>
      <c r="BK3118" s="2">
        <v>2</v>
      </c>
      <c r="BL3118" s="2">
        <v>45.93</v>
      </c>
      <c r="BM3118" s="2">
        <v>6.43</v>
      </c>
      <c r="BN3118" s="2">
        <v>52.36</v>
      </c>
      <c r="BO3118" s="2">
        <v>52.36</v>
      </c>
      <c r="BQ3118" s="2" t="s">
        <v>364</v>
      </c>
      <c r="BR3118" s="2" t="s">
        <v>364</v>
      </c>
      <c r="BS3118" s="3">
        <v>43090</v>
      </c>
      <c r="BT3118" s="4">
        <v>0.50277777777777777</v>
      </c>
      <c r="BU3118" s="2" t="s">
        <v>373</v>
      </c>
      <c r="BV3118" s="2" t="s">
        <v>89</v>
      </c>
      <c r="BW3118" s="2" t="s">
        <v>156</v>
      </c>
      <c r="BX3118" s="2" t="s">
        <v>157</v>
      </c>
      <c r="BY3118" s="2">
        <v>9582.2999999999993</v>
      </c>
      <c r="BZ3118" s="2" t="s">
        <v>27</v>
      </c>
      <c r="CA3118" s="2" t="s">
        <v>366</v>
      </c>
      <c r="CC3118" s="2" t="s">
        <v>75</v>
      </c>
      <c r="CD3118" s="2">
        <v>1600</v>
      </c>
      <c r="CE3118" s="2" t="s">
        <v>95</v>
      </c>
      <c r="CF3118" s="3">
        <v>43091</v>
      </c>
      <c r="CI3118" s="2">
        <v>1</v>
      </c>
      <c r="CJ3118" s="2">
        <v>1</v>
      </c>
      <c r="CK3118" s="2">
        <v>21</v>
      </c>
      <c r="CL3118" s="2" t="s">
        <v>89</v>
      </c>
    </row>
    <row r="3119" spans="1:90">
      <c r="A3119" s="2" t="s">
        <v>612</v>
      </c>
      <c r="B3119" s="2" t="s">
        <v>72</v>
      </c>
      <c r="C3119" s="2" t="s">
        <v>73</v>
      </c>
      <c r="E3119" s="2" t="str">
        <f>"029907928149"</f>
        <v>029907928149</v>
      </c>
      <c r="F3119" s="3">
        <v>43089</v>
      </c>
      <c r="G3119" s="2">
        <v>201806</v>
      </c>
      <c r="H3119" s="2" t="s">
        <v>759</v>
      </c>
      <c r="I3119" s="2" t="s">
        <v>760</v>
      </c>
      <c r="J3119" s="2" t="s">
        <v>2977</v>
      </c>
      <c r="K3119" s="2" t="s">
        <v>77</v>
      </c>
      <c r="L3119" s="2" t="s">
        <v>74</v>
      </c>
      <c r="M3119" s="2" t="s">
        <v>75</v>
      </c>
      <c r="N3119" s="2" t="s">
        <v>76</v>
      </c>
      <c r="O3119" s="2" t="s">
        <v>101</v>
      </c>
      <c r="P3119" s="2" t="str">
        <f>"                              "</f>
        <v xml:space="preserve">          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6.43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45.93</v>
      </c>
      <c r="BM3119" s="2">
        <v>6.43</v>
      </c>
      <c r="BN3119" s="2">
        <v>52.36</v>
      </c>
      <c r="BO3119" s="2">
        <v>52.36</v>
      </c>
      <c r="BR3119" s="2" t="s">
        <v>2859</v>
      </c>
      <c r="BS3119" s="3">
        <v>43090</v>
      </c>
      <c r="BT3119" s="4">
        <v>0.50208333333333333</v>
      </c>
      <c r="BU3119" s="2" t="s">
        <v>375</v>
      </c>
      <c r="BV3119" s="2" t="s">
        <v>89</v>
      </c>
      <c r="BW3119" s="2" t="s">
        <v>156</v>
      </c>
      <c r="BX3119" s="2" t="s">
        <v>157</v>
      </c>
      <c r="BY3119" s="2">
        <v>1200</v>
      </c>
      <c r="BZ3119" s="2" t="s">
        <v>27</v>
      </c>
      <c r="CA3119" s="2" t="s">
        <v>366</v>
      </c>
      <c r="CC3119" s="2" t="s">
        <v>75</v>
      </c>
      <c r="CD3119" s="2">
        <v>1600</v>
      </c>
      <c r="CE3119" s="2" t="s">
        <v>95</v>
      </c>
      <c r="CF3119" s="3">
        <v>43091</v>
      </c>
      <c r="CI3119" s="2">
        <v>1</v>
      </c>
      <c r="CJ3119" s="2">
        <v>1</v>
      </c>
      <c r="CK3119" s="2">
        <v>21</v>
      </c>
      <c r="CL3119" s="2" t="s">
        <v>89</v>
      </c>
    </row>
    <row r="3120" spans="1:90">
      <c r="A3120" s="2" t="s">
        <v>71</v>
      </c>
      <c r="B3120" s="2" t="s">
        <v>72</v>
      </c>
      <c r="C3120" s="2" t="s">
        <v>73</v>
      </c>
      <c r="E3120" s="2" t="str">
        <f>"009937182093"</f>
        <v>009937182093</v>
      </c>
      <c r="F3120" s="3">
        <v>43089</v>
      </c>
      <c r="G3120" s="2">
        <v>201806</v>
      </c>
      <c r="H3120" s="2" t="s">
        <v>106</v>
      </c>
      <c r="I3120" s="2" t="s">
        <v>107</v>
      </c>
      <c r="J3120" s="2" t="s">
        <v>2978</v>
      </c>
      <c r="K3120" s="2" t="s">
        <v>77</v>
      </c>
      <c r="L3120" s="2" t="s">
        <v>74</v>
      </c>
      <c r="M3120" s="2" t="s">
        <v>75</v>
      </c>
      <c r="N3120" s="2" t="s">
        <v>76</v>
      </c>
      <c r="O3120" s="2" t="s">
        <v>101</v>
      </c>
      <c r="P3120" s="2" t="str">
        <f>"                              "</f>
        <v xml:space="preserve">          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5.03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1.4</v>
      </c>
      <c r="BJ3120" s="2">
        <v>3.7</v>
      </c>
      <c r="BK3120" s="2">
        <v>4</v>
      </c>
      <c r="BL3120" s="2">
        <v>35.89</v>
      </c>
      <c r="BM3120" s="2">
        <v>5.0199999999999996</v>
      </c>
      <c r="BN3120" s="2">
        <v>40.909999999999997</v>
      </c>
      <c r="BO3120" s="2">
        <v>40.909999999999997</v>
      </c>
      <c r="BQ3120" s="2" t="s">
        <v>774</v>
      </c>
      <c r="BR3120" s="2" t="s">
        <v>2979</v>
      </c>
      <c r="BS3120" s="3">
        <v>43090</v>
      </c>
      <c r="BT3120" s="4">
        <v>0.46875</v>
      </c>
      <c r="BU3120" s="2" t="s">
        <v>1724</v>
      </c>
      <c r="BV3120" s="2" t="s">
        <v>89</v>
      </c>
      <c r="BY3120" s="2">
        <v>18676.349999999999</v>
      </c>
      <c r="BZ3120" s="2" t="s">
        <v>27</v>
      </c>
      <c r="CC3120" s="2" t="s">
        <v>75</v>
      </c>
      <c r="CD3120" s="2">
        <v>1600</v>
      </c>
      <c r="CE3120" s="2" t="s">
        <v>95</v>
      </c>
      <c r="CF3120" s="3">
        <v>43091</v>
      </c>
      <c r="CI3120" s="2">
        <v>1</v>
      </c>
      <c r="CJ3120" s="2">
        <v>1</v>
      </c>
      <c r="CK3120" s="2">
        <v>22</v>
      </c>
      <c r="CL3120" s="2" t="s">
        <v>89</v>
      </c>
    </row>
    <row r="3121" spans="1:90">
      <c r="A3121" s="2" t="s">
        <v>71</v>
      </c>
      <c r="B3121" s="2" t="s">
        <v>72</v>
      </c>
      <c r="C3121" s="2" t="s">
        <v>73</v>
      </c>
      <c r="E3121" s="2" t="str">
        <f>"FES1162596099"</f>
        <v>FES1162596099</v>
      </c>
      <c r="F3121" s="3">
        <v>43083</v>
      </c>
      <c r="G3121" s="2">
        <v>201806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136</v>
      </c>
      <c r="M3121" s="2" t="s">
        <v>137</v>
      </c>
      <c r="N3121" s="2" t="s">
        <v>138</v>
      </c>
      <c r="O3121" s="2" t="s">
        <v>81</v>
      </c>
      <c r="P3121" s="2" t="str">
        <f>"217060363                     "</f>
        <v xml:space="preserve">217060363 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17.68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8.5</v>
      </c>
      <c r="BJ3121" s="2">
        <v>22.7</v>
      </c>
      <c r="BK3121" s="2">
        <v>23</v>
      </c>
      <c r="BL3121" s="2">
        <v>131.22</v>
      </c>
      <c r="BM3121" s="2">
        <v>18.37</v>
      </c>
      <c r="BN3121" s="2">
        <v>149.59</v>
      </c>
      <c r="BO3121" s="2">
        <v>149.59</v>
      </c>
      <c r="BQ3121" s="2" t="s">
        <v>82</v>
      </c>
      <c r="BR3121" s="2" t="s">
        <v>83</v>
      </c>
      <c r="BS3121" s="3">
        <v>43084</v>
      </c>
      <c r="BT3121" s="4">
        <v>0.375</v>
      </c>
      <c r="BU3121" s="2" t="s">
        <v>139</v>
      </c>
      <c r="BV3121" s="2" t="s">
        <v>85</v>
      </c>
      <c r="BY3121" s="2">
        <v>113380.34</v>
      </c>
      <c r="CA3121" s="2" t="s">
        <v>140</v>
      </c>
      <c r="CC3121" s="2" t="s">
        <v>137</v>
      </c>
      <c r="CD3121" s="2">
        <v>6001</v>
      </c>
      <c r="CE3121" s="2" t="s">
        <v>87</v>
      </c>
      <c r="CF3121" s="3">
        <v>43088</v>
      </c>
      <c r="CI3121" s="2">
        <v>2</v>
      </c>
      <c r="CJ3121" s="2">
        <v>1</v>
      </c>
      <c r="CK3121" s="2" t="s">
        <v>271</v>
      </c>
      <c r="CL3121" s="2" t="s">
        <v>89</v>
      </c>
    </row>
    <row r="3122" spans="1:90">
      <c r="A3122" s="2" t="s">
        <v>71</v>
      </c>
      <c r="B3122" s="2" t="s">
        <v>72</v>
      </c>
      <c r="C3122" s="2" t="s">
        <v>73</v>
      </c>
      <c r="E3122" s="2" t="str">
        <f>"FES1162595959"</f>
        <v>FES1162595959</v>
      </c>
      <c r="F3122" s="3">
        <v>43083</v>
      </c>
      <c r="G3122" s="2">
        <v>201806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98</v>
      </c>
      <c r="M3122" s="2" t="s">
        <v>99</v>
      </c>
      <c r="N3122" s="2" t="s">
        <v>795</v>
      </c>
      <c r="O3122" s="2" t="s">
        <v>81</v>
      </c>
      <c r="P3122" s="2" t="str">
        <f>"21706059681                   "</f>
        <v xml:space="preserve">21706059681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16.21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20.3</v>
      </c>
      <c r="BJ3122" s="2">
        <v>13.4</v>
      </c>
      <c r="BK3122" s="2">
        <v>21</v>
      </c>
      <c r="BL3122" s="2">
        <v>120.7</v>
      </c>
      <c r="BM3122" s="2">
        <v>16.899999999999999</v>
      </c>
      <c r="BN3122" s="2">
        <v>137.6</v>
      </c>
      <c r="BO3122" s="2">
        <v>137.6</v>
      </c>
      <c r="BQ3122" s="2" t="s">
        <v>82</v>
      </c>
      <c r="BR3122" s="2" t="s">
        <v>83</v>
      </c>
      <c r="BS3122" s="2" t="s">
        <v>185</v>
      </c>
      <c r="BY3122" s="2">
        <v>67097.81</v>
      </c>
      <c r="CC3122" s="2" t="s">
        <v>99</v>
      </c>
      <c r="CD3122" s="2">
        <v>3201</v>
      </c>
      <c r="CE3122" s="2" t="s">
        <v>87</v>
      </c>
      <c r="CI3122" s="2">
        <v>1</v>
      </c>
      <c r="CJ3122" s="2" t="s">
        <v>185</v>
      </c>
      <c r="CK3122" s="2" t="s">
        <v>2626</v>
      </c>
      <c r="CL3122" s="2" t="s">
        <v>89</v>
      </c>
    </row>
    <row r="3123" spans="1:90">
      <c r="A3123" s="2" t="s">
        <v>71</v>
      </c>
      <c r="B3123" s="2" t="s">
        <v>72</v>
      </c>
      <c r="C3123" s="2" t="s">
        <v>73</v>
      </c>
      <c r="E3123" s="2" t="str">
        <f>"FES1162595729"</f>
        <v>FES1162595729</v>
      </c>
      <c r="F3123" s="3">
        <v>43082</v>
      </c>
      <c r="G3123" s="2">
        <v>201806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136</v>
      </c>
      <c r="M3123" s="2" t="s">
        <v>137</v>
      </c>
      <c r="N3123" s="2" t="s">
        <v>138</v>
      </c>
      <c r="O3123" s="2" t="s">
        <v>81</v>
      </c>
      <c r="P3123" s="2" t="str">
        <f>"2170600762                    "</f>
        <v xml:space="preserve">2170600762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20.5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2</v>
      </c>
      <c r="BI3123" s="2">
        <v>9.8000000000000007</v>
      </c>
      <c r="BJ3123" s="2">
        <v>27.9</v>
      </c>
      <c r="BK3123" s="2">
        <v>28</v>
      </c>
      <c r="BL3123" s="2">
        <v>151.34</v>
      </c>
      <c r="BM3123" s="2">
        <v>21.19</v>
      </c>
      <c r="BN3123" s="2">
        <v>172.53</v>
      </c>
      <c r="BO3123" s="2">
        <v>172.53</v>
      </c>
      <c r="BQ3123" s="2" t="s">
        <v>82</v>
      </c>
      <c r="BR3123" s="2" t="s">
        <v>83</v>
      </c>
      <c r="BS3123" s="3">
        <v>43083</v>
      </c>
      <c r="BT3123" s="4">
        <v>0.41666666666666669</v>
      </c>
      <c r="BU3123" s="2" t="s">
        <v>139</v>
      </c>
      <c r="BV3123" s="2" t="s">
        <v>85</v>
      </c>
      <c r="BY3123" s="2">
        <v>139253.67000000001</v>
      </c>
      <c r="CA3123" s="2" t="s">
        <v>140</v>
      </c>
      <c r="CC3123" s="2" t="s">
        <v>137</v>
      </c>
      <c r="CD3123" s="2">
        <v>6001</v>
      </c>
      <c r="CE3123" s="2" t="s">
        <v>95</v>
      </c>
      <c r="CF3123" s="3">
        <v>43084</v>
      </c>
      <c r="CI3123" s="2">
        <v>2</v>
      </c>
      <c r="CJ3123" s="2">
        <v>1</v>
      </c>
      <c r="CK3123" s="2" t="s">
        <v>271</v>
      </c>
      <c r="CL3123" s="2" t="s">
        <v>89</v>
      </c>
    </row>
    <row r="3124" spans="1:90">
      <c r="A3124" s="2" t="s">
        <v>71</v>
      </c>
      <c r="B3124" s="2" t="s">
        <v>72</v>
      </c>
      <c r="C3124" s="2" t="s">
        <v>73</v>
      </c>
      <c r="E3124" s="2" t="str">
        <f>"FES1162595471"</f>
        <v>FES1162595471</v>
      </c>
      <c r="F3124" s="3">
        <v>43081</v>
      </c>
      <c r="G3124" s="2">
        <v>201806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860</v>
      </c>
      <c r="M3124" s="2" t="s">
        <v>861</v>
      </c>
      <c r="N3124" s="2" t="s">
        <v>2147</v>
      </c>
      <c r="O3124" s="2" t="s">
        <v>81</v>
      </c>
      <c r="P3124" s="2" t="str">
        <f>"2170607341                    "</f>
        <v xml:space="preserve">2170607341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22.19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12.6</v>
      </c>
      <c r="BJ3124" s="2">
        <v>31.1</v>
      </c>
      <c r="BK3124" s="2">
        <v>31</v>
      </c>
      <c r="BL3124" s="2">
        <v>163.41</v>
      </c>
      <c r="BM3124" s="2">
        <v>22.88</v>
      </c>
      <c r="BN3124" s="2">
        <v>186.29</v>
      </c>
      <c r="BO3124" s="2">
        <v>186.29</v>
      </c>
      <c r="BQ3124" s="2" t="s">
        <v>863</v>
      </c>
      <c r="BR3124" s="2" t="s">
        <v>83</v>
      </c>
      <c r="BS3124" s="3">
        <v>43083</v>
      </c>
      <c r="BT3124" s="4">
        <v>0.41666666666666669</v>
      </c>
      <c r="BU3124" s="2" t="s">
        <v>2148</v>
      </c>
      <c r="BV3124" s="2" t="s">
        <v>85</v>
      </c>
      <c r="BY3124" s="2">
        <v>155252.16</v>
      </c>
      <c r="CA3124" s="2" t="s">
        <v>2149</v>
      </c>
      <c r="CC3124" s="2" t="s">
        <v>861</v>
      </c>
      <c r="CD3124" s="2">
        <v>7140</v>
      </c>
      <c r="CE3124" s="2" t="s">
        <v>95</v>
      </c>
      <c r="CF3124" s="3">
        <v>43084</v>
      </c>
      <c r="CI3124" s="2">
        <v>2</v>
      </c>
      <c r="CJ3124" s="2">
        <v>2</v>
      </c>
      <c r="CK3124" s="2" t="s">
        <v>271</v>
      </c>
      <c r="CL3124" s="2" t="s">
        <v>89</v>
      </c>
    </row>
    <row r="3125" spans="1:90">
      <c r="A3125" s="2" t="s">
        <v>71</v>
      </c>
      <c r="B3125" s="2" t="s">
        <v>72</v>
      </c>
      <c r="C3125" s="2" t="s">
        <v>73</v>
      </c>
      <c r="E3125" s="2" t="str">
        <f>"FES1162595017"</f>
        <v>FES1162595017</v>
      </c>
      <c r="F3125" s="3">
        <v>43080</v>
      </c>
      <c r="G3125" s="2">
        <v>201806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1085</v>
      </c>
      <c r="M3125" s="2" t="s">
        <v>174</v>
      </c>
      <c r="N3125" s="2" t="s">
        <v>323</v>
      </c>
      <c r="O3125" s="2" t="s">
        <v>81</v>
      </c>
      <c r="P3125" s="2" t="str">
        <f>"2170601451                    "</f>
        <v xml:space="preserve">2170601451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18.809999999999999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15.7</v>
      </c>
      <c r="BJ3125" s="2">
        <v>24.8</v>
      </c>
      <c r="BK3125" s="2">
        <v>25</v>
      </c>
      <c r="BL3125" s="2">
        <v>139.27000000000001</v>
      </c>
      <c r="BM3125" s="2">
        <v>19.5</v>
      </c>
      <c r="BN3125" s="2">
        <v>158.77000000000001</v>
      </c>
      <c r="BO3125" s="2">
        <v>158.77000000000001</v>
      </c>
      <c r="BQ3125" s="2" t="s">
        <v>82</v>
      </c>
      <c r="BR3125" s="2" t="s">
        <v>83</v>
      </c>
      <c r="BS3125" s="3">
        <v>43081</v>
      </c>
      <c r="BT3125" s="4">
        <v>0.41666666666666669</v>
      </c>
      <c r="BU3125" s="2" t="s">
        <v>324</v>
      </c>
      <c r="BV3125" s="2" t="s">
        <v>85</v>
      </c>
      <c r="BY3125" s="2">
        <v>124225.92</v>
      </c>
      <c r="CA3125" s="2" t="s">
        <v>177</v>
      </c>
      <c r="CC3125" s="2" t="s">
        <v>174</v>
      </c>
      <c r="CD3125" s="2">
        <v>7405</v>
      </c>
      <c r="CE3125" s="2" t="s">
        <v>95</v>
      </c>
      <c r="CF3125" s="3">
        <v>43082</v>
      </c>
      <c r="CI3125" s="2">
        <v>2</v>
      </c>
      <c r="CJ3125" s="2">
        <v>1</v>
      </c>
      <c r="CK3125" s="2" t="s">
        <v>271</v>
      </c>
      <c r="CL3125" s="2" t="s">
        <v>89</v>
      </c>
    </row>
    <row r="3126" spans="1:90">
      <c r="A3126" s="2" t="s">
        <v>71</v>
      </c>
      <c r="B3126" s="2" t="s">
        <v>72</v>
      </c>
      <c r="C3126" s="2" t="s">
        <v>73</v>
      </c>
      <c r="E3126" s="2" t="str">
        <f>"FES1162595323"</f>
        <v>FES1162595323</v>
      </c>
      <c r="F3126" s="3">
        <v>43081</v>
      </c>
      <c r="G3126" s="2">
        <v>201806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136</v>
      </c>
      <c r="M3126" s="2" t="s">
        <v>137</v>
      </c>
      <c r="N3126" s="2" t="s">
        <v>138</v>
      </c>
      <c r="O3126" s="2" t="s">
        <v>81</v>
      </c>
      <c r="P3126" s="2" t="str">
        <f>"2170607194                    "</f>
        <v xml:space="preserve">2170607194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22.75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24.7</v>
      </c>
      <c r="BJ3126" s="2">
        <v>31.7</v>
      </c>
      <c r="BK3126" s="2">
        <v>32</v>
      </c>
      <c r="BL3126" s="2">
        <v>167.43</v>
      </c>
      <c r="BM3126" s="2">
        <v>23.44</v>
      </c>
      <c r="BN3126" s="2">
        <v>190.87</v>
      </c>
      <c r="BO3126" s="2">
        <v>190.87</v>
      </c>
      <c r="BQ3126" s="2" t="s">
        <v>82</v>
      </c>
      <c r="BR3126" s="2" t="s">
        <v>83</v>
      </c>
      <c r="BS3126" s="3">
        <v>43082</v>
      </c>
      <c r="BT3126" s="4">
        <v>0.35416666666666669</v>
      </c>
      <c r="BU3126" s="2" t="s">
        <v>139</v>
      </c>
      <c r="BV3126" s="2" t="s">
        <v>85</v>
      </c>
      <c r="BY3126" s="2">
        <v>158682.16</v>
      </c>
      <c r="CA3126" s="2" t="s">
        <v>140</v>
      </c>
      <c r="CC3126" s="2" t="s">
        <v>137</v>
      </c>
      <c r="CD3126" s="2">
        <v>6001</v>
      </c>
      <c r="CE3126" s="2" t="s">
        <v>288</v>
      </c>
      <c r="CF3126" s="3">
        <v>43084</v>
      </c>
      <c r="CI3126" s="2">
        <v>2</v>
      </c>
      <c r="CJ3126" s="2">
        <v>1</v>
      </c>
      <c r="CK3126" s="2" t="s">
        <v>271</v>
      </c>
      <c r="CL3126" s="2" t="s">
        <v>89</v>
      </c>
    </row>
    <row r="3127" spans="1:90">
      <c r="A3127" s="2" t="s">
        <v>71</v>
      </c>
      <c r="B3127" s="2" t="s">
        <v>72</v>
      </c>
      <c r="C3127" s="2" t="s">
        <v>73</v>
      </c>
      <c r="E3127" s="2" t="str">
        <f>"FES1162595062"</f>
        <v>FES1162595062</v>
      </c>
      <c r="F3127" s="3">
        <v>43080</v>
      </c>
      <c r="G3127" s="2">
        <v>201806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136</v>
      </c>
      <c r="M3127" s="2" t="s">
        <v>137</v>
      </c>
      <c r="N3127" s="2" t="s">
        <v>178</v>
      </c>
      <c r="O3127" s="2" t="s">
        <v>81</v>
      </c>
      <c r="P3127" s="2" t="str">
        <f>"217060985                     "</f>
        <v xml:space="preserve">217060985 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19.940000000000001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27</v>
      </c>
      <c r="BJ3127" s="2">
        <v>18.3</v>
      </c>
      <c r="BK3127" s="2">
        <v>27</v>
      </c>
      <c r="BL3127" s="2">
        <v>147.32</v>
      </c>
      <c r="BM3127" s="2">
        <v>20.62</v>
      </c>
      <c r="BN3127" s="2">
        <v>167.94</v>
      </c>
      <c r="BO3127" s="2">
        <v>167.94</v>
      </c>
      <c r="BQ3127" s="2" t="s">
        <v>82</v>
      </c>
      <c r="BR3127" s="2" t="s">
        <v>83</v>
      </c>
      <c r="BS3127" s="3">
        <v>43081</v>
      </c>
      <c r="BT3127" s="4">
        <v>0.32083333333333336</v>
      </c>
      <c r="BU3127" s="2" t="s">
        <v>348</v>
      </c>
      <c r="BV3127" s="2" t="s">
        <v>85</v>
      </c>
      <c r="BY3127" s="2">
        <v>91264</v>
      </c>
      <c r="CA3127" s="2" t="s">
        <v>180</v>
      </c>
      <c r="CC3127" s="2" t="s">
        <v>137</v>
      </c>
      <c r="CD3127" s="2">
        <v>6001</v>
      </c>
      <c r="CE3127" s="2" t="s">
        <v>95</v>
      </c>
      <c r="CF3127" s="3">
        <v>43083</v>
      </c>
      <c r="CI3127" s="2">
        <v>2</v>
      </c>
      <c r="CJ3127" s="2">
        <v>1</v>
      </c>
      <c r="CK3127" s="2" t="s">
        <v>271</v>
      </c>
      <c r="CL3127" s="2" t="s">
        <v>89</v>
      </c>
    </row>
    <row r="3128" spans="1:90">
      <c r="A3128" s="2" t="s">
        <v>71</v>
      </c>
      <c r="B3128" s="2" t="s">
        <v>72</v>
      </c>
      <c r="C3128" s="2" t="s">
        <v>73</v>
      </c>
      <c r="E3128" s="2" t="str">
        <f>"FES1162594150"</f>
        <v>FES1162594150</v>
      </c>
      <c r="F3128" s="3">
        <v>43075</v>
      </c>
      <c r="G3128" s="2">
        <v>201806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78</v>
      </c>
      <c r="M3128" s="2" t="s">
        <v>79</v>
      </c>
      <c r="N3128" s="2" t="s">
        <v>475</v>
      </c>
      <c r="O3128" s="2" t="s">
        <v>81</v>
      </c>
      <c r="P3128" s="2" t="str">
        <f>"2170603377                    "</f>
        <v xml:space="preserve">2170603377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12.06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7</v>
      </c>
      <c r="BJ3128" s="2">
        <v>3.8</v>
      </c>
      <c r="BK3128" s="2">
        <v>7</v>
      </c>
      <c r="BL3128" s="2">
        <v>91.12</v>
      </c>
      <c r="BM3128" s="2">
        <v>12.76</v>
      </c>
      <c r="BN3128" s="2">
        <v>103.88</v>
      </c>
      <c r="BO3128" s="2">
        <v>103.88</v>
      </c>
      <c r="BQ3128" s="2" t="s">
        <v>476</v>
      </c>
      <c r="BR3128" s="2" t="s">
        <v>83</v>
      </c>
      <c r="BS3128" s="3">
        <v>43076</v>
      </c>
      <c r="BT3128" s="4">
        <v>0.56527777777777777</v>
      </c>
      <c r="BU3128" s="2" t="s">
        <v>2980</v>
      </c>
      <c r="BV3128" s="2" t="s">
        <v>85</v>
      </c>
      <c r="BY3128" s="2">
        <v>19136</v>
      </c>
      <c r="CA3128" s="2" t="s">
        <v>86</v>
      </c>
      <c r="CC3128" s="2" t="s">
        <v>79</v>
      </c>
      <c r="CD3128" s="2">
        <v>1947</v>
      </c>
      <c r="CE3128" s="2" t="s">
        <v>87</v>
      </c>
      <c r="CF3128" s="3">
        <v>43080</v>
      </c>
      <c r="CI3128" s="2">
        <v>1</v>
      </c>
      <c r="CJ3128" s="2">
        <v>1</v>
      </c>
      <c r="CK3128" s="2" t="s">
        <v>88</v>
      </c>
      <c r="CL3128" s="2" t="s">
        <v>89</v>
      </c>
    </row>
    <row r="3129" spans="1:90">
      <c r="A3129" s="2" t="s">
        <v>71</v>
      </c>
      <c r="B3129" s="2" t="s">
        <v>72</v>
      </c>
      <c r="C3129" s="2" t="s">
        <v>73</v>
      </c>
      <c r="E3129" s="2" t="str">
        <f>"FES1162593982"</f>
        <v>FES1162593982</v>
      </c>
      <c r="F3129" s="3">
        <v>43074</v>
      </c>
      <c r="G3129" s="2">
        <v>201806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212</v>
      </c>
      <c r="M3129" s="2" t="s">
        <v>212</v>
      </c>
      <c r="N3129" s="2" t="s">
        <v>2981</v>
      </c>
      <c r="O3129" s="2" t="s">
        <v>81</v>
      </c>
      <c r="P3129" s="2" t="str">
        <f>"2170601830                    "</f>
        <v xml:space="preserve">2170601830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15.52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14.9</v>
      </c>
      <c r="BJ3129" s="2">
        <v>22.8</v>
      </c>
      <c r="BK3129" s="2">
        <v>23</v>
      </c>
      <c r="BL3129" s="2">
        <v>129.06</v>
      </c>
      <c r="BM3129" s="2">
        <v>18.07</v>
      </c>
      <c r="BN3129" s="2">
        <v>147.13</v>
      </c>
      <c r="BO3129" s="2">
        <v>147.13</v>
      </c>
      <c r="BR3129" s="2" t="s">
        <v>83</v>
      </c>
      <c r="BS3129" s="3">
        <v>43075</v>
      </c>
      <c r="BT3129" s="4">
        <v>0.54166666666666663</v>
      </c>
      <c r="BU3129" s="2" t="s">
        <v>2982</v>
      </c>
      <c r="BV3129" s="2" t="s">
        <v>85</v>
      </c>
      <c r="BY3129" s="2">
        <v>114061.96</v>
      </c>
      <c r="CA3129" s="2" t="s">
        <v>1108</v>
      </c>
      <c r="CC3129" s="2" t="s">
        <v>212</v>
      </c>
      <c r="CD3129" s="2">
        <v>7646</v>
      </c>
      <c r="CE3129" s="2" t="s">
        <v>87</v>
      </c>
      <c r="CF3129" s="3">
        <v>43075</v>
      </c>
      <c r="CI3129" s="2">
        <v>2</v>
      </c>
      <c r="CJ3129" s="2">
        <v>1</v>
      </c>
      <c r="CK3129" s="2" t="s">
        <v>271</v>
      </c>
      <c r="CL3129" s="2" t="s">
        <v>89</v>
      </c>
    </row>
    <row r="3130" spans="1:90">
      <c r="A3130" s="2" t="s">
        <v>71</v>
      </c>
      <c r="B3130" s="2" t="s">
        <v>72</v>
      </c>
      <c r="C3130" s="2" t="s">
        <v>73</v>
      </c>
      <c r="E3130" s="2" t="str">
        <f>"FES1162593966"</f>
        <v>FES1162593966</v>
      </c>
      <c r="F3130" s="3">
        <v>43074</v>
      </c>
      <c r="G3130" s="2">
        <v>201806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145</v>
      </c>
      <c r="M3130" s="2" t="s">
        <v>146</v>
      </c>
      <c r="N3130" s="2" t="s">
        <v>2983</v>
      </c>
      <c r="O3130" s="2" t="s">
        <v>81</v>
      </c>
      <c r="P3130" s="2" t="str">
        <f>"21706092675                   "</f>
        <v xml:space="preserve">21706092675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15.03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10.7</v>
      </c>
      <c r="BJ3130" s="2">
        <v>22.1</v>
      </c>
      <c r="BK3130" s="2">
        <v>22</v>
      </c>
      <c r="BL3130" s="2">
        <v>125.11</v>
      </c>
      <c r="BM3130" s="2">
        <v>17.52</v>
      </c>
      <c r="BN3130" s="2">
        <v>142.63</v>
      </c>
      <c r="BO3130" s="2">
        <v>142.63</v>
      </c>
      <c r="BQ3130" s="2" t="s">
        <v>187</v>
      </c>
      <c r="BR3130" s="2" t="s">
        <v>83</v>
      </c>
      <c r="BS3130" s="3">
        <v>43075</v>
      </c>
      <c r="BT3130" s="4">
        <v>0.39097222222222222</v>
      </c>
      <c r="BU3130" s="2" t="s">
        <v>2984</v>
      </c>
      <c r="BV3130" s="2" t="s">
        <v>85</v>
      </c>
      <c r="BY3130" s="2">
        <v>110440.18</v>
      </c>
      <c r="CA3130" s="2" t="s">
        <v>629</v>
      </c>
      <c r="CC3130" s="2" t="s">
        <v>146</v>
      </c>
      <c r="CD3130" s="2">
        <v>5201</v>
      </c>
      <c r="CE3130" s="2" t="s">
        <v>87</v>
      </c>
      <c r="CF3130" s="3">
        <v>43076</v>
      </c>
      <c r="CI3130" s="2">
        <v>2</v>
      </c>
      <c r="CJ3130" s="2">
        <v>1</v>
      </c>
      <c r="CK3130" s="2" t="s">
        <v>2649</v>
      </c>
      <c r="CL3130" s="2" t="s">
        <v>89</v>
      </c>
    </row>
    <row r="3131" spans="1:90">
      <c r="A3131" s="2" t="s">
        <v>71</v>
      </c>
      <c r="B3131" s="2" t="s">
        <v>72</v>
      </c>
      <c r="C3131" s="2" t="s">
        <v>73</v>
      </c>
      <c r="E3131" s="2" t="str">
        <f>"FES1162592937"</f>
        <v>FES1162592937</v>
      </c>
      <c r="F3131" s="3">
        <v>43070</v>
      </c>
      <c r="G3131" s="2">
        <v>201806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277</v>
      </c>
      <c r="M3131" s="2" t="s">
        <v>278</v>
      </c>
      <c r="N3131" s="2" t="s">
        <v>2985</v>
      </c>
      <c r="O3131" s="2" t="s">
        <v>81</v>
      </c>
      <c r="P3131" s="2" t="str">
        <f>"217059874                     "</f>
        <v xml:space="preserve">217059874 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9.27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19.399999999999999</v>
      </c>
      <c r="BJ3131" s="2">
        <v>9.9</v>
      </c>
      <c r="BK3131" s="2">
        <v>20</v>
      </c>
      <c r="BL3131" s="2">
        <v>79.12</v>
      </c>
      <c r="BM3131" s="2">
        <v>11.08</v>
      </c>
      <c r="BN3131" s="2">
        <v>90.2</v>
      </c>
      <c r="BO3131" s="2">
        <v>90.2</v>
      </c>
      <c r="BR3131" s="2" t="s">
        <v>83</v>
      </c>
      <c r="BS3131" s="3">
        <v>43080</v>
      </c>
      <c r="BT3131" s="4">
        <v>0.41666666666666669</v>
      </c>
      <c r="BU3131" s="2" t="s">
        <v>2986</v>
      </c>
      <c r="BV3131" s="2" t="s">
        <v>89</v>
      </c>
      <c r="BW3131" s="2" t="s">
        <v>437</v>
      </c>
      <c r="BX3131" s="2" t="s">
        <v>438</v>
      </c>
      <c r="BY3131" s="2">
        <v>49310.09</v>
      </c>
      <c r="CC3131" s="2" t="s">
        <v>278</v>
      </c>
      <c r="CD3131" s="2">
        <v>2156</v>
      </c>
      <c r="CE3131" s="2" t="s">
        <v>87</v>
      </c>
      <c r="CF3131" s="3">
        <v>43089</v>
      </c>
      <c r="CI3131" s="2">
        <v>1</v>
      </c>
      <c r="CJ3131" s="2">
        <v>6</v>
      </c>
      <c r="CK3131" s="2" t="s">
        <v>96</v>
      </c>
      <c r="CL3131" s="2" t="s">
        <v>89</v>
      </c>
    </row>
    <row r="3132" spans="1:90">
      <c r="A3132" s="2" t="s">
        <v>71</v>
      </c>
      <c r="B3132" s="2" t="s">
        <v>72</v>
      </c>
      <c r="C3132" s="2" t="s">
        <v>73</v>
      </c>
      <c r="E3132" s="2" t="str">
        <f>"FES1162593965"</f>
        <v>FES1162593965</v>
      </c>
      <c r="F3132" s="3">
        <v>43074</v>
      </c>
      <c r="G3132" s="2">
        <v>201806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136</v>
      </c>
      <c r="M3132" s="2" t="s">
        <v>137</v>
      </c>
      <c r="N3132" s="2" t="s">
        <v>138</v>
      </c>
      <c r="O3132" s="2" t="s">
        <v>81</v>
      </c>
      <c r="P3132" s="2" t="str">
        <f>"21706049721                   "</f>
        <v xml:space="preserve">21706049721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25.91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2</v>
      </c>
      <c r="BI3132" s="2">
        <v>18.100000000000001</v>
      </c>
      <c r="BJ3132" s="2">
        <v>44</v>
      </c>
      <c r="BK3132" s="2">
        <v>44</v>
      </c>
      <c r="BL3132" s="2">
        <v>212.11</v>
      </c>
      <c r="BM3132" s="2">
        <v>29.7</v>
      </c>
      <c r="BN3132" s="2">
        <v>241.81</v>
      </c>
      <c r="BO3132" s="2">
        <v>241.81</v>
      </c>
      <c r="BQ3132" s="2" t="s">
        <v>82</v>
      </c>
      <c r="BR3132" s="2" t="s">
        <v>83</v>
      </c>
      <c r="BS3132" s="3">
        <v>43075</v>
      </c>
      <c r="BT3132" s="4">
        <v>0.41666666666666669</v>
      </c>
      <c r="BU3132" s="2" t="s">
        <v>139</v>
      </c>
      <c r="BV3132" s="2" t="s">
        <v>85</v>
      </c>
      <c r="BY3132" s="2">
        <v>219928.97</v>
      </c>
      <c r="CA3132" s="2" t="s">
        <v>140</v>
      </c>
      <c r="CC3132" s="2" t="s">
        <v>137</v>
      </c>
      <c r="CD3132" s="2">
        <v>6001</v>
      </c>
      <c r="CE3132" s="2" t="s">
        <v>87</v>
      </c>
      <c r="CF3132" s="3">
        <v>43076</v>
      </c>
      <c r="CI3132" s="2">
        <v>2</v>
      </c>
      <c r="CJ3132" s="2">
        <v>1</v>
      </c>
      <c r="CK3132" s="2" t="s">
        <v>271</v>
      </c>
      <c r="CL3132" s="2" t="s">
        <v>89</v>
      </c>
    </row>
    <row r="3133" spans="1:90">
      <c r="A3133" s="2" t="s">
        <v>71</v>
      </c>
      <c r="B3133" s="2" t="s">
        <v>72</v>
      </c>
      <c r="C3133" s="2" t="s">
        <v>73</v>
      </c>
      <c r="E3133" s="2" t="str">
        <f>"FES1162593569"</f>
        <v>FES1162593569</v>
      </c>
      <c r="F3133" s="3">
        <v>43074</v>
      </c>
      <c r="G3133" s="2">
        <v>201806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125</v>
      </c>
      <c r="M3133" s="2" t="s">
        <v>126</v>
      </c>
      <c r="N3133" s="2" t="s">
        <v>664</v>
      </c>
      <c r="O3133" s="2" t="s">
        <v>81</v>
      </c>
      <c r="P3133" s="2" t="str">
        <f>"2170605678                    "</f>
        <v xml:space="preserve">2170605678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13.97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13.8</v>
      </c>
      <c r="BJ3133" s="2">
        <v>32.4</v>
      </c>
      <c r="BK3133" s="2">
        <v>33</v>
      </c>
      <c r="BL3133" s="2">
        <v>116.64</v>
      </c>
      <c r="BM3133" s="2">
        <v>16.329999999999998</v>
      </c>
      <c r="BN3133" s="2">
        <v>132.97</v>
      </c>
      <c r="BO3133" s="2">
        <v>132.97</v>
      </c>
      <c r="BQ3133" s="2" t="s">
        <v>82</v>
      </c>
      <c r="BR3133" s="2" t="s">
        <v>83</v>
      </c>
      <c r="BS3133" s="3">
        <v>43075</v>
      </c>
      <c r="BT3133" s="4">
        <v>0.41666666666666669</v>
      </c>
      <c r="BU3133" s="2" t="s">
        <v>2987</v>
      </c>
      <c r="BV3133" s="2" t="s">
        <v>85</v>
      </c>
      <c r="BY3133" s="2">
        <v>162156.64000000001</v>
      </c>
      <c r="CA3133" s="2" t="s">
        <v>666</v>
      </c>
      <c r="CC3133" s="2" t="s">
        <v>126</v>
      </c>
      <c r="CD3133" s="2">
        <v>4001</v>
      </c>
      <c r="CE3133" s="2" t="s">
        <v>95</v>
      </c>
      <c r="CF3133" s="3">
        <v>43076</v>
      </c>
      <c r="CI3133" s="2">
        <v>1</v>
      </c>
      <c r="CJ3133" s="2">
        <v>1</v>
      </c>
      <c r="CK3133" s="2" t="s">
        <v>352</v>
      </c>
      <c r="CL3133" s="2" t="s">
        <v>89</v>
      </c>
    </row>
    <row r="3134" spans="1:90">
      <c r="A3134" s="2" t="s">
        <v>71</v>
      </c>
      <c r="B3134" s="2" t="s">
        <v>72</v>
      </c>
      <c r="C3134" s="2" t="s">
        <v>73</v>
      </c>
      <c r="E3134" s="2" t="str">
        <f>"FES1162593226"</f>
        <v>FES1162593226</v>
      </c>
      <c r="F3134" s="3">
        <v>43070</v>
      </c>
      <c r="G3134" s="2">
        <v>201806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1115</v>
      </c>
      <c r="M3134" s="2" t="s">
        <v>1116</v>
      </c>
      <c r="N3134" s="2" t="s">
        <v>1117</v>
      </c>
      <c r="O3134" s="2" t="s">
        <v>81</v>
      </c>
      <c r="P3134" s="2" t="str">
        <f>"2172605525                    "</f>
        <v xml:space="preserve">2172605525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13.77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10.9</v>
      </c>
      <c r="BJ3134" s="2">
        <v>4</v>
      </c>
      <c r="BK3134" s="2">
        <v>11</v>
      </c>
      <c r="BL3134" s="2">
        <v>115.05</v>
      </c>
      <c r="BM3134" s="2">
        <v>16.11</v>
      </c>
      <c r="BN3134" s="2">
        <v>131.16</v>
      </c>
      <c r="BO3134" s="2">
        <v>131.16</v>
      </c>
      <c r="BR3134" s="2" t="s">
        <v>83</v>
      </c>
      <c r="BS3134" s="3">
        <v>43074</v>
      </c>
      <c r="BT3134" s="4">
        <v>0.5</v>
      </c>
      <c r="BU3134" s="2" t="s">
        <v>2988</v>
      </c>
      <c r="BV3134" s="2" t="s">
        <v>85</v>
      </c>
      <c r="BY3134" s="2">
        <v>19796.21</v>
      </c>
      <c r="CC3134" s="2" t="s">
        <v>1116</v>
      </c>
      <c r="CD3134" s="2">
        <v>5660</v>
      </c>
      <c r="CE3134" s="2" t="s">
        <v>95</v>
      </c>
      <c r="CF3134" s="3">
        <v>43076</v>
      </c>
      <c r="CI3134" s="2">
        <v>4</v>
      </c>
      <c r="CJ3134" s="2">
        <v>2</v>
      </c>
      <c r="CK3134" s="2" t="s">
        <v>2591</v>
      </c>
      <c r="CL3134" s="2" t="s">
        <v>89</v>
      </c>
    </row>
    <row r="3135" spans="1:90">
      <c r="A3135" s="2" t="s">
        <v>71</v>
      </c>
      <c r="B3135" s="2" t="s">
        <v>72</v>
      </c>
      <c r="C3135" s="2" t="s">
        <v>73</v>
      </c>
      <c r="E3135" s="2" t="str">
        <f>"FES1162594558"</f>
        <v>FES1162594558</v>
      </c>
      <c r="F3135" s="3">
        <v>43075</v>
      </c>
      <c r="G3135" s="2">
        <v>201806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125</v>
      </c>
      <c r="M3135" s="2" t="s">
        <v>126</v>
      </c>
      <c r="N3135" s="2" t="s">
        <v>514</v>
      </c>
      <c r="O3135" s="2" t="s">
        <v>81</v>
      </c>
      <c r="P3135" s="2" t="str">
        <f>"21706064626                   "</f>
        <v xml:space="preserve">21706064626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10.96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19.8</v>
      </c>
      <c r="BJ3135" s="2">
        <v>19.2</v>
      </c>
      <c r="BK3135" s="2">
        <v>20</v>
      </c>
      <c r="BL3135" s="2">
        <v>83.21</v>
      </c>
      <c r="BM3135" s="2">
        <v>11.65</v>
      </c>
      <c r="BN3135" s="2">
        <v>94.86</v>
      </c>
      <c r="BO3135" s="2">
        <v>94.86</v>
      </c>
      <c r="BQ3135" s="2" t="s">
        <v>515</v>
      </c>
      <c r="BR3135" s="2" t="s">
        <v>83</v>
      </c>
      <c r="BS3135" s="3">
        <v>43076</v>
      </c>
      <c r="BT3135" s="4">
        <v>0.3215277777777778</v>
      </c>
      <c r="BU3135" s="2" t="s">
        <v>2133</v>
      </c>
      <c r="BV3135" s="2" t="s">
        <v>85</v>
      </c>
      <c r="BY3135" s="2">
        <v>96194.4</v>
      </c>
      <c r="CA3135" s="2" t="s">
        <v>507</v>
      </c>
      <c r="CC3135" s="2" t="s">
        <v>126</v>
      </c>
      <c r="CD3135" s="2">
        <v>4001</v>
      </c>
      <c r="CE3135" s="2" t="s">
        <v>87</v>
      </c>
      <c r="CF3135" s="3">
        <v>43080</v>
      </c>
      <c r="CI3135" s="2">
        <v>1</v>
      </c>
      <c r="CJ3135" s="2">
        <v>1</v>
      </c>
      <c r="CK3135" s="2" t="s">
        <v>352</v>
      </c>
      <c r="CL3135" s="2" t="s">
        <v>89</v>
      </c>
    </row>
    <row r="3136" spans="1:90">
      <c r="A3136" s="2" t="s">
        <v>71</v>
      </c>
      <c r="B3136" s="2" t="s">
        <v>72</v>
      </c>
      <c r="C3136" s="2" t="s">
        <v>73</v>
      </c>
      <c r="E3136" s="2" t="str">
        <f>"FES1162597244"</f>
        <v>FES1162597244</v>
      </c>
      <c r="F3136" s="3">
        <v>43089</v>
      </c>
      <c r="G3136" s="2">
        <v>201806</v>
      </c>
      <c r="H3136" s="2" t="s">
        <v>74</v>
      </c>
      <c r="I3136" s="2" t="s">
        <v>75</v>
      </c>
      <c r="J3136" s="2" t="s">
        <v>97</v>
      </c>
      <c r="K3136" s="2" t="s">
        <v>77</v>
      </c>
      <c r="L3136" s="2" t="s">
        <v>285</v>
      </c>
      <c r="M3136" s="2" t="s">
        <v>159</v>
      </c>
      <c r="N3136" s="2" t="s">
        <v>564</v>
      </c>
      <c r="O3136" s="2" t="s">
        <v>81</v>
      </c>
      <c r="P3136" s="2" t="str">
        <f>"2170604311                    "</f>
        <v xml:space="preserve">2170604311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23.03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2</v>
      </c>
      <c r="BI3136" s="2">
        <v>29.2</v>
      </c>
      <c r="BJ3136" s="2">
        <v>49.5</v>
      </c>
      <c r="BK3136" s="2">
        <v>50</v>
      </c>
      <c r="BL3136" s="2">
        <v>169.42</v>
      </c>
      <c r="BM3136" s="2">
        <v>23.72</v>
      </c>
      <c r="BN3136" s="2">
        <v>193.14</v>
      </c>
      <c r="BO3136" s="2">
        <v>193.14</v>
      </c>
      <c r="BQ3136" s="2" t="s">
        <v>128</v>
      </c>
      <c r="BR3136" s="2" t="s">
        <v>103</v>
      </c>
      <c r="BS3136" s="3">
        <v>43090</v>
      </c>
      <c r="BT3136" s="4">
        <v>0.50972222222222219</v>
      </c>
      <c r="BU3136" s="2" t="s">
        <v>2989</v>
      </c>
      <c r="BY3136" s="2">
        <v>247518.05</v>
      </c>
      <c r="CC3136" s="2" t="s">
        <v>159</v>
      </c>
      <c r="CD3136" s="2">
        <v>200</v>
      </c>
      <c r="CE3136" s="2" t="s">
        <v>95</v>
      </c>
      <c r="CF3136" s="3">
        <v>43091</v>
      </c>
      <c r="CI3136" s="2">
        <v>0</v>
      </c>
      <c r="CJ3136" s="2">
        <v>0</v>
      </c>
      <c r="CK3136" s="2" t="s">
        <v>289</v>
      </c>
      <c r="CL3136" s="2" t="s">
        <v>89</v>
      </c>
    </row>
    <row r="3137" spans="1:90">
      <c r="A3137" s="2" t="s">
        <v>71</v>
      </c>
      <c r="B3137" s="2" t="s">
        <v>72</v>
      </c>
      <c r="C3137" s="2" t="s">
        <v>73</v>
      </c>
      <c r="E3137" s="2" t="str">
        <f>"FES1162597013"</f>
        <v>FES1162597013</v>
      </c>
      <c r="F3137" s="3">
        <v>43089</v>
      </c>
      <c r="G3137" s="2">
        <v>201806</v>
      </c>
      <c r="H3137" s="2" t="s">
        <v>74</v>
      </c>
      <c r="I3137" s="2" t="s">
        <v>75</v>
      </c>
      <c r="J3137" s="2" t="s">
        <v>97</v>
      </c>
      <c r="K3137" s="2" t="s">
        <v>77</v>
      </c>
      <c r="L3137" s="2" t="s">
        <v>115</v>
      </c>
      <c r="M3137" s="2" t="s">
        <v>116</v>
      </c>
      <c r="N3137" s="2" t="s">
        <v>2908</v>
      </c>
      <c r="O3137" s="2" t="s">
        <v>81</v>
      </c>
      <c r="P3137" s="2" t="str">
        <f>"2170604540                    "</f>
        <v xml:space="preserve">2170604540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12.38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25.5</v>
      </c>
      <c r="BJ3137" s="2">
        <v>12.2</v>
      </c>
      <c r="BK3137" s="2">
        <v>26</v>
      </c>
      <c r="BL3137" s="2">
        <v>93.39</v>
      </c>
      <c r="BM3137" s="2">
        <v>13.07</v>
      </c>
      <c r="BN3137" s="2">
        <v>106.46</v>
      </c>
      <c r="BO3137" s="2">
        <v>106.46</v>
      </c>
      <c r="BQ3137" s="2" t="s">
        <v>128</v>
      </c>
      <c r="BR3137" s="2" t="s">
        <v>103</v>
      </c>
      <c r="BS3137" s="3">
        <v>43091</v>
      </c>
      <c r="BT3137" s="4">
        <v>0.3444444444444445</v>
      </c>
      <c r="BU3137" s="2" t="s">
        <v>2909</v>
      </c>
      <c r="BV3137" s="2" t="s">
        <v>89</v>
      </c>
      <c r="BW3137" s="2" t="s">
        <v>149</v>
      </c>
      <c r="BX3137" s="2" t="s">
        <v>456</v>
      </c>
      <c r="BY3137" s="2">
        <v>60779.38</v>
      </c>
      <c r="CC3137" s="2" t="s">
        <v>116</v>
      </c>
      <c r="CD3137" s="2">
        <v>1460</v>
      </c>
      <c r="CE3137" s="2" t="s">
        <v>2863</v>
      </c>
      <c r="CF3137" s="3">
        <v>43091</v>
      </c>
      <c r="CI3137" s="2">
        <v>1</v>
      </c>
      <c r="CJ3137" s="2">
        <v>2</v>
      </c>
      <c r="CK3137" s="2" t="s">
        <v>96</v>
      </c>
      <c r="CL3137" s="2" t="s">
        <v>89</v>
      </c>
    </row>
    <row r="3138" spans="1:90">
      <c r="A3138" s="2" t="s">
        <v>71</v>
      </c>
      <c r="B3138" s="2" t="s">
        <v>72</v>
      </c>
      <c r="C3138" s="2" t="s">
        <v>73</v>
      </c>
      <c r="E3138" s="2" t="str">
        <f>"Rfes1162596300"</f>
        <v>Rfes1162596300</v>
      </c>
      <c r="F3138" s="3">
        <v>43089</v>
      </c>
      <c r="G3138" s="2">
        <v>201806</v>
      </c>
      <c r="H3138" s="2" t="s">
        <v>2596</v>
      </c>
      <c r="I3138" s="2" t="s">
        <v>2597</v>
      </c>
      <c r="J3138" s="2" t="s">
        <v>2598</v>
      </c>
      <c r="K3138" s="2" t="s">
        <v>77</v>
      </c>
      <c r="L3138" s="2" t="s">
        <v>111</v>
      </c>
      <c r="M3138" s="2" t="s">
        <v>112</v>
      </c>
      <c r="N3138" s="2" t="s">
        <v>97</v>
      </c>
      <c r="O3138" s="2" t="s">
        <v>81</v>
      </c>
      <c r="P3138" s="2" t="str">
        <f>"2170600718                    "</f>
        <v xml:space="preserve">2170600718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130.69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99</v>
      </c>
      <c r="BJ3138" s="2">
        <v>62.3</v>
      </c>
      <c r="BK3138" s="2">
        <v>99</v>
      </c>
      <c r="BL3138" s="2">
        <v>937.95</v>
      </c>
      <c r="BM3138" s="2">
        <v>131.31</v>
      </c>
      <c r="BN3138" s="2">
        <v>1069.26</v>
      </c>
      <c r="BO3138" s="2">
        <v>1069.26</v>
      </c>
      <c r="BQ3138" s="2" t="s">
        <v>103</v>
      </c>
      <c r="BR3138" s="2" t="s">
        <v>128</v>
      </c>
      <c r="BS3138" s="2" t="s">
        <v>185</v>
      </c>
      <c r="BY3138" s="2">
        <v>311364</v>
      </c>
      <c r="CC3138" s="2" t="s">
        <v>112</v>
      </c>
      <c r="CD3138" s="2">
        <v>6242</v>
      </c>
      <c r="CE3138" s="2" t="s">
        <v>2600</v>
      </c>
      <c r="CI3138" s="2">
        <v>0</v>
      </c>
      <c r="CJ3138" s="2">
        <v>0</v>
      </c>
      <c r="CK3138" s="2" t="s">
        <v>2990</v>
      </c>
      <c r="CL3138" s="2" t="s">
        <v>89</v>
      </c>
    </row>
    <row r="3139" spans="1:90">
      <c r="A3139" s="2" t="s">
        <v>71</v>
      </c>
      <c r="B3139" s="2" t="s">
        <v>72</v>
      </c>
      <c r="C3139" s="2" t="s">
        <v>73</v>
      </c>
      <c r="E3139" s="2" t="str">
        <f>"Rfes1162595620"</f>
        <v>Rfes1162595620</v>
      </c>
      <c r="F3139" s="3">
        <v>43089</v>
      </c>
      <c r="G3139" s="2">
        <v>201806</v>
      </c>
      <c r="H3139" s="2" t="s">
        <v>136</v>
      </c>
      <c r="I3139" s="2" t="s">
        <v>137</v>
      </c>
      <c r="J3139" s="2" t="s">
        <v>1385</v>
      </c>
      <c r="K3139" s="2" t="s">
        <v>77</v>
      </c>
      <c r="L3139" s="2" t="s">
        <v>74</v>
      </c>
      <c r="M3139" s="2" t="s">
        <v>75</v>
      </c>
      <c r="N3139" s="2" t="s">
        <v>97</v>
      </c>
      <c r="O3139" s="2" t="s">
        <v>81</v>
      </c>
      <c r="P3139" s="2" t="str">
        <f>"2170607413                    "</f>
        <v xml:space="preserve">2170607413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13.17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99.03</v>
      </c>
      <c r="BM3139" s="2">
        <v>13.86</v>
      </c>
      <c r="BN3139" s="2">
        <v>112.89</v>
      </c>
      <c r="BO3139" s="2">
        <v>112.89</v>
      </c>
      <c r="BQ3139" s="2" t="s">
        <v>103</v>
      </c>
      <c r="BR3139" s="2" t="s">
        <v>1386</v>
      </c>
      <c r="BS3139" s="3">
        <v>43090</v>
      </c>
      <c r="BT3139" s="4">
        <v>0.46875</v>
      </c>
      <c r="BU3139" s="2" t="s">
        <v>1724</v>
      </c>
      <c r="BV3139" s="2" t="s">
        <v>85</v>
      </c>
      <c r="BY3139" s="2">
        <v>1200</v>
      </c>
      <c r="CC3139" s="2" t="s">
        <v>75</v>
      </c>
      <c r="CD3139" s="2">
        <v>1600</v>
      </c>
      <c r="CE3139" s="2" t="s">
        <v>95</v>
      </c>
      <c r="CF3139" s="3">
        <v>43091</v>
      </c>
      <c r="CI3139" s="2">
        <v>2</v>
      </c>
      <c r="CJ3139" s="2">
        <v>1</v>
      </c>
      <c r="CK3139" s="2" t="s">
        <v>271</v>
      </c>
      <c r="CL3139" s="2" t="s">
        <v>89</v>
      </c>
    </row>
    <row r="3140" spans="1:90">
      <c r="A3140" s="2" t="s">
        <v>71</v>
      </c>
      <c r="B3140" s="2" t="s">
        <v>72</v>
      </c>
      <c r="C3140" s="2" t="s">
        <v>73</v>
      </c>
      <c r="E3140" s="2" t="str">
        <f>"FES1162597231"</f>
        <v>FES1162597231</v>
      </c>
      <c r="F3140" s="3">
        <v>43089</v>
      </c>
      <c r="G3140" s="2">
        <v>201806</v>
      </c>
      <c r="H3140" s="2" t="s">
        <v>74</v>
      </c>
      <c r="I3140" s="2" t="s">
        <v>75</v>
      </c>
      <c r="J3140" s="2" t="s">
        <v>97</v>
      </c>
      <c r="K3140" s="2" t="s">
        <v>77</v>
      </c>
      <c r="L3140" s="2" t="s">
        <v>136</v>
      </c>
      <c r="M3140" s="2" t="s">
        <v>137</v>
      </c>
      <c r="N3140" s="2" t="s">
        <v>138</v>
      </c>
      <c r="O3140" s="2" t="s">
        <v>81</v>
      </c>
      <c r="P3140" s="2" t="str">
        <f>"2170607194                    "</f>
        <v xml:space="preserve">2170607194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28.39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2</v>
      </c>
      <c r="BI3140" s="2">
        <v>42</v>
      </c>
      <c r="BJ3140" s="2">
        <v>38.9</v>
      </c>
      <c r="BK3140" s="2">
        <v>42</v>
      </c>
      <c r="BL3140" s="2">
        <v>207.67</v>
      </c>
      <c r="BM3140" s="2">
        <v>29.07</v>
      </c>
      <c r="BN3140" s="2">
        <v>236.74</v>
      </c>
      <c r="BO3140" s="2">
        <v>236.74</v>
      </c>
      <c r="BQ3140" s="2" t="s">
        <v>82</v>
      </c>
      <c r="BR3140" s="2" t="s">
        <v>103</v>
      </c>
      <c r="BS3140" s="3">
        <v>43091</v>
      </c>
      <c r="BT3140" s="4">
        <v>0.53472222222222221</v>
      </c>
      <c r="BU3140" s="2" t="s">
        <v>2991</v>
      </c>
      <c r="BV3140" s="2" t="s">
        <v>85</v>
      </c>
      <c r="BY3140" s="2">
        <v>97200</v>
      </c>
      <c r="CC3140" s="2" t="s">
        <v>137</v>
      </c>
      <c r="CD3140" s="2">
        <v>6001</v>
      </c>
      <c r="CE3140" s="2" t="s">
        <v>2992</v>
      </c>
      <c r="CF3140" s="3">
        <v>43097</v>
      </c>
      <c r="CI3140" s="2">
        <v>2</v>
      </c>
      <c r="CJ3140" s="2">
        <v>2</v>
      </c>
      <c r="CK3140" s="2" t="s">
        <v>271</v>
      </c>
      <c r="CL3140" s="2" t="s">
        <v>89</v>
      </c>
    </row>
    <row r="3141" spans="1:90">
      <c r="A3141" s="2" t="s">
        <v>71</v>
      </c>
      <c r="B3141" s="2" t="s">
        <v>72</v>
      </c>
      <c r="C3141" s="2" t="s">
        <v>73</v>
      </c>
      <c r="E3141" s="2" t="str">
        <f>"FES1162597508"</f>
        <v>FES1162597508</v>
      </c>
      <c r="F3141" s="3">
        <v>43090</v>
      </c>
      <c r="G3141" s="2">
        <v>201806</v>
      </c>
      <c r="H3141" s="2" t="s">
        <v>74</v>
      </c>
      <c r="I3141" s="2" t="s">
        <v>75</v>
      </c>
      <c r="J3141" s="2" t="s">
        <v>97</v>
      </c>
      <c r="K3141" s="2" t="s">
        <v>77</v>
      </c>
      <c r="L3141" s="2" t="s">
        <v>136</v>
      </c>
      <c r="M3141" s="2" t="s">
        <v>137</v>
      </c>
      <c r="N3141" s="2" t="s">
        <v>258</v>
      </c>
      <c r="O3141" s="2" t="s">
        <v>101</v>
      </c>
      <c r="P3141" s="2" t="str">
        <f>"2170608417                    "</f>
        <v xml:space="preserve">2170608417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54.67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12</v>
      </c>
      <c r="BJ3141" s="2">
        <v>16.600000000000001</v>
      </c>
      <c r="BK3141" s="2">
        <v>17</v>
      </c>
      <c r="BL3141" s="2">
        <v>390.27</v>
      </c>
      <c r="BM3141" s="2">
        <v>54.64</v>
      </c>
      <c r="BN3141" s="2">
        <v>444.91</v>
      </c>
      <c r="BO3141" s="2">
        <v>444.91</v>
      </c>
      <c r="BQ3141" s="2" t="s">
        <v>102</v>
      </c>
      <c r="BR3141" s="2" t="s">
        <v>103</v>
      </c>
      <c r="BS3141" s="2" t="s">
        <v>185</v>
      </c>
      <c r="BY3141" s="2">
        <v>83144.88</v>
      </c>
      <c r="CC3141" s="2" t="s">
        <v>137</v>
      </c>
      <c r="CD3141" s="2">
        <v>6001</v>
      </c>
      <c r="CE3141" s="2" t="s">
        <v>87</v>
      </c>
      <c r="CI3141" s="2">
        <v>1</v>
      </c>
      <c r="CJ3141" s="2" t="s">
        <v>185</v>
      </c>
      <c r="CK3141" s="2">
        <v>21</v>
      </c>
      <c r="CL3141" s="2" t="s">
        <v>89</v>
      </c>
    </row>
    <row r="3142" spans="1:90">
      <c r="A3142" s="2" t="s">
        <v>71</v>
      </c>
      <c r="B3142" s="2" t="s">
        <v>72</v>
      </c>
      <c r="C3142" s="2" t="s">
        <v>73</v>
      </c>
      <c r="E3142" s="2" t="str">
        <f>"009935791583"</f>
        <v>009935791583</v>
      </c>
      <c r="F3142" s="3">
        <v>43090</v>
      </c>
      <c r="G3142" s="2">
        <v>201806</v>
      </c>
      <c r="H3142" s="2" t="s">
        <v>74</v>
      </c>
      <c r="I3142" s="2" t="s">
        <v>75</v>
      </c>
      <c r="J3142" s="2" t="s">
        <v>97</v>
      </c>
      <c r="K3142" s="2" t="s">
        <v>77</v>
      </c>
      <c r="L3142" s="2" t="s">
        <v>136</v>
      </c>
      <c r="M3142" s="2" t="s">
        <v>137</v>
      </c>
      <c r="N3142" s="2" t="s">
        <v>662</v>
      </c>
      <c r="O3142" s="2" t="s">
        <v>101</v>
      </c>
      <c r="P3142" s="2" t="str">
        <f>"1162596404                    "</f>
        <v xml:space="preserve">1162596404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59.49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11</v>
      </c>
      <c r="BJ3142" s="2">
        <v>18.3</v>
      </c>
      <c r="BK3142" s="2">
        <v>18.5</v>
      </c>
      <c r="BL3142" s="2">
        <v>424.7</v>
      </c>
      <c r="BM3142" s="2">
        <v>59.46</v>
      </c>
      <c r="BN3142" s="2">
        <v>484.16</v>
      </c>
      <c r="BO3142" s="2">
        <v>484.16</v>
      </c>
      <c r="BP3142" s="2" t="s">
        <v>2993</v>
      </c>
      <c r="BQ3142" s="2" t="s">
        <v>128</v>
      </c>
      <c r="BR3142" s="2" t="s">
        <v>103</v>
      </c>
      <c r="BS3142" s="2" t="s">
        <v>185</v>
      </c>
      <c r="BY3142" s="2">
        <v>91264</v>
      </c>
      <c r="CC3142" s="2" t="s">
        <v>137</v>
      </c>
      <c r="CD3142" s="2">
        <v>6012</v>
      </c>
      <c r="CE3142" s="2" t="s">
        <v>95</v>
      </c>
      <c r="CI3142" s="2">
        <v>1</v>
      </c>
      <c r="CJ3142" s="2" t="s">
        <v>185</v>
      </c>
      <c r="CK3142" s="2">
        <v>21</v>
      </c>
      <c r="CL3142" s="2" t="s">
        <v>89</v>
      </c>
    </row>
    <row r="3143" spans="1:90">
      <c r="A3143" s="2" t="s">
        <v>71</v>
      </c>
      <c r="B3143" s="2" t="s">
        <v>72</v>
      </c>
      <c r="C3143" s="2" t="s">
        <v>73</v>
      </c>
      <c r="E3143" s="2" t="str">
        <f>"FES1162597451"</f>
        <v>FES1162597451</v>
      </c>
      <c r="F3143" s="3">
        <v>43090</v>
      </c>
      <c r="G3143" s="2">
        <v>201806</v>
      </c>
      <c r="H3143" s="2" t="s">
        <v>74</v>
      </c>
      <c r="I3143" s="2" t="s">
        <v>75</v>
      </c>
      <c r="J3143" s="2" t="s">
        <v>97</v>
      </c>
      <c r="K3143" s="2" t="s">
        <v>77</v>
      </c>
      <c r="L3143" s="2" t="s">
        <v>125</v>
      </c>
      <c r="M3143" s="2" t="s">
        <v>126</v>
      </c>
      <c r="N3143" s="2" t="s">
        <v>2272</v>
      </c>
      <c r="O3143" s="2" t="s">
        <v>101</v>
      </c>
      <c r="P3143" s="2" t="str">
        <f>"2170607546                    "</f>
        <v xml:space="preserve">2170607546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6.43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45.93</v>
      </c>
      <c r="BM3143" s="2">
        <v>6.43</v>
      </c>
      <c r="BN3143" s="2">
        <v>52.36</v>
      </c>
      <c r="BO3143" s="2">
        <v>52.36</v>
      </c>
      <c r="BQ3143" s="2" t="s">
        <v>2758</v>
      </c>
      <c r="BR3143" s="2" t="s">
        <v>103</v>
      </c>
      <c r="BS3143" s="2" t="s">
        <v>185</v>
      </c>
      <c r="BY3143" s="2">
        <v>1200</v>
      </c>
      <c r="CC3143" s="2" t="s">
        <v>126</v>
      </c>
      <c r="CD3143" s="2">
        <v>4051</v>
      </c>
      <c r="CE3143" s="2" t="s">
        <v>120</v>
      </c>
      <c r="CI3143" s="2">
        <v>1</v>
      </c>
      <c r="CJ3143" s="2" t="s">
        <v>185</v>
      </c>
      <c r="CK3143" s="2">
        <v>21</v>
      </c>
      <c r="CL3143" s="2" t="s">
        <v>89</v>
      </c>
    </row>
    <row r="3144" spans="1:90">
      <c r="A3144" s="2" t="s">
        <v>71</v>
      </c>
      <c r="B3144" s="2" t="s">
        <v>72</v>
      </c>
      <c r="C3144" s="2" t="s">
        <v>73</v>
      </c>
      <c r="E3144" s="2" t="str">
        <f>"FES1162597545"</f>
        <v>FES1162597545</v>
      </c>
      <c r="F3144" s="3">
        <v>43090</v>
      </c>
      <c r="G3144" s="2">
        <v>201806</v>
      </c>
      <c r="H3144" s="2" t="s">
        <v>74</v>
      </c>
      <c r="I3144" s="2" t="s">
        <v>75</v>
      </c>
      <c r="J3144" s="2" t="s">
        <v>97</v>
      </c>
      <c r="K3144" s="2" t="s">
        <v>77</v>
      </c>
      <c r="L3144" s="2" t="s">
        <v>136</v>
      </c>
      <c r="M3144" s="2" t="s">
        <v>137</v>
      </c>
      <c r="N3144" s="2" t="s">
        <v>147</v>
      </c>
      <c r="O3144" s="2" t="s">
        <v>101</v>
      </c>
      <c r="P3144" s="2" t="str">
        <f>"2170608781                    "</f>
        <v xml:space="preserve">2170608781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33.770000000000003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7.4</v>
      </c>
      <c r="BJ3144" s="2">
        <v>10.199999999999999</v>
      </c>
      <c r="BK3144" s="2">
        <v>10.5</v>
      </c>
      <c r="BL3144" s="2">
        <v>241.06</v>
      </c>
      <c r="BM3144" s="2">
        <v>33.75</v>
      </c>
      <c r="BN3144" s="2">
        <v>274.81</v>
      </c>
      <c r="BO3144" s="2">
        <v>274.81</v>
      </c>
      <c r="BQ3144" s="2" t="s">
        <v>82</v>
      </c>
      <c r="BR3144" s="2" t="s">
        <v>103</v>
      </c>
      <c r="BS3144" s="3">
        <v>43096</v>
      </c>
      <c r="BT3144" s="4">
        <v>0.36805555555555558</v>
      </c>
      <c r="BU3144" s="2" t="s">
        <v>1096</v>
      </c>
      <c r="BV3144" s="2" t="s">
        <v>89</v>
      </c>
      <c r="BW3144" s="2" t="s">
        <v>313</v>
      </c>
      <c r="BX3144" s="2" t="s">
        <v>314</v>
      </c>
      <c r="BY3144" s="2">
        <v>50995.21</v>
      </c>
      <c r="CA3144" s="2" t="s">
        <v>180</v>
      </c>
      <c r="CC3144" s="2" t="s">
        <v>137</v>
      </c>
      <c r="CD3144" s="2">
        <v>6014</v>
      </c>
      <c r="CE3144" s="2" t="s">
        <v>87</v>
      </c>
      <c r="CF3144" s="3">
        <v>43097</v>
      </c>
      <c r="CI3144" s="2">
        <v>1</v>
      </c>
      <c r="CJ3144" s="2">
        <v>3</v>
      </c>
      <c r="CK3144" s="2">
        <v>21</v>
      </c>
      <c r="CL3144" s="2" t="s">
        <v>89</v>
      </c>
    </row>
    <row r="3145" spans="1:90">
      <c r="A3145" s="2" t="s">
        <v>71</v>
      </c>
      <c r="B3145" s="2" t="s">
        <v>72</v>
      </c>
      <c r="C3145" s="2" t="s">
        <v>73</v>
      </c>
      <c r="E3145" s="2" t="str">
        <f>"FES1162597548"</f>
        <v>FES1162597548</v>
      </c>
      <c r="F3145" s="3">
        <v>43090</v>
      </c>
      <c r="G3145" s="2">
        <v>201806</v>
      </c>
      <c r="H3145" s="2" t="s">
        <v>74</v>
      </c>
      <c r="I3145" s="2" t="s">
        <v>75</v>
      </c>
      <c r="J3145" s="2" t="s">
        <v>97</v>
      </c>
      <c r="K3145" s="2" t="s">
        <v>77</v>
      </c>
      <c r="L3145" s="2" t="s">
        <v>158</v>
      </c>
      <c r="M3145" s="2" t="s">
        <v>159</v>
      </c>
      <c r="N3145" s="2" t="s">
        <v>164</v>
      </c>
      <c r="O3145" s="2" t="s">
        <v>101</v>
      </c>
      <c r="P3145" s="2" t="str">
        <f>"2170608785                    "</f>
        <v xml:space="preserve">2170608785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6.43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0.5</v>
      </c>
      <c r="BJ3145" s="2">
        <v>0.2</v>
      </c>
      <c r="BK3145" s="2">
        <v>0.5</v>
      </c>
      <c r="BL3145" s="2">
        <v>45.93</v>
      </c>
      <c r="BM3145" s="2">
        <v>6.43</v>
      </c>
      <c r="BN3145" s="2">
        <v>52.36</v>
      </c>
      <c r="BO3145" s="2">
        <v>52.36</v>
      </c>
      <c r="BQ3145" s="2" t="s">
        <v>102</v>
      </c>
      <c r="BR3145" s="2" t="s">
        <v>103</v>
      </c>
      <c r="BS3145" s="3">
        <v>43096</v>
      </c>
      <c r="BT3145" s="4">
        <v>0.4236111111111111</v>
      </c>
      <c r="BU3145" s="2" t="s">
        <v>1323</v>
      </c>
      <c r="BV3145" s="2" t="s">
        <v>89</v>
      </c>
      <c r="BW3145" s="2" t="s">
        <v>149</v>
      </c>
      <c r="BX3145" s="2" t="s">
        <v>668</v>
      </c>
      <c r="BY3145" s="2">
        <v>1200</v>
      </c>
      <c r="CC3145" s="2" t="s">
        <v>159</v>
      </c>
      <c r="CD3145" s="2">
        <v>200</v>
      </c>
      <c r="CE3145" s="2" t="s">
        <v>120</v>
      </c>
      <c r="CI3145" s="2">
        <v>1</v>
      </c>
      <c r="CJ3145" s="2">
        <v>3</v>
      </c>
      <c r="CK3145" s="2">
        <v>21</v>
      </c>
      <c r="CL3145" s="2" t="s">
        <v>89</v>
      </c>
    </row>
    <row r="3146" spans="1:90">
      <c r="A3146" s="2" t="s">
        <v>71</v>
      </c>
      <c r="B3146" s="2" t="s">
        <v>72</v>
      </c>
      <c r="C3146" s="2" t="s">
        <v>73</v>
      </c>
      <c r="E3146" s="2" t="str">
        <f>"FES1162597546"</f>
        <v>FES1162597546</v>
      </c>
      <c r="F3146" s="3">
        <v>43090</v>
      </c>
      <c r="G3146" s="2">
        <v>201806</v>
      </c>
      <c r="H3146" s="2" t="s">
        <v>74</v>
      </c>
      <c r="I3146" s="2" t="s">
        <v>75</v>
      </c>
      <c r="J3146" s="2" t="s">
        <v>97</v>
      </c>
      <c r="K3146" s="2" t="s">
        <v>77</v>
      </c>
      <c r="L3146" s="2" t="s">
        <v>131</v>
      </c>
      <c r="M3146" s="2" t="s">
        <v>132</v>
      </c>
      <c r="N3146" s="2" t="s">
        <v>228</v>
      </c>
      <c r="O3146" s="2" t="s">
        <v>101</v>
      </c>
      <c r="P3146" s="2" t="str">
        <f>"21706068782                   "</f>
        <v xml:space="preserve">21706068782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6.43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1.9</v>
      </c>
      <c r="BJ3146" s="2">
        <v>1.9</v>
      </c>
      <c r="BK3146" s="2">
        <v>2</v>
      </c>
      <c r="BL3146" s="2">
        <v>45.93</v>
      </c>
      <c r="BM3146" s="2">
        <v>6.43</v>
      </c>
      <c r="BN3146" s="2">
        <v>52.36</v>
      </c>
      <c r="BO3146" s="2">
        <v>52.36</v>
      </c>
      <c r="BQ3146" s="2" t="s">
        <v>229</v>
      </c>
      <c r="BR3146" s="2" t="s">
        <v>103</v>
      </c>
      <c r="BS3146" s="3">
        <v>43092</v>
      </c>
      <c r="BT3146" s="4">
        <v>0.46527777777777773</v>
      </c>
      <c r="BU3146" s="2" t="s">
        <v>2994</v>
      </c>
      <c r="BV3146" s="2" t="s">
        <v>85</v>
      </c>
      <c r="BY3146" s="2">
        <v>9343.0400000000009</v>
      </c>
      <c r="CC3146" s="2" t="s">
        <v>132</v>
      </c>
      <c r="CD3146" s="2">
        <v>4300</v>
      </c>
      <c r="CE3146" s="2" t="s">
        <v>95</v>
      </c>
      <c r="CF3146" s="3">
        <v>43097</v>
      </c>
      <c r="CI3146" s="2">
        <v>1</v>
      </c>
      <c r="CJ3146" s="2">
        <v>0</v>
      </c>
      <c r="CK3146" s="2">
        <v>21</v>
      </c>
      <c r="CL3146" s="2" t="s">
        <v>89</v>
      </c>
    </row>
    <row r="3147" spans="1:90">
      <c r="A3147" s="2" t="s">
        <v>71</v>
      </c>
      <c r="B3147" s="2" t="s">
        <v>72</v>
      </c>
      <c r="C3147" s="2" t="s">
        <v>73</v>
      </c>
      <c r="E3147" s="2" t="str">
        <f>"FES1162597543"</f>
        <v>FES1162597543</v>
      </c>
      <c r="F3147" s="3">
        <v>43090</v>
      </c>
      <c r="G3147" s="2">
        <v>201806</v>
      </c>
      <c r="H3147" s="2" t="s">
        <v>74</v>
      </c>
      <c r="I3147" s="2" t="s">
        <v>75</v>
      </c>
      <c r="J3147" s="2" t="s">
        <v>97</v>
      </c>
      <c r="K3147" s="2" t="s">
        <v>77</v>
      </c>
      <c r="L3147" s="2" t="s">
        <v>78</v>
      </c>
      <c r="M3147" s="2" t="s">
        <v>79</v>
      </c>
      <c r="N3147" s="2" t="s">
        <v>80</v>
      </c>
      <c r="O3147" s="2" t="s">
        <v>101</v>
      </c>
      <c r="P3147" s="2" t="str">
        <f>"2170608779                    "</f>
        <v xml:space="preserve">2170608779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6.43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0.5</v>
      </c>
      <c r="BJ3147" s="2">
        <v>0.2</v>
      </c>
      <c r="BK3147" s="2">
        <v>0.5</v>
      </c>
      <c r="BL3147" s="2">
        <v>45.93</v>
      </c>
      <c r="BM3147" s="2">
        <v>6.43</v>
      </c>
      <c r="BN3147" s="2">
        <v>52.36</v>
      </c>
      <c r="BO3147" s="2">
        <v>52.36</v>
      </c>
      <c r="BQ3147" s="2" t="s">
        <v>102</v>
      </c>
      <c r="BR3147" s="2" t="s">
        <v>103</v>
      </c>
      <c r="BS3147" s="3">
        <v>43096</v>
      </c>
      <c r="BT3147" s="4">
        <v>0.54166666666666663</v>
      </c>
      <c r="BU3147" s="2" t="s">
        <v>2995</v>
      </c>
      <c r="BV3147" s="2" t="s">
        <v>89</v>
      </c>
      <c r="BY3147" s="2">
        <v>1200</v>
      </c>
      <c r="CC3147" s="2" t="s">
        <v>79</v>
      </c>
      <c r="CD3147" s="2">
        <v>1947</v>
      </c>
      <c r="CE3147" s="2" t="s">
        <v>120</v>
      </c>
      <c r="CF3147" s="3">
        <v>43098</v>
      </c>
      <c r="CI3147" s="2">
        <v>1</v>
      </c>
      <c r="CJ3147" s="2">
        <v>3</v>
      </c>
      <c r="CK3147" s="2">
        <v>21</v>
      </c>
      <c r="CL3147" s="2" t="s">
        <v>89</v>
      </c>
    </row>
    <row r="3148" spans="1:90">
      <c r="A3148" s="2" t="s">
        <v>71</v>
      </c>
      <c r="B3148" s="2" t="s">
        <v>72</v>
      </c>
      <c r="C3148" s="2" t="s">
        <v>73</v>
      </c>
      <c r="E3148" s="2" t="str">
        <f>"FES1162596990"</f>
        <v>FES1162596990</v>
      </c>
      <c r="F3148" s="3">
        <v>43090</v>
      </c>
      <c r="G3148" s="2">
        <v>201806</v>
      </c>
      <c r="H3148" s="2" t="s">
        <v>74</v>
      </c>
      <c r="I3148" s="2" t="s">
        <v>75</v>
      </c>
      <c r="J3148" s="2" t="s">
        <v>97</v>
      </c>
      <c r="K3148" s="2" t="s">
        <v>77</v>
      </c>
      <c r="L3148" s="2" t="s">
        <v>759</v>
      </c>
      <c r="M3148" s="2" t="s">
        <v>760</v>
      </c>
      <c r="N3148" s="2" t="s">
        <v>761</v>
      </c>
      <c r="O3148" s="2" t="s">
        <v>101</v>
      </c>
      <c r="P3148" s="2" t="str">
        <f>"2170608119                    "</f>
        <v xml:space="preserve">2170608119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9.65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3</v>
      </c>
      <c r="BJ3148" s="2">
        <v>1.1000000000000001</v>
      </c>
      <c r="BK3148" s="2">
        <v>3</v>
      </c>
      <c r="BL3148" s="2">
        <v>68.89</v>
      </c>
      <c r="BM3148" s="2">
        <v>9.64</v>
      </c>
      <c r="BN3148" s="2">
        <v>78.53</v>
      </c>
      <c r="BO3148" s="2">
        <v>78.53</v>
      </c>
      <c r="BQ3148" s="2" t="s">
        <v>82</v>
      </c>
      <c r="BR3148" s="2" t="s">
        <v>103</v>
      </c>
      <c r="BS3148" s="3">
        <v>43096</v>
      </c>
      <c r="BT3148" s="4">
        <v>0.32083333333333336</v>
      </c>
      <c r="BU3148" s="2" t="s">
        <v>1284</v>
      </c>
      <c r="BV3148" s="2" t="s">
        <v>89</v>
      </c>
      <c r="BW3148" s="2" t="s">
        <v>2433</v>
      </c>
      <c r="BX3148" s="2" t="s">
        <v>219</v>
      </c>
      <c r="BY3148" s="2">
        <v>5460</v>
      </c>
      <c r="CA3148" s="2" t="s">
        <v>578</v>
      </c>
      <c r="CC3148" s="2" t="s">
        <v>760</v>
      </c>
      <c r="CD3148" s="2">
        <v>4026</v>
      </c>
      <c r="CE3148" s="2" t="s">
        <v>87</v>
      </c>
      <c r="CF3148" s="3">
        <v>43097</v>
      </c>
      <c r="CI3148" s="2">
        <v>1</v>
      </c>
      <c r="CJ3148" s="2">
        <v>3</v>
      </c>
      <c r="CK3148" s="2">
        <v>21</v>
      </c>
      <c r="CL3148" s="2" t="s">
        <v>89</v>
      </c>
    </row>
    <row r="3149" spans="1:90">
      <c r="A3149" s="2" t="s">
        <v>71</v>
      </c>
      <c r="B3149" s="2" t="s">
        <v>72</v>
      </c>
      <c r="C3149" s="2" t="s">
        <v>73</v>
      </c>
      <c r="E3149" s="2" t="str">
        <f>"FES1162597544"</f>
        <v>FES1162597544</v>
      </c>
      <c r="F3149" s="3">
        <v>43090</v>
      </c>
      <c r="G3149" s="2">
        <v>201806</v>
      </c>
      <c r="H3149" s="2" t="s">
        <v>74</v>
      </c>
      <c r="I3149" s="2" t="s">
        <v>75</v>
      </c>
      <c r="J3149" s="2" t="s">
        <v>97</v>
      </c>
      <c r="K3149" s="2" t="s">
        <v>77</v>
      </c>
      <c r="L3149" s="2" t="s">
        <v>115</v>
      </c>
      <c r="M3149" s="2" t="s">
        <v>116</v>
      </c>
      <c r="N3149" s="2" t="s">
        <v>283</v>
      </c>
      <c r="O3149" s="2" t="s">
        <v>101</v>
      </c>
      <c r="P3149" s="2" t="str">
        <f>"2170608780                    "</f>
        <v xml:space="preserve">2170608780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5.03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0.8</v>
      </c>
      <c r="BJ3149" s="2">
        <v>1.9</v>
      </c>
      <c r="BK3149" s="2">
        <v>2</v>
      </c>
      <c r="BL3149" s="2">
        <v>35.89</v>
      </c>
      <c r="BM3149" s="2">
        <v>5.0199999999999996</v>
      </c>
      <c r="BN3149" s="2">
        <v>40.909999999999997</v>
      </c>
      <c r="BO3149" s="2">
        <v>40.909999999999997</v>
      </c>
      <c r="BQ3149" s="2" t="s">
        <v>102</v>
      </c>
      <c r="BR3149" s="2" t="s">
        <v>103</v>
      </c>
      <c r="BS3149" s="3">
        <v>43096</v>
      </c>
      <c r="BT3149" s="4">
        <v>0.4375</v>
      </c>
      <c r="BU3149" s="2" t="s">
        <v>2996</v>
      </c>
      <c r="BV3149" s="2" t="s">
        <v>89</v>
      </c>
      <c r="BW3149" s="2" t="s">
        <v>149</v>
      </c>
      <c r="BX3149" s="2" t="s">
        <v>456</v>
      </c>
      <c r="BY3149" s="2">
        <v>9704.18</v>
      </c>
      <c r="CC3149" s="2" t="s">
        <v>116</v>
      </c>
      <c r="CD3149" s="2">
        <v>1459</v>
      </c>
      <c r="CE3149" s="2" t="s">
        <v>95</v>
      </c>
      <c r="CI3149" s="2">
        <v>1</v>
      </c>
      <c r="CJ3149" s="2">
        <v>3</v>
      </c>
      <c r="CK3149" s="2">
        <v>22</v>
      </c>
      <c r="CL3149" s="2" t="s">
        <v>89</v>
      </c>
    </row>
    <row r="3150" spans="1:90">
      <c r="A3150" s="2" t="s">
        <v>71</v>
      </c>
      <c r="B3150" s="2" t="s">
        <v>72</v>
      </c>
      <c r="C3150" s="2" t="s">
        <v>73</v>
      </c>
      <c r="E3150" s="2" t="str">
        <f>"FES1162597540"</f>
        <v>FES1162597540</v>
      </c>
      <c r="F3150" s="3">
        <v>43090</v>
      </c>
      <c r="G3150" s="2">
        <v>201806</v>
      </c>
      <c r="H3150" s="2" t="s">
        <v>74</v>
      </c>
      <c r="I3150" s="2" t="s">
        <v>75</v>
      </c>
      <c r="J3150" s="2" t="s">
        <v>97</v>
      </c>
      <c r="K3150" s="2" t="s">
        <v>77</v>
      </c>
      <c r="L3150" s="2" t="s">
        <v>136</v>
      </c>
      <c r="M3150" s="2" t="s">
        <v>137</v>
      </c>
      <c r="N3150" s="2" t="s">
        <v>2997</v>
      </c>
      <c r="O3150" s="2" t="s">
        <v>101</v>
      </c>
      <c r="P3150" s="2" t="str">
        <f>"2170608769                    "</f>
        <v xml:space="preserve">2170608769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6.43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1.9</v>
      </c>
      <c r="BJ3150" s="2">
        <v>1.7</v>
      </c>
      <c r="BK3150" s="2">
        <v>2</v>
      </c>
      <c r="BL3150" s="2">
        <v>45.93</v>
      </c>
      <c r="BM3150" s="2">
        <v>6.43</v>
      </c>
      <c r="BN3150" s="2">
        <v>52.36</v>
      </c>
      <c r="BO3150" s="2">
        <v>52.36</v>
      </c>
      <c r="BQ3150" s="2" t="s">
        <v>102</v>
      </c>
      <c r="BR3150" s="2" t="s">
        <v>103</v>
      </c>
      <c r="BS3150" s="2" t="s">
        <v>185</v>
      </c>
      <c r="BY3150" s="2">
        <v>8680.57</v>
      </c>
      <c r="CC3150" s="2" t="s">
        <v>137</v>
      </c>
      <c r="CD3150" s="2">
        <v>6100</v>
      </c>
      <c r="CE3150" s="2" t="s">
        <v>95</v>
      </c>
      <c r="CI3150" s="2">
        <v>1</v>
      </c>
      <c r="CJ3150" s="2" t="s">
        <v>185</v>
      </c>
      <c r="CK3150" s="2">
        <v>21</v>
      </c>
      <c r="CL3150" s="2" t="s">
        <v>89</v>
      </c>
    </row>
    <row r="3151" spans="1:90">
      <c r="A3151" s="2" t="s">
        <v>71</v>
      </c>
      <c r="B3151" s="2" t="s">
        <v>72</v>
      </c>
      <c r="C3151" s="2" t="s">
        <v>73</v>
      </c>
      <c r="E3151" s="2" t="str">
        <f>"FES1162597433"</f>
        <v>FES1162597433</v>
      </c>
      <c r="F3151" s="3">
        <v>43090</v>
      </c>
      <c r="G3151" s="2">
        <v>201806</v>
      </c>
      <c r="H3151" s="2" t="s">
        <v>74</v>
      </c>
      <c r="I3151" s="2" t="s">
        <v>75</v>
      </c>
      <c r="J3151" s="2" t="s">
        <v>97</v>
      </c>
      <c r="K3151" s="2" t="s">
        <v>77</v>
      </c>
      <c r="L3151" s="2" t="s">
        <v>158</v>
      </c>
      <c r="M3151" s="2" t="s">
        <v>159</v>
      </c>
      <c r="N3151" s="2" t="s">
        <v>186</v>
      </c>
      <c r="O3151" s="2" t="s">
        <v>101</v>
      </c>
      <c r="P3151" s="2" t="str">
        <f>"217060739                     "</f>
        <v xml:space="preserve">217060739 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6.43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</v>
      </c>
      <c r="BJ3151" s="2">
        <v>0.2</v>
      </c>
      <c r="BK3151" s="2">
        <v>1</v>
      </c>
      <c r="BL3151" s="2">
        <v>45.93</v>
      </c>
      <c r="BM3151" s="2">
        <v>6.43</v>
      </c>
      <c r="BN3151" s="2">
        <v>52.36</v>
      </c>
      <c r="BO3151" s="2">
        <v>52.36</v>
      </c>
      <c r="BQ3151" s="2" t="s">
        <v>187</v>
      </c>
      <c r="BR3151" s="2" t="s">
        <v>103</v>
      </c>
      <c r="BS3151" s="3">
        <v>43091</v>
      </c>
      <c r="BT3151" s="4">
        <v>0.41319444444444442</v>
      </c>
      <c r="BU3151" s="2" t="s">
        <v>1132</v>
      </c>
      <c r="BV3151" s="2" t="s">
        <v>85</v>
      </c>
      <c r="BY3151" s="2">
        <v>1200</v>
      </c>
      <c r="CC3151" s="2" t="s">
        <v>159</v>
      </c>
      <c r="CD3151" s="2">
        <v>159</v>
      </c>
      <c r="CE3151" s="2" t="s">
        <v>120</v>
      </c>
      <c r="CF3151" s="3">
        <v>43097</v>
      </c>
      <c r="CI3151" s="2">
        <v>1</v>
      </c>
      <c r="CJ3151" s="2">
        <v>1</v>
      </c>
      <c r="CK3151" s="2">
        <v>21</v>
      </c>
      <c r="CL3151" s="2" t="s">
        <v>89</v>
      </c>
    </row>
    <row r="3152" spans="1:90">
      <c r="A3152" s="2" t="s">
        <v>71</v>
      </c>
      <c r="B3152" s="2" t="s">
        <v>72</v>
      </c>
      <c r="C3152" s="2" t="s">
        <v>73</v>
      </c>
      <c r="E3152" s="2" t="str">
        <f>"FES1162597407"</f>
        <v>FES1162597407</v>
      </c>
      <c r="F3152" s="3">
        <v>43090</v>
      </c>
      <c r="G3152" s="2">
        <v>201806</v>
      </c>
      <c r="H3152" s="2" t="s">
        <v>74</v>
      </c>
      <c r="I3152" s="2" t="s">
        <v>75</v>
      </c>
      <c r="J3152" s="2" t="s">
        <v>97</v>
      </c>
      <c r="K3152" s="2" t="s">
        <v>77</v>
      </c>
      <c r="L3152" s="2" t="s">
        <v>158</v>
      </c>
      <c r="M3152" s="2" t="s">
        <v>159</v>
      </c>
      <c r="N3152" s="2" t="s">
        <v>588</v>
      </c>
      <c r="O3152" s="2" t="s">
        <v>101</v>
      </c>
      <c r="P3152" s="2" t="str">
        <f>"2170604702                    "</f>
        <v xml:space="preserve">2170604702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6.43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1</v>
      </c>
      <c r="BJ3152" s="2">
        <v>0.2</v>
      </c>
      <c r="BK3152" s="2">
        <v>1</v>
      </c>
      <c r="BL3152" s="2">
        <v>45.93</v>
      </c>
      <c r="BM3152" s="2">
        <v>6.43</v>
      </c>
      <c r="BN3152" s="2">
        <v>52.36</v>
      </c>
      <c r="BO3152" s="2">
        <v>52.36</v>
      </c>
      <c r="BQ3152" s="2" t="s">
        <v>102</v>
      </c>
      <c r="BR3152" s="2" t="s">
        <v>103</v>
      </c>
      <c r="BS3152" s="2" t="s">
        <v>185</v>
      </c>
      <c r="BY3152" s="2">
        <v>1200</v>
      </c>
      <c r="CC3152" s="2" t="s">
        <v>159</v>
      </c>
      <c r="CD3152" s="2">
        <v>40</v>
      </c>
      <c r="CE3152" s="2" t="s">
        <v>120</v>
      </c>
      <c r="CI3152" s="2">
        <v>1</v>
      </c>
      <c r="CJ3152" s="2" t="s">
        <v>185</v>
      </c>
      <c r="CK3152" s="2">
        <v>21</v>
      </c>
      <c r="CL3152" s="2" t="s">
        <v>89</v>
      </c>
    </row>
    <row r="3153" spans="1:90">
      <c r="A3153" s="2" t="s">
        <v>71</v>
      </c>
      <c r="B3153" s="2" t="s">
        <v>72</v>
      </c>
      <c r="C3153" s="2" t="s">
        <v>73</v>
      </c>
      <c r="E3153" s="2" t="str">
        <f>"FES1162597434"</f>
        <v>FES1162597434</v>
      </c>
      <c r="F3153" s="3">
        <v>43090</v>
      </c>
      <c r="G3153" s="2">
        <v>201806</v>
      </c>
      <c r="H3153" s="2" t="s">
        <v>74</v>
      </c>
      <c r="I3153" s="2" t="s">
        <v>75</v>
      </c>
      <c r="J3153" s="2" t="s">
        <v>97</v>
      </c>
      <c r="K3153" s="2" t="s">
        <v>77</v>
      </c>
      <c r="L3153" s="2" t="s">
        <v>121</v>
      </c>
      <c r="M3153" s="2" t="s">
        <v>122</v>
      </c>
      <c r="N3153" s="2" t="s">
        <v>123</v>
      </c>
      <c r="O3153" s="2" t="s">
        <v>101</v>
      </c>
      <c r="P3153" s="2" t="str">
        <f>"2170606751                    "</f>
        <v xml:space="preserve">2170606751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9.0500000000000007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1</v>
      </c>
      <c r="BJ3153" s="2">
        <v>0.2</v>
      </c>
      <c r="BK3153" s="2">
        <v>1</v>
      </c>
      <c r="BL3153" s="2">
        <v>64.599999999999994</v>
      </c>
      <c r="BM3153" s="2">
        <v>9.0399999999999991</v>
      </c>
      <c r="BN3153" s="2">
        <v>73.64</v>
      </c>
      <c r="BO3153" s="2">
        <v>73.64</v>
      </c>
      <c r="BQ3153" s="2" t="s">
        <v>102</v>
      </c>
      <c r="BR3153" s="2" t="s">
        <v>103</v>
      </c>
      <c r="BS3153" s="3">
        <v>43091</v>
      </c>
      <c r="BT3153" s="4">
        <v>0.5</v>
      </c>
      <c r="BU3153" s="2" t="s">
        <v>2998</v>
      </c>
      <c r="BV3153" s="2" t="s">
        <v>85</v>
      </c>
      <c r="BY3153" s="2">
        <v>1200</v>
      </c>
      <c r="CC3153" s="2" t="s">
        <v>122</v>
      </c>
      <c r="CD3153" s="2">
        <v>2210</v>
      </c>
      <c r="CE3153" s="2" t="s">
        <v>120</v>
      </c>
      <c r="CF3153" s="3">
        <v>43096</v>
      </c>
      <c r="CI3153" s="2">
        <v>1</v>
      </c>
      <c r="CJ3153" s="2">
        <v>1</v>
      </c>
      <c r="CK3153" s="2">
        <v>24</v>
      </c>
      <c r="CL3153" s="2" t="s">
        <v>89</v>
      </c>
    </row>
    <row r="3154" spans="1:90">
      <c r="A3154" s="2" t="s">
        <v>71</v>
      </c>
      <c r="B3154" s="2" t="s">
        <v>72</v>
      </c>
      <c r="C3154" s="2" t="s">
        <v>73</v>
      </c>
      <c r="E3154" s="2" t="str">
        <f>"FES1162597440"</f>
        <v>FES1162597440</v>
      </c>
      <c r="F3154" s="3">
        <v>43090</v>
      </c>
      <c r="G3154" s="2">
        <v>201806</v>
      </c>
      <c r="H3154" s="2" t="s">
        <v>74</v>
      </c>
      <c r="I3154" s="2" t="s">
        <v>75</v>
      </c>
      <c r="J3154" s="2" t="s">
        <v>97</v>
      </c>
      <c r="K3154" s="2" t="s">
        <v>77</v>
      </c>
      <c r="L3154" s="2" t="s">
        <v>189</v>
      </c>
      <c r="M3154" s="2" t="s">
        <v>190</v>
      </c>
      <c r="N3154" s="2" t="s">
        <v>330</v>
      </c>
      <c r="O3154" s="2" t="s">
        <v>101</v>
      </c>
      <c r="P3154" s="2" t="str">
        <f>"2170606903                    "</f>
        <v xml:space="preserve">2170606903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6.43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45.93</v>
      </c>
      <c r="BM3154" s="2">
        <v>6.43</v>
      </c>
      <c r="BN3154" s="2">
        <v>52.36</v>
      </c>
      <c r="BO3154" s="2">
        <v>52.36</v>
      </c>
      <c r="BQ3154" s="2" t="s">
        <v>331</v>
      </c>
      <c r="BR3154" s="2" t="s">
        <v>103</v>
      </c>
      <c r="BS3154" s="2" t="s">
        <v>185</v>
      </c>
      <c r="BY3154" s="2">
        <v>1200</v>
      </c>
      <c r="CC3154" s="2" t="s">
        <v>190</v>
      </c>
      <c r="CD3154" s="2">
        <v>157</v>
      </c>
      <c r="CE3154" s="2" t="s">
        <v>120</v>
      </c>
      <c r="CI3154" s="2">
        <v>1</v>
      </c>
      <c r="CJ3154" s="2" t="s">
        <v>185</v>
      </c>
      <c r="CK3154" s="2">
        <v>21</v>
      </c>
      <c r="CL3154" s="2" t="s">
        <v>89</v>
      </c>
    </row>
    <row r="3155" spans="1:90">
      <c r="A3155" s="2" t="s">
        <v>71</v>
      </c>
      <c r="B3155" s="2" t="s">
        <v>72</v>
      </c>
      <c r="C3155" s="2" t="s">
        <v>73</v>
      </c>
      <c r="E3155" s="2" t="str">
        <f>"FES1162597410"</f>
        <v>FES1162597410</v>
      </c>
      <c r="F3155" s="3">
        <v>43090</v>
      </c>
      <c r="G3155" s="2">
        <v>201806</v>
      </c>
      <c r="H3155" s="2" t="s">
        <v>74</v>
      </c>
      <c r="I3155" s="2" t="s">
        <v>75</v>
      </c>
      <c r="J3155" s="2" t="s">
        <v>97</v>
      </c>
      <c r="K3155" s="2" t="s">
        <v>77</v>
      </c>
      <c r="L3155" s="2" t="s">
        <v>158</v>
      </c>
      <c r="M3155" s="2" t="s">
        <v>159</v>
      </c>
      <c r="N3155" s="2" t="s">
        <v>588</v>
      </c>
      <c r="O3155" s="2" t="s">
        <v>101</v>
      </c>
      <c r="P3155" s="2" t="str">
        <f>"2170605503                    "</f>
        <v xml:space="preserve">2170605503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6.43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</v>
      </c>
      <c r="BJ3155" s="2">
        <v>0.2</v>
      </c>
      <c r="BK3155" s="2">
        <v>1</v>
      </c>
      <c r="BL3155" s="2">
        <v>45.93</v>
      </c>
      <c r="BM3155" s="2">
        <v>6.43</v>
      </c>
      <c r="BN3155" s="2">
        <v>52.36</v>
      </c>
      <c r="BO3155" s="2">
        <v>52.36</v>
      </c>
      <c r="BQ3155" s="2" t="s">
        <v>102</v>
      </c>
      <c r="BR3155" s="2" t="s">
        <v>103</v>
      </c>
      <c r="BS3155" s="2" t="s">
        <v>185</v>
      </c>
      <c r="BY3155" s="2">
        <v>1200</v>
      </c>
      <c r="CC3155" s="2" t="s">
        <v>159</v>
      </c>
      <c r="CD3155" s="2">
        <v>40</v>
      </c>
      <c r="CE3155" s="2" t="s">
        <v>120</v>
      </c>
      <c r="CI3155" s="2">
        <v>1</v>
      </c>
      <c r="CJ3155" s="2" t="s">
        <v>185</v>
      </c>
      <c r="CK3155" s="2">
        <v>21</v>
      </c>
      <c r="CL3155" s="2" t="s">
        <v>89</v>
      </c>
    </row>
    <row r="3156" spans="1:90">
      <c r="A3156" s="2" t="s">
        <v>71</v>
      </c>
      <c r="B3156" s="2" t="s">
        <v>72</v>
      </c>
      <c r="C3156" s="2" t="s">
        <v>73</v>
      </c>
      <c r="E3156" s="2" t="str">
        <f>"FES1162597391"</f>
        <v>FES1162597391</v>
      </c>
      <c r="F3156" s="3">
        <v>43090</v>
      </c>
      <c r="G3156" s="2">
        <v>201806</v>
      </c>
      <c r="H3156" s="2" t="s">
        <v>74</v>
      </c>
      <c r="I3156" s="2" t="s">
        <v>75</v>
      </c>
      <c r="J3156" s="2" t="s">
        <v>97</v>
      </c>
      <c r="K3156" s="2" t="s">
        <v>77</v>
      </c>
      <c r="L3156" s="2" t="s">
        <v>74</v>
      </c>
      <c r="M3156" s="2" t="s">
        <v>75</v>
      </c>
      <c r="N3156" s="2" t="s">
        <v>1251</v>
      </c>
      <c r="O3156" s="2" t="s">
        <v>101</v>
      </c>
      <c r="P3156" s="2" t="str">
        <f>"2170601652                    "</f>
        <v xml:space="preserve">2170601652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5.03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35.89</v>
      </c>
      <c r="BM3156" s="2">
        <v>5.0199999999999996</v>
      </c>
      <c r="BN3156" s="2">
        <v>40.909999999999997</v>
      </c>
      <c r="BO3156" s="2">
        <v>40.909999999999997</v>
      </c>
      <c r="BQ3156" s="2" t="s">
        <v>102</v>
      </c>
      <c r="BR3156" s="2" t="s">
        <v>103</v>
      </c>
      <c r="BS3156" s="3">
        <v>43091</v>
      </c>
      <c r="BT3156" s="4">
        <v>0.4375</v>
      </c>
      <c r="BU3156" s="2" t="s">
        <v>2999</v>
      </c>
      <c r="BV3156" s="2" t="s">
        <v>85</v>
      </c>
      <c r="BY3156" s="2">
        <v>1200</v>
      </c>
      <c r="CC3156" s="2" t="s">
        <v>75</v>
      </c>
      <c r="CD3156" s="2">
        <v>1609</v>
      </c>
      <c r="CE3156" s="2" t="s">
        <v>120</v>
      </c>
      <c r="CI3156" s="2">
        <v>1</v>
      </c>
      <c r="CJ3156" s="2">
        <v>1</v>
      </c>
      <c r="CK3156" s="2">
        <v>22</v>
      </c>
      <c r="CL3156" s="2" t="s">
        <v>89</v>
      </c>
    </row>
    <row r="3157" spans="1:90">
      <c r="A3157" s="2" t="s">
        <v>71</v>
      </c>
      <c r="B3157" s="2" t="s">
        <v>72</v>
      </c>
      <c r="C3157" s="2" t="s">
        <v>73</v>
      </c>
      <c r="E3157" s="2" t="str">
        <f>"FES1162597406"</f>
        <v>FES1162597406</v>
      </c>
      <c r="F3157" s="3">
        <v>43090</v>
      </c>
      <c r="G3157" s="2">
        <v>201806</v>
      </c>
      <c r="H3157" s="2" t="s">
        <v>74</v>
      </c>
      <c r="I3157" s="2" t="s">
        <v>75</v>
      </c>
      <c r="J3157" s="2" t="s">
        <v>97</v>
      </c>
      <c r="K3157" s="2" t="s">
        <v>77</v>
      </c>
      <c r="L3157" s="2" t="s">
        <v>74</v>
      </c>
      <c r="M3157" s="2" t="s">
        <v>75</v>
      </c>
      <c r="N3157" s="2" t="s">
        <v>204</v>
      </c>
      <c r="O3157" s="2" t="s">
        <v>101</v>
      </c>
      <c r="P3157" s="2" t="str">
        <f>"2170604481                    "</f>
        <v xml:space="preserve">2170604481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5.03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35.89</v>
      </c>
      <c r="BM3157" s="2">
        <v>5.0199999999999996</v>
      </c>
      <c r="BN3157" s="2">
        <v>40.909999999999997</v>
      </c>
      <c r="BO3157" s="2">
        <v>40.909999999999997</v>
      </c>
      <c r="BQ3157" s="2" t="s">
        <v>102</v>
      </c>
      <c r="BR3157" s="2" t="s">
        <v>103</v>
      </c>
      <c r="BS3157" s="2" t="s">
        <v>185</v>
      </c>
      <c r="BY3157" s="2">
        <v>1200</v>
      </c>
      <c r="CC3157" s="2" t="s">
        <v>75</v>
      </c>
      <c r="CD3157" s="2">
        <v>1645</v>
      </c>
      <c r="CE3157" s="2" t="s">
        <v>120</v>
      </c>
      <c r="CI3157" s="2">
        <v>1</v>
      </c>
      <c r="CJ3157" s="2" t="s">
        <v>185</v>
      </c>
      <c r="CK3157" s="2">
        <v>22</v>
      </c>
      <c r="CL3157" s="2" t="s">
        <v>89</v>
      </c>
    </row>
    <row r="3158" spans="1:90">
      <c r="A3158" s="2" t="s">
        <v>71</v>
      </c>
      <c r="B3158" s="2" t="s">
        <v>72</v>
      </c>
      <c r="C3158" s="2" t="s">
        <v>73</v>
      </c>
      <c r="E3158" s="2" t="str">
        <f>"FES1162597476"</f>
        <v>FES1162597476</v>
      </c>
      <c r="F3158" s="3">
        <v>43090</v>
      </c>
      <c r="G3158" s="2">
        <v>201806</v>
      </c>
      <c r="H3158" s="2" t="s">
        <v>74</v>
      </c>
      <c r="I3158" s="2" t="s">
        <v>75</v>
      </c>
      <c r="J3158" s="2" t="s">
        <v>97</v>
      </c>
      <c r="K3158" s="2" t="s">
        <v>77</v>
      </c>
      <c r="L3158" s="2" t="s">
        <v>162</v>
      </c>
      <c r="M3158" s="2" t="s">
        <v>163</v>
      </c>
      <c r="N3158" s="2" t="s">
        <v>164</v>
      </c>
      <c r="O3158" s="2" t="s">
        <v>101</v>
      </c>
      <c r="P3158" s="2" t="str">
        <f>"2170608703                    "</f>
        <v xml:space="preserve">2170608703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5.03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1</v>
      </c>
      <c r="BJ3158" s="2">
        <v>0.2</v>
      </c>
      <c r="BK3158" s="2">
        <v>1</v>
      </c>
      <c r="BL3158" s="2">
        <v>35.89</v>
      </c>
      <c r="BM3158" s="2">
        <v>5.0199999999999996</v>
      </c>
      <c r="BN3158" s="2">
        <v>40.909999999999997</v>
      </c>
      <c r="BO3158" s="2">
        <v>40.909999999999997</v>
      </c>
      <c r="BQ3158" s="2" t="s">
        <v>102</v>
      </c>
      <c r="BR3158" s="2" t="s">
        <v>103</v>
      </c>
      <c r="BS3158" s="3">
        <v>43091</v>
      </c>
      <c r="BT3158" s="4">
        <v>0.51874999999999993</v>
      </c>
      <c r="BU3158" s="2" t="s">
        <v>1232</v>
      </c>
      <c r="BV3158" s="2" t="s">
        <v>89</v>
      </c>
      <c r="BY3158" s="2">
        <v>1200</v>
      </c>
      <c r="CA3158" s="2" t="s">
        <v>1226</v>
      </c>
      <c r="CC3158" s="2" t="s">
        <v>163</v>
      </c>
      <c r="CD3158" s="2">
        <v>1451</v>
      </c>
      <c r="CE3158" s="2" t="s">
        <v>120</v>
      </c>
      <c r="CI3158" s="2">
        <v>1</v>
      </c>
      <c r="CJ3158" s="2">
        <v>1</v>
      </c>
      <c r="CK3158" s="2">
        <v>22</v>
      </c>
      <c r="CL3158" s="2" t="s">
        <v>89</v>
      </c>
    </row>
    <row r="3159" spans="1:90">
      <c r="A3159" s="2" t="s">
        <v>71</v>
      </c>
      <c r="B3159" s="2" t="s">
        <v>72</v>
      </c>
      <c r="C3159" s="2" t="s">
        <v>73</v>
      </c>
      <c r="E3159" s="2" t="str">
        <f>"FES1162597414"</f>
        <v>FES1162597414</v>
      </c>
      <c r="F3159" s="3">
        <v>43090</v>
      </c>
      <c r="G3159" s="2">
        <v>201806</v>
      </c>
      <c r="H3159" s="2" t="s">
        <v>74</v>
      </c>
      <c r="I3159" s="2" t="s">
        <v>75</v>
      </c>
      <c r="J3159" s="2" t="s">
        <v>97</v>
      </c>
      <c r="K3159" s="2" t="s">
        <v>77</v>
      </c>
      <c r="L3159" s="2" t="s">
        <v>173</v>
      </c>
      <c r="M3159" s="2" t="s">
        <v>174</v>
      </c>
      <c r="N3159" s="2" t="s">
        <v>3000</v>
      </c>
      <c r="O3159" s="2" t="s">
        <v>101</v>
      </c>
      <c r="P3159" s="2" t="str">
        <f>"2170605930                    "</f>
        <v xml:space="preserve">2170605930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6.43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1</v>
      </c>
      <c r="BJ3159" s="2">
        <v>0.2</v>
      </c>
      <c r="BK3159" s="2">
        <v>1</v>
      </c>
      <c r="BL3159" s="2">
        <v>45.93</v>
      </c>
      <c r="BM3159" s="2">
        <v>6.43</v>
      </c>
      <c r="BN3159" s="2">
        <v>52.36</v>
      </c>
      <c r="BO3159" s="2">
        <v>52.36</v>
      </c>
      <c r="BR3159" s="2" t="s">
        <v>103</v>
      </c>
      <c r="BS3159" s="3">
        <v>43091</v>
      </c>
      <c r="BT3159" s="4">
        <v>0.41666666666666669</v>
      </c>
      <c r="BU3159" s="2" t="s">
        <v>3001</v>
      </c>
      <c r="BV3159" s="2" t="s">
        <v>85</v>
      </c>
      <c r="BY3159" s="2">
        <v>1200</v>
      </c>
      <c r="CC3159" s="2" t="s">
        <v>174</v>
      </c>
      <c r="CD3159" s="2">
        <v>7460</v>
      </c>
      <c r="CE3159" s="2" t="s">
        <v>120</v>
      </c>
      <c r="CF3159" s="3">
        <v>43091</v>
      </c>
      <c r="CI3159" s="2">
        <v>1</v>
      </c>
      <c r="CJ3159" s="2">
        <v>1</v>
      </c>
      <c r="CK3159" s="2">
        <v>21</v>
      </c>
      <c r="CL3159" s="2" t="s">
        <v>89</v>
      </c>
    </row>
    <row r="3160" spans="1:90">
      <c r="A3160" s="2" t="s">
        <v>71</v>
      </c>
      <c r="B3160" s="2" t="s">
        <v>72</v>
      </c>
      <c r="C3160" s="2" t="s">
        <v>73</v>
      </c>
      <c r="E3160" s="2" t="str">
        <f>"FES1162597459"</f>
        <v>FES1162597459</v>
      </c>
      <c r="F3160" s="3">
        <v>43090</v>
      </c>
      <c r="G3160" s="2">
        <v>201806</v>
      </c>
      <c r="H3160" s="2" t="s">
        <v>74</v>
      </c>
      <c r="I3160" s="2" t="s">
        <v>75</v>
      </c>
      <c r="J3160" s="2" t="s">
        <v>97</v>
      </c>
      <c r="K3160" s="2" t="s">
        <v>77</v>
      </c>
      <c r="L3160" s="2" t="s">
        <v>90</v>
      </c>
      <c r="M3160" s="2" t="s">
        <v>91</v>
      </c>
      <c r="N3160" s="2" t="s">
        <v>92</v>
      </c>
      <c r="O3160" s="2" t="s">
        <v>101</v>
      </c>
      <c r="P3160" s="2" t="str">
        <f>"2170868689                    "</f>
        <v xml:space="preserve">2170868689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5.03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35.89</v>
      </c>
      <c r="BM3160" s="2">
        <v>5.0199999999999996</v>
      </c>
      <c r="BN3160" s="2">
        <v>40.909999999999997</v>
      </c>
      <c r="BO3160" s="2">
        <v>40.909999999999997</v>
      </c>
      <c r="BQ3160" s="2" t="s">
        <v>102</v>
      </c>
      <c r="BR3160" s="2" t="s">
        <v>103</v>
      </c>
      <c r="BS3160" s="3">
        <v>43091</v>
      </c>
      <c r="BT3160" s="4">
        <v>0.41666666666666669</v>
      </c>
      <c r="BU3160" s="2" t="s">
        <v>3002</v>
      </c>
      <c r="BV3160" s="2" t="s">
        <v>85</v>
      </c>
      <c r="BY3160" s="2">
        <v>1200</v>
      </c>
      <c r="CC3160" s="2" t="s">
        <v>91</v>
      </c>
      <c r="CD3160" s="2">
        <v>1559</v>
      </c>
      <c r="CE3160" s="2" t="s">
        <v>120</v>
      </c>
      <c r="CI3160" s="2">
        <v>1</v>
      </c>
      <c r="CJ3160" s="2">
        <v>1</v>
      </c>
      <c r="CK3160" s="2">
        <v>22</v>
      </c>
      <c r="CL3160" s="2" t="s">
        <v>89</v>
      </c>
    </row>
    <row r="3161" spans="1:90">
      <c r="A3161" s="2" t="s">
        <v>71</v>
      </c>
      <c r="B3161" s="2" t="s">
        <v>72</v>
      </c>
      <c r="C3161" s="2" t="s">
        <v>73</v>
      </c>
      <c r="E3161" s="2" t="str">
        <f>"FES1162597426"</f>
        <v>FES1162597426</v>
      </c>
      <c r="F3161" s="3">
        <v>43090</v>
      </c>
      <c r="G3161" s="2">
        <v>201806</v>
      </c>
      <c r="H3161" s="2" t="s">
        <v>74</v>
      </c>
      <c r="I3161" s="2" t="s">
        <v>75</v>
      </c>
      <c r="J3161" s="2" t="s">
        <v>97</v>
      </c>
      <c r="K3161" s="2" t="s">
        <v>77</v>
      </c>
      <c r="L3161" s="2" t="s">
        <v>106</v>
      </c>
      <c r="M3161" s="2" t="s">
        <v>107</v>
      </c>
      <c r="N3161" s="2" t="s">
        <v>108</v>
      </c>
      <c r="O3161" s="2" t="s">
        <v>101</v>
      </c>
      <c r="P3161" s="2" t="str">
        <f>"2170606478                    "</f>
        <v xml:space="preserve">2170606478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5.03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1</v>
      </c>
      <c r="BJ3161" s="2">
        <v>0.2</v>
      </c>
      <c r="BK3161" s="2">
        <v>1</v>
      </c>
      <c r="BL3161" s="2">
        <v>35.89</v>
      </c>
      <c r="BM3161" s="2">
        <v>5.0199999999999996</v>
      </c>
      <c r="BN3161" s="2">
        <v>40.909999999999997</v>
      </c>
      <c r="BO3161" s="2">
        <v>40.909999999999997</v>
      </c>
      <c r="BQ3161" s="2" t="s">
        <v>82</v>
      </c>
      <c r="BR3161" s="2" t="s">
        <v>103</v>
      </c>
      <c r="BS3161" s="3">
        <v>43091</v>
      </c>
      <c r="BT3161" s="4">
        <v>0.37847222222222227</v>
      </c>
      <c r="BU3161" s="2" t="s">
        <v>328</v>
      </c>
      <c r="BV3161" s="2" t="s">
        <v>85</v>
      </c>
      <c r="BY3161" s="2">
        <v>1200</v>
      </c>
      <c r="CC3161" s="2" t="s">
        <v>107</v>
      </c>
      <c r="CD3161" s="2">
        <v>2094</v>
      </c>
      <c r="CE3161" s="2" t="s">
        <v>120</v>
      </c>
      <c r="CI3161" s="2">
        <v>1</v>
      </c>
      <c r="CJ3161" s="2">
        <v>1</v>
      </c>
      <c r="CK3161" s="2">
        <v>22</v>
      </c>
      <c r="CL3161" s="2" t="s">
        <v>89</v>
      </c>
    </row>
    <row r="3162" spans="1:90">
      <c r="A3162" s="2" t="s">
        <v>71</v>
      </c>
      <c r="B3162" s="2" t="s">
        <v>72</v>
      </c>
      <c r="C3162" s="2" t="s">
        <v>73</v>
      </c>
      <c r="E3162" s="2" t="str">
        <f>"FES1162597452"</f>
        <v>FES1162597452</v>
      </c>
      <c r="F3162" s="3">
        <v>43090</v>
      </c>
      <c r="G3162" s="2">
        <v>201806</v>
      </c>
      <c r="H3162" s="2" t="s">
        <v>74</v>
      </c>
      <c r="I3162" s="2" t="s">
        <v>75</v>
      </c>
      <c r="J3162" s="2" t="s">
        <v>97</v>
      </c>
      <c r="K3162" s="2" t="s">
        <v>77</v>
      </c>
      <c r="L3162" s="2" t="s">
        <v>90</v>
      </c>
      <c r="M3162" s="2" t="s">
        <v>91</v>
      </c>
      <c r="N3162" s="2" t="s">
        <v>2295</v>
      </c>
      <c r="O3162" s="2" t="s">
        <v>101</v>
      </c>
      <c r="P3162" s="2" t="str">
        <f>"2170607584                    "</f>
        <v xml:space="preserve">2170607584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5.03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0.2</v>
      </c>
      <c r="BJ3162" s="2">
        <v>0.7</v>
      </c>
      <c r="BK3162" s="2">
        <v>1</v>
      </c>
      <c r="BL3162" s="2">
        <v>35.89</v>
      </c>
      <c r="BM3162" s="2">
        <v>5.0199999999999996</v>
      </c>
      <c r="BN3162" s="2">
        <v>40.909999999999997</v>
      </c>
      <c r="BO3162" s="2">
        <v>40.909999999999997</v>
      </c>
      <c r="BQ3162" s="2" t="s">
        <v>2296</v>
      </c>
      <c r="BR3162" s="2" t="s">
        <v>103</v>
      </c>
      <c r="BS3162" s="3">
        <v>43091</v>
      </c>
      <c r="BT3162" s="4">
        <v>0.41666666666666669</v>
      </c>
      <c r="BU3162" s="2" t="s">
        <v>205</v>
      </c>
      <c r="BV3162" s="2" t="s">
        <v>85</v>
      </c>
      <c r="BY3162" s="2">
        <v>3254.47</v>
      </c>
      <c r="CC3162" s="2" t="s">
        <v>91</v>
      </c>
      <c r="CD3162" s="2">
        <v>1559</v>
      </c>
      <c r="CE3162" s="2" t="s">
        <v>120</v>
      </c>
      <c r="CI3162" s="2">
        <v>1</v>
      </c>
      <c r="CJ3162" s="2">
        <v>1</v>
      </c>
      <c r="CK3162" s="2">
        <v>22</v>
      </c>
      <c r="CL3162" s="2" t="s">
        <v>89</v>
      </c>
    </row>
    <row r="3163" spans="1:90">
      <c r="A3163" s="2" t="s">
        <v>71</v>
      </c>
      <c r="B3163" s="2" t="s">
        <v>72</v>
      </c>
      <c r="C3163" s="2" t="s">
        <v>73</v>
      </c>
      <c r="E3163" s="2" t="str">
        <f>"FES1162597393"</f>
        <v>FES1162597393</v>
      </c>
      <c r="F3163" s="3">
        <v>43090</v>
      </c>
      <c r="G3163" s="2">
        <v>201806</v>
      </c>
      <c r="H3163" s="2" t="s">
        <v>74</v>
      </c>
      <c r="I3163" s="2" t="s">
        <v>75</v>
      </c>
      <c r="J3163" s="2" t="s">
        <v>97</v>
      </c>
      <c r="K3163" s="2" t="s">
        <v>77</v>
      </c>
      <c r="L3163" s="2" t="s">
        <v>78</v>
      </c>
      <c r="M3163" s="2" t="s">
        <v>79</v>
      </c>
      <c r="N3163" s="2" t="s">
        <v>80</v>
      </c>
      <c r="O3163" s="2" t="s">
        <v>101</v>
      </c>
      <c r="P3163" s="2" t="str">
        <f>"2170602004                    "</f>
        <v xml:space="preserve">2170602004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6.43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45.93</v>
      </c>
      <c r="BM3163" s="2">
        <v>6.43</v>
      </c>
      <c r="BN3163" s="2">
        <v>52.36</v>
      </c>
      <c r="BO3163" s="2">
        <v>52.36</v>
      </c>
      <c r="BQ3163" s="2" t="s">
        <v>102</v>
      </c>
      <c r="BR3163" s="2" t="s">
        <v>103</v>
      </c>
      <c r="BS3163" s="3">
        <v>43096</v>
      </c>
      <c r="BT3163" s="4">
        <v>0.66736111111111107</v>
      </c>
      <c r="BU3163" s="2" t="s">
        <v>3003</v>
      </c>
      <c r="BV3163" s="2" t="s">
        <v>89</v>
      </c>
      <c r="BY3163" s="2">
        <v>1200</v>
      </c>
      <c r="CA3163" s="2" t="s">
        <v>86</v>
      </c>
      <c r="CC3163" s="2" t="s">
        <v>79</v>
      </c>
      <c r="CD3163" s="2">
        <v>1947</v>
      </c>
      <c r="CE3163" s="2" t="s">
        <v>120</v>
      </c>
      <c r="CF3163" s="3">
        <v>43098</v>
      </c>
      <c r="CI3163" s="2">
        <v>1</v>
      </c>
      <c r="CJ3163" s="2">
        <v>4</v>
      </c>
      <c r="CK3163" s="2">
        <v>21</v>
      </c>
      <c r="CL3163" s="2" t="s">
        <v>89</v>
      </c>
    </row>
    <row r="3164" spans="1:90">
      <c r="A3164" s="2" t="s">
        <v>71</v>
      </c>
      <c r="B3164" s="2" t="s">
        <v>72</v>
      </c>
      <c r="C3164" s="2" t="s">
        <v>73</v>
      </c>
      <c r="E3164" s="2" t="str">
        <f>"FES1162597422"</f>
        <v>FES1162597422</v>
      </c>
      <c r="F3164" s="3">
        <v>43090</v>
      </c>
      <c r="G3164" s="2">
        <v>201806</v>
      </c>
      <c r="H3164" s="2" t="s">
        <v>74</v>
      </c>
      <c r="I3164" s="2" t="s">
        <v>75</v>
      </c>
      <c r="J3164" s="2" t="s">
        <v>97</v>
      </c>
      <c r="K3164" s="2" t="s">
        <v>77</v>
      </c>
      <c r="L3164" s="2" t="s">
        <v>106</v>
      </c>
      <c r="M3164" s="2" t="s">
        <v>107</v>
      </c>
      <c r="N3164" s="2" t="s">
        <v>108</v>
      </c>
      <c r="O3164" s="2" t="s">
        <v>101</v>
      </c>
      <c r="P3164" s="2" t="str">
        <f>"2170606279                    "</f>
        <v xml:space="preserve">2170606279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5.03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1</v>
      </c>
      <c r="BJ3164" s="2">
        <v>0.2</v>
      </c>
      <c r="BK3164" s="2">
        <v>1</v>
      </c>
      <c r="BL3164" s="2">
        <v>35.89</v>
      </c>
      <c r="BM3164" s="2">
        <v>5.0199999999999996</v>
      </c>
      <c r="BN3164" s="2">
        <v>40.909999999999997</v>
      </c>
      <c r="BO3164" s="2">
        <v>40.909999999999997</v>
      </c>
      <c r="BQ3164" s="2" t="s">
        <v>82</v>
      </c>
      <c r="BR3164" s="2" t="s">
        <v>103</v>
      </c>
      <c r="BS3164" s="2" t="s">
        <v>185</v>
      </c>
      <c r="BY3164" s="2">
        <v>1200</v>
      </c>
      <c r="CC3164" s="2" t="s">
        <v>107</v>
      </c>
      <c r="CD3164" s="2">
        <v>2094</v>
      </c>
      <c r="CE3164" s="2" t="s">
        <v>120</v>
      </c>
      <c r="CI3164" s="2">
        <v>1</v>
      </c>
      <c r="CJ3164" s="2" t="s">
        <v>185</v>
      </c>
      <c r="CK3164" s="2">
        <v>22</v>
      </c>
      <c r="CL3164" s="2" t="s">
        <v>89</v>
      </c>
    </row>
    <row r="3165" spans="1:90">
      <c r="A3165" s="2" t="s">
        <v>71</v>
      </c>
      <c r="B3165" s="2" t="s">
        <v>72</v>
      </c>
      <c r="C3165" s="2" t="s">
        <v>73</v>
      </c>
      <c r="E3165" s="2" t="str">
        <f>"FES1162597430"</f>
        <v>FES1162597430</v>
      </c>
      <c r="F3165" s="3">
        <v>43090</v>
      </c>
      <c r="G3165" s="2">
        <v>201806</v>
      </c>
      <c r="H3165" s="2" t="s">
        <v>74</v>
      </c>
      <c r="I3165" s="2" t="s">
        <v>75</v>
      </c>
      <c r="J3165" s="2" t="s">
        <v>97</v>
      </c>
      <c r="K3165" s="2" t="s">
        <v>77</v>
      </c>
      <c r="L3165" s="2" t="s">
        <v>90</v>
      </c>
      <c r="M3165" s="2" t="s">
        <v>91</v>
      </c>
      <c r="N3165" s="2" t="s">
        <v>92</v>
      </c>
      <c r="O3165" s="2" t="s">
        <v>101</v>
      </c>
      <c r="P3165" s="2" t="str">
        <f>"2170606696                    "</f>
        <v xml:space="preserve">2170606696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5.03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1</v>
      </c>
      <c r="BJ3165" s="2">
        <v>0.2</v>
      </c>
      <c r="BK3165" s="2">
        <v>1</v>
      </c>
      <c r="BL3165" s="2">
        <v>35.89</v>
      </c>
      <c r="BM3165" s="2">
        <v>5.0199999999999996</v>
      </c>
      <c r="BN3165" s="2">
        <v>40.909999999999997</v>
      </c>
      <c r="BO3165" s="2">
        <v>40.909999999999997</v>
      </c>
      <c r="BQ3165" s="2" t="s">
        <v>102</v>
      </c>
      <c r="BR3165" s="2" t="s">
        <v>103</v>
      </c>
      <c r="BS3165" s="3">
        <v>43091</v>
      </c>
      <c r="BT3165" s="4">
        <v>0.41666666666666669</v>
      </c>
      <c r="BU3165" s="2" t="s">
        <v>3002</v>
      </c>
      <c r="BV3165" s="2" t="s">
        <v>85</v>
      </c>
      <c r="BY3165" s="2">
        <v>1200</v>
      </c>
      <c r="CC3165" s="2" t="s">
        <v>91</v>
      </c>
      <c r="CD3165" s="2">
        <v>1559</v>
      </c>
      <c r="CE3165" s="2" t="s">
        <v>120</v>
      </c>
      <c r="CI3165" s="2">
        <v>1</v>
      </c>
      <c r="CJ3165" s="2">
        <v>1</v>
      </c>
      <c r="CK3165" s="2">
        <v>22</v>
      </c>
      <c r="CL3165" s="2" t="s">
        <v>89</v>
      </c>
    </row>
    <row r="3166" spans="1:90">
      <c r="A3166" s="2" t="s">
        <v>71</v>
      </c>
      <c r="B3166" s="2" t="s">
        <v>72</v>
      </c>
      <c r="C3166" s="2" t="s">
        <v>73</v>
      </c>
      <c r="E3166" s="2" t="str">
        <f>"FES1162597438"</f>
        <v>FES1162597438</v>
      </c>
      <c r="F3166" s="3">
        <v>43090</v>
      </c>
      <c r="G3166" s="2">
        <v>201806</v>
      </c>
      <c r="H3166" s="2" t="s">
        <v>74</v>
      </c>
      <c r="I3166" s="2" t="s">
        <v>75</v>
      </c>
      <c r="J3166" s="2" t="s">
        <v>97</v>
      </c>
      <c r="K3166" s="2" t="s">
        <v>77</v>
      </c>
      <c r="L3166" s="2" t="s">
        <v>189</v>
      </c>
      <c r="M3166" s="2" t="s">
        <v>190</v>
      </c>
      <c r="N3166" s="2" t="s">
        <v>191</v>
      </c>
      <c r="O3166" s="2" t="s">
        <v>101</v>
      </c>
      <c r="P3166" s="2" t="str">
        <f>"2170606852                    "</f>
        <v xml:space="preserve">2170606852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6.43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1</v>
      </c>
      <c r="BJ3166" s="2">
        <v>0.2</v>
      </c>
      <c r="BK3166" s="2">
        <v>1</v>
      </c>
      <c r="BL3166" s="2">
        <v>45.93</v>
      </c>
      <c r="BM3166" s="2">
        <v>6.43</v>
      </c>
      <c r="BN3166" s="2">
        <v>52.36</v>
      </c>
      <c r="BO3166" s="2">
        <v>52.36</v>
      </c>
      <c r="BR3166" s="2" t="s">
        <v>103</v>
      </c>
      <c r="BS3166" s="2" t="s">
        <v>185</v>
      </c>
      <c r="BY3166" s="2">
        <v>1200</v>
      </c>
      <c r="CC3166" s="2" t="s">
        <v>190</v>
      </c>
      <c r="CD3166" s="2">
        <v>157</v>
      </c>
      <c r="CE3166" s="2" t="s">
        <v>120</v>
      </c>
      <c r="CI3166" s="2">
        <v>1</v>
      </c>
      <c r="CJ3166" s="2" t="s">
        <v>185</v>
      </c>
      <c r="CK3166" s="2">
        <v>21</v>
      </c>
      <c r="CL3166" s="2" t="s">
        <v>89</v>
      </c>
    </row>
    <row r="3167" spans="1:90">
      <c r="A3167" s="2" t="s">
        <v>71</v>
      </c>
      <c r="B3167" s="2" t="s">
        <v>72</v>
      </c>
      <c r="C3167" s="2" t="s">
        <v>73</v>
      </c>
      <c r="E3167" s="2" t="str">
        <f>"FES1162597439"</f>
        <v>FES1162597439</v>
      </c>
      <c r="F3167" s="3">
        <v>43090</v>
      </c>
      <c r="G3167" s="2">
        <v>201806</v>
      </c>
      <c r="H3167" s="2" t="s">
        <v>74</v>
      </c>
      <c r="I3167" s="2" t="s">
        <v>75</v>
      </c>
      <c r="J3167" s="2" t="s">
        <v>97</v>
      </c>
      <c r="K3167" s="2" t="s">
        <v>77</v>
      </c>
      <c r="L3167" s="2" t="s">
        <v>253</v>
      </c>
      <c r="M3167" s="2" t="s">
        <v>254</v>
      </c>
      <c r="N3167" s="2" t="s">
        <v>773</v>
      </c>
      <c r="O3167" s="2" t="s">
        <v>101</v>
      </c>
      <c r="P3167" s="2" t="str">
        <f>"2170606855                    "</f>
        <v xml:space="preserve">2170606855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6.43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45.93</v>
      </c>
      <c r="BM3167" s="2">
        <v>6.43</v>
      </c>
      <c r="BN3167" s="2">
        <v>52.36</v>
      </c>
      <c r="BO3167" s="2">
        <v>52.36</v>
      </c>
      <c r="BQ3167" s="2" t="s">
        <v>82</v>
      </c>
      <c r="BR3167" s="2" t="s">
        <v>103</v>
      </c>
      <c r="BS3167" s="2" t="s">
        <v>185</v>
      </c>
      <c r="BY3167" s="2">
        <v>1200</v>
      </c>
      <c r="CC3167" s="2" t="s">
        <v>254</v>
      </c>
      <c r="CD3167" s="2">
        <v>1911</v>
      </c>
      <c r="CE3167" s="2" t="s">
        <v>120</v>
      </c>
      <c r="CI3167" s="2">
        <v>1</v>
      </c>
      <c r="CJ3167" s="2" t="s">
        <v>185</v>
      </c>
      <c r="CK3167" s="2">
        <v>21</v>
      </c>
      <c r="CL3167" s="2" t="s">
        <v>89</v>
      </c>
    </row>
    <row r="3168" spans="1:90">
      <c r="A3168" s="2" t="s">
        <v>71</v>
      </c>
      <c r="B3168" s="2" t="s">
        <v>72</v>
      </c>
      <c r="C3168" s="2" t="s">
        <v>73</v>
      </c>
      <c r="E3168" s="2" t="str">
        <f>"FES1162597467"</f>
        <v>FES1162597467</v>
      </c>
      <c r="F3168" s="3">
        <v>43090</v>
      </c>
      <c r="G3168" s="2">
        <v>201806</v>
      </c>
      <c r="H3168" s="2" t="s">
        <v>74</v>
      </c>
      <c r="I3168" s="2" t="s">
        <v>75</v>
      </c>
      <c r="J3168" s="2" t="s">
        <v>97</v>
      </c>
      <c r="K3168" s="2" t="s">
        <v>77</v>
      </c>
      <c r="L3168" s="2" t="s">
        <v>295</v>
      </c>
      <c r="M3168" s="2" t="s">
        <v>296</v>
      </c>
      <c r="N3168" s="2" t="s">
        <v>2963</v>
      </c>
      <c r="O3168" s="2" t="s">
        <v>101</v>
      </c>
      <c r="P3168" s="2" t="str">
        <f>"2170608675                    "</f>
        <v xml:space="preserve">2170608675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9.0500000000000007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</v>
      </c>
      <c r="BJ3168" s="2">
        <v>0.2</v>
      </c>
      <c r="BK3168" s="2">
        <v>1</v>
      </c>
      <c r="BL3168" s="2">
        <v>64.599999999999994</v>
      </c>
      <c r="BM3168" s="2">
        <v>9.0399999999999991</v>
      </c>
      <c r="BN3168" s="2">
        <v>73.64</v>
      </c>
      <c r="BO3168" s="2">
        <v>73.64</v>
      </c>
      <c r="BQ3168" s="2" t="s">
        <v>2964</v>
      </c>
      <c r="BR3168" s="2" t="s">
        <v>103</v>
      </c>
      <c r="BS3168" s="2" t="s">
        <v>185</v>
      </c>
      <c r="BY3168" s="2">
        <v>1200</v>
      </c>
      <c r="CC3168" s="2" t="s">
        <v>296</v>
      </c>
      <c r="CD3168" s="2">
        <v>407</v>
      </c>
      <c r="CE3168" s="2" t="s">
        <v>120</v>
      </c>
      <c r="CI3168" s="2">
        <v>1</v>
      </c>
      <c r="CJ3168" s="2" t="s">
        <v>185</v>
      </c>
      <c r="CK3168" s="2">
        <v>24</v>
      </c>
      <c r="CL3168" s="2" t="s">
        <v>89</v>
      </c>
    </row>
    <row r="3169" spans="1:90">
      <c r="A3169" s="2" t="s">
        <v>71</v>
      </c>
      <c r="B3169" s="2" t="s">
        <v>72</v>
      </c>
      <c r="C3169" s="2" t="s">
        <v>73</v>
      </c>
      <c r="E3169" s="2" t="str">
        <f>"FES1162597493"</f>
        <v>FES1162597493</v>
      </c>
      <c r="F3169" s="3">
        <v>43090</v>
      </c>
      <c r="G3169" s="2">
        <v>201806</v>
      </c>
      <c r="H3169" s="2" t="s">
        <v>74</v>
      </c>
      <c r="I3169" s="2" t="s">
        <v>75</v>
      </c>
      <c r="J3169" s="2" t="s">
        <v>97</v>
      </c>
      <c r="K3169" s="2" t="s">
        <v>77</v>
      </c>
      <c r="L3169" s="2" t="s">
        <v>115</v>
      </c>
      <c r="M3169" s="2" t="s">
        <v>116</v>
      </c>
      <c r="N3169" s="2" t="s">
        <v>724</v>
      </c>
      <c r="O3169" s="2" t="s">
        <v>101</v>
      </c>
      <c r="P3169" s="2" t="str">
        <f>"2170608179                    "</f>
        <v xml:space="preserve">2170608179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5.03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</v>
      </c>
      <c r="BJ3169" s="2">
        <v>0.2</v>
      </c>
      <c r="BK3169" s="2">
        <v>1</v>
      </c>
      <c r="BL3169" s="2">
        <v>35.89</v>
      </c>
      <c r="BM3169" s="2">
        <v>5.0199999999999996</v>
      </c>
      <c r="BN3169" s="2">
        <v>40.909999999999997</v>
      </c>
      <c r="BO3169" s="2">
        <v>40.909999999999997</v>
      </c>
      <c r="BQ3169" s="2" t="s">
        <v>229</v>
      </c>
      <c r="BR3169" s="2" t="s">
        <v>103</v>
      </c>
      <c r="BS3169" s="3">
        <v>43091</v>
      </c>
      <c r="BT3169" s="4">
        <v>0.30624999999999997</v>
      </c>
      <c r="BU3169" s="2" t="s">
        <v>3004</v>
      </c>
      <c r="BV3169" s="2" t="s">
        <v>85</v>
      </c>
      <c r="BY3169" s="2">
        <v>1200</v>
      </c>
      <c r="CA3169" s="2" t="s">
        <v>119</v>
      </c>
      <c r="CC3169" s="2" t="s">
        <v>116</v>
      </c>
      <c r="CD3169" s="2">
        <v>1459</v>
      </c>
      <c r="CE3169" s="2" t="s">
        <v>120</v>
      </c>
      <c r="CF3169" s="3">
        <v>43091</v>
      </c>
      <c r="CI3169" s="2">
        <v>1</v>
      </c>
      <c r="CJ3169" s="2">
        <v>1</v>
      </c>
      <c r="CK3169" s="2">
        <v>22</v>
      </c>
      <c r="CL3169" s="2" t="s">
        <v>89</v>
      </c>
    </row>
    <row r="3170" spans="1:90">
      <c r="A3170" s="2" t="s">
        <v>71</v>
      </c>
      <c r="B3170" s="2" t="s">
        <v>72</v>
      </c>
      <c r="C3170" s="2" t="s">
        <v>73</v>
      </c>
      <c r="E3170" s="2" t="str">
        <f>"FES1162597421"</f>
        <v>FES1162597421</v>
      </c>
      <c r="F3170" s="3">
        <v>43090</v>
      </c>
      <c r="G3170" s="2">
        <v>201806</v>
      </c>
      <c r="H3170" s="2" t="s">
        <v>74</v>
      </c>
      <c r="I3170" s="2" t="s">
        <v>75</v>
      </c>
      <c r="J3170" s="2" t="s">
        <v>97</v>
      </c>
      <c r="K3170" s="2" t="s">
        <v>77</v>
      </c>
      <c r="L3170" s="2" t="s">
        <v>651</v>
      </c>
      <c r="M3170" s="2" t="s">
        <v>652</v>
      </c>
      <c r="N3170" s="2" t="s">
        <v>3005</v>
      </c>
      <c r="O3170" s="2" t="s">
        <v>101</v>
      </c>
      <c r="P3170" s="2" t="str">
        <f>"2170606226                    "</f>
        <v xml:space="preserve">2170606226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9.0500000000000007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1</v>
      </c>
      <c r="BJ3170" s="2">
        <v>0.2</v>
      </c>
      <c r="BK3170" s="2">
        <v>1</v>
      </c>
      <c r="BL3170" s="2">
        <v>64.599999999999994</v>
      </c>
      <c r="BM3170" s="2">
        <v>9.0399999999999991</v>
      </c>
      <c r="BN3170" s="2">
        <v>73.64</v>
      </c>
      <c r="BO3170" s="2">
        <v>73.64</v>
      </c>
      <c r="BQ3170" s="2" t="s">
        <v>102</v>
      </c>
      <c r="BR3170" s="2" t="s">
        <v>103</v>
      </c>
      <c r="BS3170" s="2" t="s">
        <v>185</v>
      </c>
      <c r="BY3170" s="2">
        <v>1200</v>
      </c>
      <c r="CC3170" s="2" t="s">
        <v>652</v>
      </c>
      <c r="CD3170" s="2">
        <v>257</v>
      </c>
      <c r="CE3170" s="2" t="s">
        <v>120</v>
      </c>
      <c r="CI3170" s="2">
        <v>1</v>
      </c>
      <c r="CJ3170" s="2" t="s">
        <v>185</v>
      </c>
      <c r="CK3170" s="2">
        <v>24</v>
      </c>
      <c r="CL3170" s="2" t="s">
        <v>89</v>
      </c>
    </row>
    <row r="3171" spans="1:90">
      <c r="A3171" s="2" t="s">
        <v>71</v>
      </c>
      <c r="B3171" s="2" t="s">
        <v>72</v>
      </c>
      <c r="C3171" s="2" t="s">
        <v>73</v>
      </c>
      <c r="E3171" s="2" t="str">
        <f>"FES1162597495"</f>
        <v>FES1162597495</v>
      </c>
      <c r="F3171" s="3">
        <v>43090</v>
      </c>
      <c r="G3171" s="2">
        <v>201806</v>
      </c>
      <c r="H3171" s="2" t="s">
        <v>74</v>
      </c>
      <c r="I3171" s="2" t="s">
        <v>75</v>
      </c>
      <c r="J3171" s="2" t="s">
        <v>97</v>
      </c>
      <c r="K3171" s="2" t="s">
        <v>77</v>
      </c>
      <c r="L3171" s="2" t="s">
        <v>136</v>
      </c>
      <c r="M3171" s="2" t="s">
        <v>137</v>
      </c>
      <c r="N3171" s="2" t="s">
        <v>138</v>
      </c>
      <c r="O3171" s="2" t="s">
        <v>101</v>
      </c>
      <c r="P3171" s="2" t="str">
        <f>"21720608722                   "</f>
        <v xml:space="preserve">21720608722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6.43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1</v>
      </c>
      <c r="BJ3171" s="2">
        <v>0.2</v>
      </c>
      <c r="BK3171" s="2">
        <v>1</v>
      </c>
      <c r="BL3171" s="2">
        <v>45.93</v>
      </c>
      <c r="BM3171" s="2">
        <v>6.43</v>
      </c>
      <c r="BN3171" s="2">
        <v>52.36</v>
      </c>
      <c r="BO3171" s="2">
        <v>52.36</v>
      </c>
      <c r="BQ3171" s="2" t="s">
        <v>82</v>
      </c>
      <c r="BR3171" s="2" t="s">
        <v>103</v>
      </c>
      <c r="BS3171" s="3">
        <v>43091</v>
      </c>
      <c r="BT3171" s="4">
        <v>0.34930555555555554</v>
      </c>
      <c r="BU3171" s="2" t="s">
        <v>139</v>
      </c>
      <c r="BV3171" s="2" t="s">
        <v>85</v>
      </c>
      <c r="BY3171" s="2">
        <v>1200</v>
      </c>
      <c r="CA3171" s="2" t="s">
        <v>140</v>
      </c>
      <c r="CC3171" s="2" t="s">
        <v>137</v>
      </c>
      <c r="CD3171" s="2">
        <v>6001</v>
      </c>
      <c r="CE3171" s="2" t="s">
        <v>120</v>
      </c>
      <c r="CF3171" s="3">
        <v>43097</v>
      </c>
      <c r="CI3171" s="2">
        <v>1</v>
      </c>
      <c r="CJ3171" s="2">
        <v>1</v>
      </c>
      <c r="CK3171" s="2">
        <v>21</v>
      </c>
      <c r="CL3171" s="2" t="s">
        <v>89</v>
      </c>
    </row>
    <row r="3172" spans="1:90">
      <c r="A3172" s="2" t="s">
        <v>71</v>
      </c>
      <c r="B3172" s="2" t="s">
        <v>72</v>
      </c>
      <c r="C3172" s="2" t="s">
        <v>73</v>
      </c>
      <c r="E3172" s="2" t="str">
        <f>"FES1162597488"</f>
        <v>FES1162597488</v>
      </c>
      <c r="F3172" s="3">
        <v>43090</v>
      </c>
      <c r="G3172" s="2">
        <v>201806</v>
      </c>
      <c r="H3172" s="2" t="s">
        <v>74</v>
      </c>
      <c r="I3172" s="2" t="s">
        <v>75</v>
      </c>
      <c r="J3172" s="2" t="s">
        <v>97</v>
      </c>
      <c r="K3172" s="2" t="s">
        <v>77</v>
      </c>
      <c r="L3172" s="2" t="s">
        <v>262</v>
      </c>
      <c r="M3172" s="2" t="s">
        <v>263</v>
      </c>
      <c r="N3172" s="2" t="s">
        <v>2780</v>
      </c>
      <c r="O3172" s="2" t="s">
        <v>101</v>
      </c>
      <c r="P3172" s="2" t="str">
        <f>"2170608480                    "</f>
        <v xml:space="preserve">2170608480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6.43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1</v>
      </c>
      <c r="BJ3172" s="2">
        <v>0.2</v>
      </c>
      <c r="BK3172" s="2">
        <v>1</v>
      </c>
      <c r="BL3172" s="2">
        <v>45.93</v>
      </c>
      <c r="BM3172" s="2">
        <v>6.43</v>
      </c>
      <c r="BN3172" s="2">
        <v>52.36</v>
      </c>
      <c r="BO3172" s="2">
        <v>52.36</v>
      </c>
      <c r="BQ3172" s="2" t="s">
        <v>2781</v>
      </c>
      <c r="BR3172" s="2" t="s">
        <v>103</v>
      </c>
      <c r="BS3172" s="3">
        <v>43096</v>
      </c>
      <c r="BT3172" s="4">
        <v>0.41666666666666669</v>
      </c>
      <c r="BU3172" s="2" t="s">
        <v>3006</v>
      </c>
      <c r="BV3172" s="2" t="s">
        <v>89</v>
      </c>
      <c r="BW3172" s="2" t="s">
        <v>313</v>
      </c>
      <c r="BX3172" s="2" t="s">
        <v>314</v>
      </c>
      <c r="BY3172" s="2">
        <v>1200</v>
      </c>
      <c r="CC3172" s="2" t="s">
        <v>263</v>
      </c>
      <c r="CD3172" s="2">
        <v>6230</v>
      </c>
      <c r="CE3172" s="2" t="s">
        <v>120</v>
      </c>
      <c r="CF3172" s="3">
        <v>43097</v>
      </c>
      <c r="CI3172" s="2">
        <v>1</v>
      </c>
      <c r="CJ3172" s="2">
        <v>4</v>
      </c>
      <c r="CK3172" s="2">
        <v>21</v>
      </c>
      <c r="CL3172" s="2" t="s">
        <v>89</v>
      </c>
    </row>
    <row r="3173" spans="1:90">
      <c r="A3173" s="2" t="s">
        <v>71</v>
      </c>
      <c r="B3173" s="2" t="s">
        <v>72</v>
      </c>
      <c r="C3173" s="2" t="s">
        <v>73</v>
      </c>
      <c r="E3173" s="2" t="str">
        <f>"FES1162597466"</f>
        <v>FES1162597466</v>
      </c>
      <c r="F3173" s="3">
        <v>43090</v>
      </c>
      <c r="G3173" s="2">
        <v>201806</v>
      </c>
      <c r="H3173" s="2" t="s">
        <v>74</v>
      </c>
      <c r="I3173" s="2" t="s">
        <v>75</v>
      </c>
      <c r="J3173" s="2" t="s">
        <v>97</v>
      </c>
      <c r="K3173" s="2" t="s">
        <v>77</v>
      </c>
      <c r="L3173" s="2" t="s">
        <v>158</v>
      </c>
      <c r="M3173" s="2" t="s">
        <v>159</v>
      </c>
      <c r="N3173" s="2" t="s">
        <v>164</v>
      </c>
      <c r="O3173" s="2" t="s">
        <v>101</v>
      </c>
      <c r="P3173" s="2" t="str">
        <f>"2170608225                    "</f>
        <v xml:space="preserve">2170608225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6.43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1</v>
      </c>
      <c r="BJ3173" s="2">
        <v>0.2</v>
      </c>
      <c r="BK3173" s="2">
        <v>1</v>
      </c>
      <c r="BL3173" s="2">
        <v>45.93</v>
      </c>
      <c r="BM3173" s="2">
        <v>6.43</v>
      </c>
      <c r="BN3173" s="2">
        <v>52.36</v>
      </c>
      <c r="BO3173" s="2">
        <v>52.36</v>
      </c>
      <c r="BQ3173" s="2" t="s">
        <v>102</v>
      </c>
      <c r="BR3173" s="2" t="s">
        <v>103</v>
      </c>
      <c r="BS3173" s="3">
        <v>43091</v>
      </c>
      <c r="BT3173" s="4">
        <v>0.4375</v>
      </c>
      <c r="BU3173" s="2" t="s">
        <v>1132</v>
      </c>
      <c r="BV3173" s="2" t="s">
        <v>85</v>
      </c>
      <c r="BY3173" s="2">
        <v>1200</v>
      </c>
      <c r="CC3173" s="2" t="s">
        <v>159</v>
      </c>
      <c r="CD3173" s="2">
        <v>200</v>
      </c>
      <c r="CE3173" s="2" t="s">
        <v>120</v>
      </c>
      <c r="CF3173" s="3">
        <v>43096</v>
      </c>
      <c r="CI3173" s="2">
        <v>1</v>
      </c>
      <c r="CJ3173" s="2">
        <v>1</v>
      </c>
      <c r="CK3173" s="2">
        <v>21</v>
      </c>
      <c r="CL3173" s="2" t="s">
        <v>89</v>
      </c>
    </row>
    <row r="3174" spans="1:90">
      <c r="A3174" s="2" t="s">
        <v>71</v>
      </c>
      <c r="B3174" s="2" t="s">
        <v>72</v>
      </c>
      <c r="C3174" s="2" t="s">
        <v>73</v>
      </c>
      <c r="E3174" s="2" t="str">
        <f>"FES1162597447"</f>
        <v>FES1162597447</v>
      </c>
      <c r="F3174" s="3">
        <v>43090</v>
      </c>
      <c r="G3174" s="2">
        <v>201806</v>
      </c>
      <c r="H3174" s="2" t="s">
        <v>74</v>
      </c>
      <c r="I3174" s="2" t="s">
        <v>75</v>
      </c>
      <c r="J3174" s="2" t="s">
        <v>97</v>
      </c>
      <c r="K3174" s="2" t="s">
        <v>77</v>
      </c>
      <c r="L3174" s="2" t="s">
        <v>325</v>
      </c>
      <c r="M3174" s="2" t="s">
        <v>326</v>
      </c>
      <c r="N3174" s="2" t="s">
        <v>1129</v>
      </c>
      <c r="O3174" s="2" t="s">
        <v>101</v>
      </c>
      <c r="P3174" s="2" t="str">
        <f>"2170607211                    "</f>
        <v xml:space="preserve">2170607211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6.43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1</v>
      </c>
      <c r="BJ3174" s="2">
        <v>0.2</v>
      </c>
      <c r="BK3174" s="2">
        <v>1</v>
      </c>
      <c r="BL3174" s="2">
        <v>45.93</v>
      </c>
      <c r="BM3174" s="2">
        <v>6.43</v>
      </c>
      <c r="BN3174" s="2">
        <v>52.36</v>
      </c>
      <c r="BO3174" s="2">
        <v>52.36</v>
      </c>
      <c r="BQ3174" s="2" t="s">
        <v>102</v>
      </c>
      <c r="BR3174" s="2" t="s">
        <v>103</v>
      </c>
      <c r="BS3174" s="2" t="s">
        <v>185</v>
      </c>
      <c r="BY3174" s="2">
        <v>1200</v>
      </c>
      <c r="CC3174" s="2" t="s">
        <v>326</v>
      </c>
      <c r="CD3174" s="2">
        <v>1939</v>
      </c>
      <c r="CE3174" s="2" t="s">
        <v>120</v>
      </c>
      <c r="CI3174" s="2">
        <v>1</v>
      </c>
      <c r="CJ3174" s="2" t="s">
        <v>185</v>
      </c>
      <c r="CK3174" s="2">
        <v>21</v>
      </c>
      <c r="CL3174" s="2" t="s">
        <v>89</v>
      </c>
    </row>
    <row r="3175" spans="1:90">
      <c r="A3175" s="2" t="s">
        <v>71</v>
      </c>
      <c r="B3175" s="2" t="s">
        <v>72</v>
      </c>
      <c r="C3175" s="2" t="s">
        <v>73</v>
      </c>
      <c r="E3175" s="2" t="str">
        <f>"FES1162597385"</f>
        <v>FES1162597385</v>
      </c>
      <c r="F3175" s="3">
        <v>43090</v>
      </c>
      <c r="G3175" s="2">
        <v>201806</v>
      </c>
      <c r="H3175" s="2" t="s">
        <v>74</v>
      </c>
      <c r="I3175" s="2" t="s">
        <v>75</v>
      </c>
      <c r="J3175" s="2" t="s">
        <v>97</v>
      </c>
      <c r="K3175" s="2" t="s">
        <v>77</v>
      </c>
      <c r="L3175" s="2" t="s">
        <v>152</v>
      </c>
      <c r="M3175" s="2" t="s">
        <v>153</v>
      </c>
      <c r="N3175" s="2" t="s">
        <v>336</v>
      </c>
      <c r="O3175" s="2" t="s">
        <v>101</v>
      </c>
      <c r="P3175" s="2" t="str">
        <f>"2170606690                    "</f>
        <v xml:space="preserve">2170606690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5.03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</v>
      </c>
      <c r="BJ3175" s="2">
        <v>0.2</v>
      </c>
      <c r="BK3175" s="2">
        <v>1</v>
      </c>
      <c r="BL3175" s="2">
        <v>35.89</v>
      </c>
      <c r="BM3175" s="2">
        <v>5.0199999999999996</v>
      </c>
      <c r="BN3175" s="2">
        <v>40.909999999999997</v>
      </c>
      <c r="BO3175" s="2">
        <v>40.909999999999997</v>
      </c>
      <c r="BR3175" s="2" t="s">
        <v>103</v>
      </c>
      <c r="BS3175" s="3">
        <v>43096</v>
      </c>
      <c r="BT3175" s="4">
        <v>0.38472222222222219</v>
      </c>
      <c r="BU3175" s="2" t="s">
        <v>3007</v>
      </c>
      <c r="BV3175" s="2" t="s">
        <v>89</v>
      </c>
      <c r="BY3175" s="2">
        <v>1200</v>
      </c>
      <c r="CA3175" s="2" t="s">
        <v>337</v>
      </c>
      <c r="CC3175" s="2" t="s">
        <v>153</v>
      </c>
      <c r="CD3175" s="2">
        <v>1400</v>
      </c>
      <c r="CE3175" s="2" t="s">
        <v>120</v>
      </c>
      <c r="CI3175" s="2">
        <v>1</v>
      </c>
      <c r="CJ3175" s="2">
        <v>4</v>
      </c>
      <c r="CK3175" s="2">
        <v>22</v>
      </c>
      <c r="CL3175" s="2" t="s">
        <v>89</v>
      </c>
    </row>
    <row r="3176" spans="1:90">
      <c r="A3176" s="2" t="s">
        <v>71</v>
      </c>
      <c r="B3176" s="2" t="s">
        <v>72</v>
      </c>
      <c r="C3176" s="2" t="s">
        <v>73</v>
      </c>
      <c r="E3176" s="2" t="str">
        <f>"FES1162597497"</f>
        <v>FES1162597497</v>
      </c>
      <c r="F3176" s="3">
        <v>43090</v>
      </c>
      <c r="G3176" s="2">
        <v>201806</v>
      </c>
      <c r="H3176" s="2" t="s">
        <v>74</v>
      </c>
      <c r="I3176" s="2" t="s">
        <v>75</v>
      </c>
      <c r="J3176" s="2" t="s">
        <v>97</v>
      </c>
      <c r="K3176" s="2" t="s">
        <v>77</v>
      </c>
      <c r="L3176" s="2" t="s">
        <v>136</v>
      </c>
      <c r="M3176" s="2" t="s">
        <v>137</v>
      </c>
      <c r="N3176" s="2" t="s">
        <v>1544</v>
      </c>
      <c r="O3176" s="2" t="s">
        <v>101</v>
      </c>
      <c r="P3176" s="2" t="str">
        <f>"2170608726                    "</f>
        <v xml:space="preserve">2170608726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6.43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45.93</v>
      </c>
      <c r="BM3176" s="2">
        <v>6.43</v>
      </c>
      <c r="BN3176" s="2">
        <v>52.36</v>
      </c>
      <c r="BO3176" s="2">
        <v>52.36</v>
      </c>
      <c r="BQ3176" s="2" t="s">
        <v>128</v>
      </c>
      <c r="BR3176" s="2" t="s">
        <v>103</v>
      </c>
      <c r="BS3176" s="2" t="s">
        <v>185</v>
      </c>
      <c r="BY3176" s="2">
        <v>1200</v>
      </c>
      <c r="CC3176" s="2" t="s">
        <v>137</v>
      </c>
      <c r="CD3176" s="2">
        <v>6070</v>
      </c>
      <c r="CE3176" s="2" t="s">
        <v>120</v>
      </c>
      <c r="CI3176" s="2">
        <v>1</v>
      </c>
      <c r="CJ3176" s="2" t="s">
        <v>185</v>
      </c>
      <c r="CK3176" s="2">
        <v>21</v>
      </c>
      <c r="CL3176" s="2" t="s">
        <v>89</v>
      </c>
    </row>
    <row r="3177" spans="1:90">
      <c r="A3177" s="2" t="s">
        <v>71</v>
      </c>
      <c r="B3177" s="2" t="s">
        <v>72</v>
      </c>
      <c r="C3177" s="2" t="s">
        <v>73</v>
      </c>
      <c r="E3177" s="2" t="str">
        <f>"FES1162597487"</f>
        <v>FES1162597487</v>
      </c>
      <c r="F3177" s="3">
        <v>43090</v>
      </c>
      <c r="G3177" s="2">
        <v>201806</v>
      </c>
      <c r="H3177" s="2" t="s">
        <v>74</v>
      </c>
      <c r="I3177" s="2" t="s">
        <v>75</v>
      </c>
      <c r="J3177" s="2" t="s">
        <v>97</v>
      </c>
      <c r="K3177" s="2" t="s">
        <v>77</v>
      </c>
      <c r="L3177" s="2" t="s">
        <v>136</v>
      </c>
      <c r="M3177" s="2" t="s">
        <v>137</v>
      </c>
      <c r="N3177" s="2" t="s">
        <v>1355</v>
      </c>
      <c r="O3177" s="2" t="s">
        <v>101</v>
      </c>
      <c r="P3177" s="2" t="str">
        <f>"2170608721                    "</f>
        <v xml:space="preserve">2170608721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6.43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2</v>
      </c>
      <c r="BJ3177" s="2">
        <v>0.8</v>
      </c>
      <c r="BK3177" s="2">
        <v>2</v>
      </c>
      <c r="BL3177" s="2">
        <v>45.93</v>
      </c>
      <c r="BM3177" s="2">
        <v>6.43</v>
      </c>
      <c r="BN3177" s="2">
        <v>52.36</v>
      </c>
      <c r="BO3177" s="2">
        <v>52.36</v>
      </c>
      <c r="BQ3177" s="2" t="s">
        <v>3008</v>
      </c>
      <c r="BR3177" s="2" t="s">
        <v>103</v>
      </c>
      <c r="BS3177" s="3">
        <v>43091</v>
      </c>
      <c r="BT3177" s="4">
        <v>0.30138888888888887</v>
      </c>
      <c r="BU3177" s="2" t="s">
        <v>2400</v>
      </c>
      <c r="BV3177" s="2" t="s">
        <v>85</v>
      </c>
      <c r="BY3177" s="2">
        <v>3904.56</v>
      </c>
      <c r="CC3177" s="2" t="s">
        <v>137</v>
      </c>
      <c r="CD3177" s="2">
        <v>6012</v>
      </c>
      <c r="CE3177" s="2" t="s">
        <v>87</v>
      </c>
      <c r="CF3177" s="3">
        <v>43097</v>
      </c>
      <c r="CI3177" s="2">
        <v>1</v>
      </c>
      <c r="CJ3177" s="2">
        <v>1</v>
      </c>
      <c r="CK3177" s="2">
        <v>21</v>
      </c>
      <c r="CL3177" s="2" t="s">
        <v>89</v>
      </c>
    </row>
    <row r="3178" spans="1:90">
      <c r="A3178" s="2" t="s">
        <v>71</v>
      </c>
      <c r="B3178" s="2" t="s">
        <v>72</v>
      </c>
      <c r="C3178" s="2" t="s">
        <v>73</v>
      </c>
      <c r="E3178" s="2" t="str">
        <f>"009935791585"</f>
        <v>009935791585</v>
      </c>
      <c r="F3178" s="3">
        <v>43090</v>
      </c>
      <c r="G3178" s="2">
        <v>201806</v>
      </c>
      <c r="H3178" s="2" t="s">
        <v>74</v>
      </c>
      <c r="I3178" s="2" t="s">
        <v>75</v>
      </c>
      <c r="J3178" s="2" t="s">
        <v>97</v>
      </c>
      <c r="K3178" s="2" t="s">
        <v>77</v>
      </c>
      <c r="L3178" s="2" t="s">
        <v>158</v>
      </c>
      <c r="M3178" s="2" t="s">
        <v>159</v>
      </c>
      <c r="N3178" s="2" t="s">
        <v>3009</v>
      </c>
      <c r="O3178" s="2" t="s">
        <v>101</v>
      </c>
      <c r="P3178" s="2" t="str">
        <f>"21706098839                   "</f>
        <v xml:space="preserve">21706098839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6.43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45.93</v>
      </c>
      <c r="BM3178" s="2">
        <v>6.43</v>
      </c>
      <c r="BN3178" s="2">
        <v>52.36</v>
      </c>
      <c r="BO3178" s="2">
        <v>52.36</v>
      </c>
      <c r="BR3178" s="2" t="s">
        <v>103</v>
      </c>
      <c r="BS3178" s="3">
        <v>43091</v>
      </c>
      <c r="BT3178" s="4">
        <v>0.4375</v>
      </c>
      <c r="BU3178" s="2" t="s">
        <v>200</v>
      </c>
      <c r="BV3178" s="2" t="s">
        <v>85</v>
      </c>
      <c r="BY3178" s="2">
        <v>1200</v>
      </c>
      <c r="CC3178" s="2" t="s">
        <v>159</v>
      </c>
      <c r="CD3178" s="2">
        <v>1</v>
      </c>
      <c r="CE3178" s="2" t="s">
        <v>120</v>
      </c>
      <c r="CF3178" s="3">
        <v>43091</v>
      </c>
      <c r="CI3178" s="2">
        <v>1</v>
      </c>
      <c r="CJ3178" s="2">
        <v>1</v>
      </c>
      <c r="CK3178" s="2">
        <v>21</v>
      </c>
      <c r="CL3178" s="2" t="s">
        <v>89</v>
      </c>
    </row>
    <row r="3179" spans="1:90">
      <c r="A3179" s="2" t="s">
        <v>71</v>
      </c>
      <c r="B3179" s="2" t="s">
        <v>72</v>
      </c>
      <c r="C3179" s="2" t="s">
        <v>73</v>
      </c>
      <c r="E3179" s="2" t="str">
        <f>"009935791584"</f>
        <v>009935791584</v>
      </c>
      <c r="F3179" s="3">
        <v>43090</v>
      </c>
      <c r="G3179" s="2">
        <v>201806</v>
      </c>
      <c r="H3179" s="2" t="s">
        <v>74</v>
      </c>
      <c r="I3179" s="2" t="s">
        <v>75</v>
      </c>
      <c r="J3179" s="2" t="s">
        <v>97</v>
      </c>
      <c r="K3179" s="2" t="s">
        <v>77</v>
      </c>
      <c r="L3179" s="2" t="s">
        <v>158</v>
      </c>
      <c r="M3179" s="2" t="s">
        <v>159</v>
      </c>
      <c r="N3179" s="2" t="s">
        <v>3009</v>
      </c>
      <c r="O3179" s="2" t="s">
        <v>101</v>
      </c>
      <c r="P3179" s="2" t="str">
        <f>"21706098839                   "</f>
        <v xml:space="preserve">21706098839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6.43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1</v>
      </c>
      <c r="BJ3179" s="2">
        <v>0.2</v>
      </c>
      <c r="BK3179" s="2">
        <v>1</v>
      </c>
      <c r="BL3179" s="2">
        <v>45.93</v>
      </c>
      <c r="BM3179" s="2">
        <v>6.43</v>
      </c>
      <c r="BN3179" s="2">
        <v>52.36</v>
      </c>
      <c r="BO3179" s="2">
        <v>52.36</v>
      </c>
      <c r="BR3179" s="2" t="s">
        <v>103</v>
      </c>
      <c r="BS3179" s="3">
        <v>43091</v>
      </c>
      <c r="BT3179" s="4">
        <v>0.4375</v>
      </c>
      <c r="BU3179" s="2" t="s">
        <v>200</v>
      </c>
      <c r="BV3179" s="2" t="s">
        <v>85</v>
      </c>
      <c r="BY3179" s="2">
        <v>1200</v>
      </c>
      <c r="CC3179" s="2" t="s">
        <v>159</v>
      </c>
      <c r="CD3179" s="2">
        <v>1</v>
      </c>
      <c r="CE3179" s="2" t="s">
        <v>120</v>
      </c>
      <c r="CF3179" s="3">
        <v>43091</v>
      </c>
      <c r="CI3179" s="2">
        <v>1</v>
      </c>
      <c r="CJ3179" s="2">
        <v>1</v>
      </c>
      <c r="CK3179" s="2">
        <v>21</v>
      </c>
      <c r="CL3179" s="2" t="s">
        <v>89</v>
      </c>
    </row>
    <row r="3180" spans="1:90">
      <c r="A3180" s="2" t="s">
        <v>71</v>
      </c>
      <c r="B3180" s="2" t="s">
        <v>72</v>
      </c>
      <c r="C3180" s="2" t="s">
        <v>73</v>
      </c>
      <c r="E3180" s="2" t="str">
        <f>"FES1162597453"</f>
        <v>FES1162597453</v>
      </c>
      <c r="F3180" s="3">
        <v>43090</v>
      </c>
      <c r="G3180" s="2">
        <v>201806</v>
      </c>
      <c r="H3180" s="2" t="s">
        <v>74</v>
      </c>
      <c r="I3180" s="2" t="s">
        <v>75</v>
      </c>
      <c r="J3180" s="2" t="s">
        <v>97</v>
      </c>
      <c r="K3180" s="2" t="s">
        <v>77</v>
      </c>
      <c r="L3180" s="2" t="s">
        <v>168</v>
      </c>
      <c r="M3180" s="2" t="s">
        <v>169</v>
      </c>
      <c r="N3180" s="2" t="s">
        <v>1006</v>
      </c>
      <c r="O3180" s="2" t="s">
        <v>101</v>
      </c>
      <c r="P3180" s="2" t="str">
        <f>"2170607982                    "</f>
        <v xml:space="preserve">2170607982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9.65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2.8</v>
      </c>
      <c r="BJ3180" s="2">
        <v>0.8</v>
      </c>
      <c r="BK3180" s="2">
        <v>3</v>
      </c>
      <c r="BL3180" s="2">
        <v>68.89</v>
      </c>
      <c r="BM3180" s="2">
        <v>9.64</v>
      </c>
      <c r="BN3180" s="2">
        <v>78.53</v>
      </c>
      <c r="BO3180" s="2">
        <v>78.53</v>
      </c>
      <c r="BQ3180" s="2" t="s">
        <v>82</v>
      </c>
      <c r="BR3180" s="2" t="s">
        <v>103</v>
      </c>
      <c r="BS3180" s="3">
        <v>43091</v>
      </c>
      <c r="BT3180" s="4">
        <v>0.39513888888888887</v>
      </c>
      <c r="BU3180" s="2" t="s">
        <v>3010</v>
      </c>
      <c r="BV3180" s="2" t="s">
        <v>85</v>
      </c>
      <c r="BY3180" s="2">
        <v>4064.63</v>
      </c>
      <c r="CA3180" s="2" t="s">
        <v>220</v>
      </c>
      <c r="CC3180" s="2" t="s">
        <v>169</v>
      </c>
      <c r="CD3180" s="2">
        <v>3610</v>
      </c>
      <c r="CE3180" s="2" t="s">
        <v>95</v>
      </c>
      <c r="CF3180" s="3">
        <v>43096</v>
      </c>
      <c r="CI3180" s="2">
        <v>1</v>
      </c>
      <c r="CJ3180" s="2">
        <v>1</v>
      </c>
      <c r="CK3180" s="2">
        <v>21</v>
      </c>
      <c r="CL3180" s="2" t="s">
        <v>89</v>
      </c>
    </row>
    <row r="3181" spans="1:90">
      <c r="A3181" s="2" t="s">
        <v>71</v>
      </c>
      <c r="B3181" s="2" t="s">
        <v>72</v>
      </c>
      <c r="C3181" s="2" t="s">
        <v>73</v>
      </c>
      <c r="E3181" s="2" t="str">
        <f>"FES1162597458"</f>
        <v>FES1162597458</v>
      </c>
      <c r="F3181" s="3">
        <v>43090</v>
      </c>
      <c r="G3181" s="2">
        <v>201806</v>
      </c>
      <c r="H3181" s="2" t="s">
        <v>74</v>
      </c>
      <c r="I3181" s="2" t="s">
        <v>75</v>
      </c>
      <c r="J3181" s="2" t="s">
        <v>97</v>
      </c>
      <c r="K3181" s="2" t="s">
        <v>77</v>
      </c>
      <c r="L3181" s="2" t="s">
        <v>158</v>
      </c>
      <c r="M3181" s="2" t="s">
        <v>159</v>
      </c>
      <c r="N3181" s="2" t="s">
        <v>976</v>
      </c>
      <c r="O3181" s="2" t="s">
        <v>101</v>
      </c>
      <c r="P3181" s="2" t="str">
        <f>"2170608688                    "</f>
        <v xml:space="preserve">2170608688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8.0399999999999991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2.5</v>
      </c>
      <c r="BJ3181" s="2">
        <v>0.9</v>
      </c>
      <c r="BK3181" s="2">
        <v>2.5</v>
      </c>
      <c r="BL3181" s="2">
        <v>57.41</v>
      </c>
      <c r="BM3181" s="2">
        <v>8.0399999999999991</v>
      </c>
      <c r="BN3181" s="2">
        <v>65.45</v>
      </c>
      <c r="BO3181" s="2">
        <v>65.45</v>
      </c>
      <c r="BQ3181" s="2" t="s">
        <v>82</v>
      </c>
      <c r="BR3181" s="2" t="s">
        <v>103</v>
      </c>
      <c r="BS3181" s="2" t="s">
        <v>185</v>
      </c>
      <c r="BY3181" s="2">
        <v>4483.51</v>
      </c>
      <c r="CC3181" s="2" t="s">
        <v>159</v>
      </c>
      <c r="CD3181" s="2">
        <v>200</v>
      </c>
      <c r="CE3181" s="2" t="s">
        <v>87</v>
      </c>
      <c r="CI3181" s="2">
        <v>1</v>
      </c>
      <c r="CJ3181" s="2" t="s">
        <v>185</v>
      </c>
      <c r="CK3181" s="2">
        <v>21</v>
      </c>
      <c r="CL3181" s="2" t="s">
        <v>89</v>
      </c>
    </row>
    <row r="3182" spans="1:90">
      <c r="A3182" s="2" t="s">
        <v>71</v>
      </c>
      <c r="B3182" s="2" t="s">
        <v>72</v>
      </c>
      <c r="C3182" s="2" t="s">
        <v>73</v>
      </c>
      <c r="E3182" s="2" t="str">
        <f>"FES1162597384"</f>
        <v>FES1162597384</v>
      </c>
      <c r="F3182" s="3">
        <v>43090</v>
      </c>
      <c r="G3182" s="2">
        <v>201806</v>
      </c>
      <c r="H3182" s="2" t="s">
        <v>74</v>
      </c>
      <c r="I3182" s="2" t="s">
        <v>75</v>
      </c>
      <c r="J3182" s="2" t="s">
        <v>97</v>
      </c>
      <c r="K3182" s="2" t="s">
        <v>77</v>
      </c>
      <c r="L3182" s="2" t="s">
        <v>221</v>
      </c>
      <c r="M3182" s="2" t="s">
        <v>222</v>
      </c>
      <c r="N3182" s="2" t="s">
        <v>164</v>
      </c>
      <c r="O3182" s="2" t="s">
        <v>101</v>
      </c>
      <c r="P3182" s="2" t="str">
        <f>"2170608686                    "</f>
        <v xml:space="preserve">2170608686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22.51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4</v>
      </c>
      <c r="BJ3182" s="2">
        <v>7</v>
      </c>
      <c r="BK3182" s="2">
        <v>7</v>
      </c>
      <c r="BL3182" s="2">
        <v>160.71</v>
      </c>
      <c r="BM3182" s="2">
        <v>22.5</v>
      </c>
      <c r="BN3182" s="2">
        <v>183.21</v>
      </c>
      <c r="BO3182" s="2">
        <v>183.21</v>
      </c>
      <c r="BQ3182" s="2" t="s">
        <v>102</v>
      </c>
      <c r="BR3182" s="2" t="s">
        <v>103</v>
      </c>
      <c r="BS3182" s="3">
        <v>43091</v>
      </c>
      <c r="BT3182" s="4">
        <v>0.37638888888888888</v>
      </c>
      <c r="BU3182" s="2" t="s">
        <v>3011</v>
      </c>
      <c r="BV3182" s="2" t="s">
        <v>85</v>
      </c>
      <c r="BY3182" s="2">
        <v>35000</v>
      </c>
      <c r="CA3182" s="2" t="s">
        <v>225</v>
      </c>
      <c r="CC3182" s="2" t="s">
        <v>222</v>
      </c>
      <c r="CD3182" s="2">
        <v>4133</v>
      </c>
      <c r="CE3182" s="2" t="s">
        <v>87</v>
      </c>
      <c r="CF3182" s="3">
        <v>43096</v>
      </c>
      <c r="CI3182" s="2">
        <v>1</v>
      </c>
      <c r="CJ3182" s="2">
        <v>1</v>
      </c>
      <c r="CK3182" s="2">
        <v>21</v>
      </c>
      <c r="CL3182" s="2" t="s">
        <v>89</v>
      </c>
    </row>
    <row r="3183" spans="1:90">
      <c r="A3183" s="2" t="s">
        <v>71</v>
      </c>
      <c r="B3183" s="2" t="s">
        <v>72</v>
      </c>
      <c r="C3183" s="2" t="s">
        <v>73</v>
      </c>
      <c r="E3183" s="2" t="str">
        <f>"FES1162597462"</f>
        <v>FES1162597462</v>
      </c>
      <c r="F3183" s="3">
        <v>43090</v>
      </c>
      <c r="G3183" s="2">
        <v>201806</v>
      </c>
      <c r="H3183" s="2" t="s">
        <v>74</v>
      </c>
      <c r="I3183" s="2" t="s">
        <v>75</v>
      </c>
      <c r="J3183" s="2" t="s">
        <v>97</v>
      </c>
      <c r="K3183" s="2" t="s">
        <v>77</v>
      </c>
      <c r="L3183" s="2" t="s">
        <v>115</v>
      </c>
      <c r="M3183" s="2" t="s">
        <v>116</v>
      </c>
      <c r="N3183" s="2" t="s">
        <v>283</v>
      </c>
      <c r="O3183" s="2" t="s">
        <v>101</v>
      </c>
      <c r="P3183" s="2" t="str">
        <f>"2170605693                    "</f>
        <v xml:space="preserve">2170605693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5.03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0.2</v>
      </c>
      <c r="BK3183" s="2">
        <v>1</v>
      </c>
      <c r="BL3183" s="2">
        <v>35.89</v>
      </c>
      <c r="BM3183" s="2">
        <v>5.0199999999999996</v>
      </c>
      <c r="BN3183" s="2">
        <v>40.909999999999997</v>
      </c>
      <c r="BO3183" s="2">
        <v>40.909999999999997</v>
      </c>
      <c r="BQ3183" s="2" t="s">
        <v>102</v>
      </c>
      <c r="BR3183" s="2" t="s">
        <v>103</v>
      </c>
      <c r="BS3183" s="3">
        <v>43096</v>
      </c>
      <c r="BT3183" s="4">
        <v>0.4375</v>
      </c>
      <c r="BU3183" s="2" t="s">
        <v>2996</v>
      </c>
      <c r="BV3183" s="2" t="s">
        <v>89</v>
      </c>
      <c r="BW3183" s="2" t="s">
        <v>149</v>
      </c>
      <c r="BX3183" s="2" t="s">
        <v>456</v>
      </c>
      <c r="BY3183" s="2">
        <v>1200</v>
      </c>
      <c r="CC3183" s="2" t="s">
        <v>116</v>
      </c>
      <c r="CD3183" s="2">
        <v>1459</v>
      </c>
      <c r="CE3183" s="2" t="s">
        <v>120</v>
      </c>
      <c r="CI3183" s="2">
        <v>1</v>
      </c>
      <c r="CJ3183" s="2">
        <v>4</v>
      </c>
      <c r="CK3183" s="2">
        <v>22</v>
      </c>
      <c r="CL3183" s="2" t="s">
        <v>89</v>
      </c>
    </row>
    <row r="3184" spans="1:90">
      <c r="A3184" s="2" t="s">
        <v>71</v>
      </c>
      <c r="B3184" s="2" t="s">
        <v>72</v>
      </c>
      <c r="C3184" s="2" t="s">
        <v>73</v>
      </c>
      <c r="E3184" s="2" t="str">
        <f>"FES1162597126"</f>
        <v>FES1162597126</v>
      </c>
      <c r="F3184" s="3">
        <v>43090</v>
      </c>
      <c r="G3184" s="2">
        <v>201806</v>
      </c>
      <c r="H3184" s="2" t="s">
        <v>74</v>
      </c>
      <c r="I3184" s="2" t="s">
        <v>75</v>
      </c>
      <c r="J3184" s="2" t="s">
        <v>97</v>
      </c>
      <c r="K3184" s="2" t="s">
        <v>77</v>
      </c>
      <c r="L3184" s="2" t="s">
        <v>78</v>
      </c>
      <c r="M3184" s="2" t="s">
        <v>79</v>
      </c>
      <c r="N3184" s="2" t="s">
        <v>3012</v>
      </c>
      <c r="O3184" s="2" t="s">
        <v>101</v>
      </c>
      <c r="P3184" s="2" t="str">
        <f>"2170560522                    "</f>
        <v xml:space="preserve">2170560522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11.26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3.3</v>
      </c>
      <c r="BJ3184" s="2">
        <v>3.4</v>
      </c>
      <c r="BK3184" s="2">
        <v>3.5</v>
      </c>
      <c r="BL3184" s="2">
        <v>80.37</v>
      </c>
      <c r="BM3184" s="2">
        <v>11.25</v>
      </c>
      <c r="BN3184" s="2">
        <v>91.62</v>
      </c>
      <c r="BO3184" s="2">
        <v>91.62</v>
      </c>
      <c r="BQ3184" s="2" t="s">
        <v>102</v>
      </c>
      <c r="BR3184" s="2" t="s">
        <v>103</v>
      </c>
      <c r="BS3184" s="2" t="s">
        <v>185</v>
      </c>
      <c r="BY3184" s="2">
        <v>17002.900000000001</v>
      </c>
      <c r="CC3184" s="2" t="s">
        <v>79</v>
      </c>
      <c r="CD3184" s="2">
        <v>1947</v>
      </c>
      <c r="CE3184" s="2" t="s">
        <v>95</v>
      </c>
      <c r="CI3184" s="2">
        <v>1</v>
      </c>
      <c r="CJ3184" s="2" t="s">
        <v>185</v>
      </c>
      <c r="CK3184" s="2">
        <v>21</v>
      </c>
      <c r="CL3184" s="2" t="s">
        <v>89</v>
      </c>
    </row>
    <row r="3185" spans="1:90">
      <c r="A3185" s="2" t="s">
        <v>71</v>
      </c>
      <c r="B3185" s="2" t="s">
        <v>72</v>
      </c>
      <c r="C3185" s="2" t="s">
        <v>73</v>
      </c>
      <c r="E3185" s="2" t="str">
        <f>"FES1162597425"</f>
        <v>FES1162597425</v>
      </c>
      <c r="F3185" s="3">
        <v>43090</v>
      </c>
      <c r="G3185" s="2">
        <v>201806</v>
      </c>
      <c r="H3185" s="2" t="s">
        <v>74</v>
      </c>
      <c r="I3185" s="2" t="s">
        <v>75</v>
      </c>
      <c r="J3185" s="2" t="s">
        <v>97</v>
      </c>
      <c r="K3185" s="2" t="s">
        <v>77</v>
      </c>
      <c r="L3185" s="2" t="s">
        <v>598</v>
      </c>
      <c r="M3185" s="2" t="s">
        <v>599</v>
      </c>
      <c r="N3185" s="2" t="s">
        <v>600</v>
      </c>
      <c r="O3185" s="2" t="s">
        <v>101</v>
      </c>
      <c r="P3185" s="2" t="str">
        <f>"2170606448                    "</f>
        <v xml:space="preserve">2170606448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12.47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0.9</v>
      </c>
      <c r="BJ3185" s="2">
        <v>1.4</v>
      </c>
      <c r="BK3185" s="2">
        <v>1.5</v>
      </c>
      <c r="BL3185" s="2">
        <v>89</v>
      </c>
      <c r="BM3185" s="2">
        <v>12.46</v>
      </c>
      <c r="BN3185" s="2">
        <v>101.46</v>
      </c>
      <c r="BO3185" s="2">
        <v>101.46</v>
      </c>
      <c r="BQ3185" s="2" t="s">
        <v>102</v>
      </c>
      <c r="BR3185" s="2" t="s">
        <v>103</v>
      </c>
      <c r="BS3185" s="3">
        <v>43091</v>
      </c>
      <c r="BT3185" s="4">
        <v>0.44513888888888892</v>
      </c>
      <c r="BU3185" s="2" t="s">
        <v>3013</v>
      </c>
      <c r="BV3185" s="2" t="s">
        <v>85</v>
      </c>
      <c r="BY3185" s="2">
        <v>7232.45</v>
      </c>
      <c r="CA3185" s="2" t="s">
        <v>602</v>
      </c>
      <c r="CC3185" s="2" t="s">
        <v>599</v>
      </c>
      <c r="CD3185" s="2">
        <v>9700</v>
      </c>
      <c r="CE3185" s="2" t="s">
        <v>95</v>
      </c>
      <c r="CF3185" s="3">
        <v>43091</v>
      </c>
      <c r="CI3185" s="2">
        <v>1</v>
      </c>
      <c r="CJ3185" s="2">
        <v>1</v>
      </c>
      <c r="CK3185" s="2">
        <v>23</v>
      </c>
      <c r="CL3185" s="2" t="s">
        <v>89</v>
      </c>
    </row>
    <row r="3186" spans="1:90">
      <c r="A3186" s="2" t="s">
        <v>71</v>
      </c>
      <c r="B3186" s="2" t="s">
        <v>72</v>
      </c>
      <c r="C3186" s="2" t="s">
        <v>73</v>
      </c>
      <c r="E3186" s="2" t="str">
        <f>"FES1162597361"</f>
        <v>FES1162597361</v>
      </c>
      <c r="F3186" s="3">
        <v>43090</v>
      </c>
      <c r="G3186" s="2">
        <v>201806</v>
      </c>
      <c r="H3186" s="2" t="s">
        <v>74</v>
      </c>
      <c r="I3186" s="2" t="s">
        <v>75</v>
      </c>
      <c r="J3186" s="2" t="s">
        <v>97</v>
      </c>
      <c r="K3186" s="2" t="s">
        <v>77</v>
      </c>
      <c r="L3186" s="2" t="s">
        <v>1071</v>
      </c>
      <c r="M3186" s="2" t="s">
        <v>1072</v>
      </c>
      <c r="N3186" s="2" t="s">
        <v>1073</v>
      </c>
      <c r="O3186" s="2" t="s">
        <v>101</v>
      </c>
      <c r="P3186" s="2" t="str">
        <f>"2170608674                    "</f>
        <v xml:space="preserve">2170608674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23.73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2</v>
      </c>
      <c r="BJ3186" s="2">
        <v>3.8</v>
      </c>
      <c r="BK3186" s="2">
        <v>4</v>
      </c>
      <c r="BL3186" s="2">
        <v>169.38</v>
      </c>
      <c r="BM3186" s="2">
        <v>23.71</v>
      </c>
      <c r="BN3186" s="2">
        <v>193.09</v>
      </c>
      <c r="BO3186" s="2">
        <v>193.09</v>
      </c>
      <c r="BQ3186" s="2" t="s">
        <v>128</v>
      </c>
      <c r="BR3186" s="2" t="s">
        <v>103</v>
      </c>
      <c r="BS3186" s="3">
        <v>43091</v>
      </c>
      <c r="BT3186" s="4">
        <v>0.39583333333333331</v>
      </c>
      <c r="BU3186" s="2" t="s">
        <v>3014</v>
      </c>
      <c r="BV3186" s="2" t="s">
        <v>85</v>
      </c>
      <c r="BY3186" s="2">
        <v>19166</v>
      </c>
      <c r="CA3186" s="2" t="s">
        <v>602</v>
      </c>
      <c r="CC3186" s="2" t="s">
        <v>1072</v>
      </c>
      <c r="CD3186" s="2">
        <v>9650</v>
      </c>
      <c r="CE3186" s="2" t="s">
        <v>87</v>
      </c>
      <c r="CI3186" s="2">
        <v>1</v>
      </c>
      <c r="CJ3186" s="2">
        <v>1</v>
      </c>
      <c r="CK3186" s="2">
        <v>23</v>
      </c>
      <c r="CL3186" s="2" t="s">
        <v>89</v>
      </c>
    </row>
    <row r="3187" spans="1:90">
      <c r="A3187" s="2" t="s">
        <v>71</v>
      </c>
      <c r="B3187" s="2" t="s">
        <v>72</v>
      </c>
      <c r="C3187" s="2" t="s">
        <v>73</v>
      </c>
      <c r="E3187" s="2" t="str">
        <f>"FES1162597408"</f>
        <v>FES1162597408</v>
      </c>
      <c r="F3187" s="3">
        <v>43090</v>
      </c>
      <c r="G3187" s="2">
        <v>201806</v>
      </c>
      <c r="H3187" s="2" t="s">
        <v>74</v>
      </c>
      <c r="I3187" s="2" t="s">
        <v>75</v>
      </c>
      <c r="J3187" s="2" t="s">
        <v>97</v>
      </c>
      <c r="K3187" s="2" t="s">
        <v>77</v>
      </c>
      <c r="L3187" s="2" t="s">
        <v>168</v>
      </c>
      <c r="M3187" s="2" t="s">
        <v>169</v>
      </c>
      <c r="N3187" s="2" t="s">
        <v>932</v>
      </c>
      <c r="O3187" s="2" t="s">
        <v>101</v>
      </c>
      <c r="P3187" s="2" t="str">
        <f>"2170605327                    "</f>
        <v xml:space="preserve">2170605327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6.43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1.2</v>
      </c>
      <c r="BJ3187" s="2">
        <v>0.9</v>
      </c>
      <c r="BK3187" s="2">
        <v>1.5</v>
      </c>
      <c r="BL3187" s="2">
        <v>45.93</v>
      </c>
      <c r="BM3187" s="2">
        <v>6.43</v>
      </c>
      <c r="BN3187" s="2">
        <v>52.36</v>
      </c>
      <c r="BO3187" s="2">
        <v>52.36</v>
      </c>
      <c r="BQ3187" s="2" t="s">
        <v>102</v>
      </c>
      <c r="BR3187" s="2" t="s">
        <v>103</v>
      </c>
      <c r="BS3187" s="2" t="s">
        <v>185</v>
      </c>
      <c r="BY3187" s="2">
        <v>4360.88</v>
      </c>
      <c r="CC3187" s="2" t="s">
        <v>169</v>
      </c>
      <c r="CD3187" s="2">
        <v>3610</v>
      </c>
      <c r="CE3187" s="2" t="s">
        <v>87</v>
      </c>
      <c r="CI3187" s="2">
        <v>1</v>
      </c>
      <c r="CJ3187" s="2" t="s">
        <v>185</v>
      </c>
      <c r="CK3187" s="2">
        <v>21</v>
      </c>
      <c r="CL3187" s="2" t="s">
        <v>89</v>
      </c>
    </row>
    <row r="3188" spans="1:90">
      <c r="A3188" s="2" t="s">
        <v>71</v>
      </c>
      <c r="B3188" s="2" t="s">
        <v>72</v>
      </c>
      <c r="C3188" s="2" t="s">
        <v>73</v>
      </c>
      <c r="E3188" s="2" t="str">
        <f>"FES1162597344"</f>
        <v>FES1162597344</v>
      </c>
      <c r="F3188" s="3">
        <v>43090</v>
      </c>
      <c r="G3188" s="2">
        <v>201806</v>
      </c>
      <c r="H3188" s="2" t="s">
        <v>74</v>
      </c>
      <c r="I3188" s="2" t="s">
        <v>75</v>
      </c>
      <c r="J3188" s="2" t="s">
        <v>97</v>
      </c>
      <c r="K3188" s="2" t="s">
        <v>77</v>
      </c>
      <c r="L3188" s="2" t="s">
        <v>115</v>
      </c>
      <c r="M3188" s="2" t="s">
        <v>116</v>
      </c>
      <c r="N3188" s="2" t="s">
        <v>2908</v>
      </c>
      <c r="O3188" s="2" t="s">
        <v>101</v>
      </c>
      <c r="P3188" s="2" t="str">
        <f>"21706099943                   "</f>
        <v xml:space="preserve">21706099943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5.03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8</v>
      </c>
      <c r="BJ3188" s="2">
        <v>3.6</v>
      </c>
      <c r="BK3188" s="2">
        <v>8</v>
      </c>
      <c r="BL3188" s="2">
        <v>35.89</v>
      </c>
      <c r="BM3188" s="2">
        <v>5.0199999999999996</v>
      </c>
      <c r="BN3188" s="2">
        <v>40.909999999999997</v>
      </c>
      <c r="BO3188" s="2">
        <v>40.909999999999997</v>
      </c>
      <c r="BQ3188" s="2" t="s">
        <v>128</v>
      </c>
      <c r="BR3188" s="2" t="s">
        <v>103</v>
      </c>
      <c r="BS3188" s="3">
        <v>43091</v>
      </c>
      <c r="BT3188" s="4">
        <v>0.3444444444444445</v>
      </c>
      <c r="BU3188" s="2" t="s">
        <v>2909</v>
      </c>
      <c r="BV3188" s="2" t="s">
        <v>85</v>
      </c>
      <c r="BY3188" s="2">
        <v>17781.919999999998</v>
      </c>
      <c r="CC3188" s="2" t="s">
        <v>116</v>
      </c>
      <c r="CD3188" s="2">
        <v>1460</v>
      </c>
      <c r="CE3188" s="2" t="s">
        <v>95</v>
      </c>
      <c r="CF3188" s="3">
        <v>43091</v>
      </c>
      <c r="CI3188" s="2">
        <v>1</v>
      </c>
      <c r="CJ3188" s="2">
        <v>1</v>
      </c>
      <c r="CK3188" s="2">
        <v>22</v>
      </c>
      <c r="CL3188" s="2" t="s">
        <v>89</v>
      </c>
    </row>
    <row r="3189" spans="1:90">
      <c r="A3189" s="2" t="s">
        <v>71</v>
      </c>
      <c r="B3189" s="2" t="s">
        <v>72</v>
      </c>
      <c r="C3189" s="2" t="s">
        <v>73</v>
      </c>
      <c r="E3189" s="2" t="str">
        <f>"FES1162597274"</f>
        <v>FES1162597274</v>
      </c>
      <c r="F3189" s="3">
        <v>43090</v>
      </c>
      <c r="G3189" s="2">
        <v>201806</v>
      </c>
      <c r="H3189" s="2" t="s">
        <v>74</v>
      </c>
      <c r="I3189" s="2" t="s">
        <v>75</v>
      </c>
      <c r="J3189" s="2" t="s">
        <v>97</v>
      </c>
      <c r="K3189" s="2" t="s">
        <v>77</v>
      </c>
      <c r="L3189" s="2" t="s">
        <v>74</v>
      </c>
      <c r="M3189" s="2" t="s">
        <v>75</v>
      </c>
      <c r="N3189" s="2" t="s">
        <v>1251</v>
      </c>
      <c r="O3189" s="2" t="s">
        <v>101</v>
      </c>
      <c r="P3189" s="2" t="str">
        <f>"2170601652                    "</f>
        <v xml:space="preserve">2170601652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5.03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6</v>
      </c>
      <c r="BJ3189" s="2">
        <v>2</v>
      </c>
      <c r="BK3189" s="2">
        <v>6</v>
      </c>
      <c r="BL3189" s="2">
        <v>35.89</v>
      </c>
      <c r="BM3189" s="2">
        <v>5.0199999999999996</v>
      </c>
      <c r="BN3189" s="2">
        <v>40.909999999999997</v>
      </c>
      <c r="BO3189" s="2">
        <v>40.909999999999997</v>
      </c>
      <c r="BQ3189" s="2" t="s">
        <v>102</v>
      </c>
      <c r="BR3189" s="2" t="s">
        <v>103</v>
      </c>
      <c r="BS3189" s="3">
        <v>43091</v>
      </c>
      <c r="BT3189" s="4">
        <v>0.4375</v>
      </c>
      <c r="BU3189" s="2" t="s">
        <v>2999</v>
      </c>
      <c r="BV3189" s="2" t="s">
        <v>85</v>
      </c>
      <c r="BY3189" s="2">
        <v>9760.8700000000008</v>
      </c>
      <c r="CC3189" s="2" t="s">
        <v>75</v>
      </c>
      <c r="CD3189" s="2">
        <v>1609</v>
      </c>
      <c r="CE3189" s="2" t="s">
        <v>95</v>
      </c>
      <c r="CI3189" s="2">
        <v>1</v>
      </c>
      <c r="CJ3189" s="2">
        <v>1</v>
      </c>
      <c r="CK3189" s="2">
        <v>22</v>
      </c>
      <c r="CL3189" s="2" t="s">
        <v>89</v>
      </c>
    </row>
    <row r="3190" spans="1:90">
      <c r="A3190" s="2" t="s">
        <v>71</v>
      </c>
      <c r="B3190" s="2" t="s">
        <v>72</v>
      </c>
      <c r="C3190" s="2" t="s">
        <v>73</v>
      </c>
      <c r="E3190" s="2" t="str">
        <f>"FES1162597343"</f>
        <v>FES1162597343</v>
      </c>
      <c r="F3190" s="3">
        <v>43090</v>
      </c>
      <c r="G3190" s="2">
        <v>201806</v>
      </c>
      <c r="H3190" s="2" t="s">
        <v>74</v>
      </c>
      <c r="I3190" s="2" t="s">
        <v>75</v>
      </c>
      <c r="J3190" s="2" t="s">
        <v>97</v>
      </c>
      <c r="K3190" s="2" t="s">
        <v>77</v>
      </c>
      <c r="L3190" s="2" t="s">
        <v>74</v>
      </c>
      <c r="M3190" s="2" t="s">
        <v>75</v>
      </c>
      <c r="N3190" s="2" t="s">
        <v>3015</v>
      </c>
      <c r="O3190" s="2" t="s">
        <v>101</v>
      </c>
      <c r="P3190" s="2" t="str">
        <f>"2170608415                    "</f>
        <v xml:space="preserve">2170608415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7.44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12</v>
      </c>
      <c r="BJ3190" s="2">
        <v>3.9</v>
      </c>
      <c r="BK3190" s="2">
        <v>12</v>
      </c>
      <c r="BL3190" s="2">
        <v>53.1</v>
      </c>
      <c r="BM3190" s="2">
        <v>7.43</v>
      </c>
      <c r="BN3190" s="2">
        <v>60.53</v>
      </c>
      <c r="BO3190" s="2">
        <v>60.53</v>
      </c>
      <c r="BQ3190" s="2" t="s">
        <v>142</v>
      </c>
      <c r="BR3190" s="2" t="s">
        <v>103</v>
      </c>
      <c r="BS3190" s="3">
        <v>43091</v>
      </c>
      <c r="BT3190" s="4">
        <v>0.4375</v>
      </c>
      <c r="BU3190" s="2" t="s">
        <v>3016</v>
      </c>
      <c r="BV3190" s="2" t="s">
        <v>85</v>
      </c>
      <c r="BY3190" s="2">
        <v>19250</v>
      </c>
      <c r="CC3190" s="2" t="s">
        <v>75</v>
      </c>
      <c r="CD3190" s="2">
        <v>1665</v>
      </c>
      <c r="CE3190" s="2" t="s">
        <v>87</v>
      </c>
      <c r="CI3190" s="2">
        <v>1</v>
      </c>
      <c r="CJ3190" s="2">
        <v>1</v>
      </c>
      <c r="CK3190" s="2">
        <v>22</v>
      </c>
      <c r="CL3190" s="2" t="s">
        <v>89</v>
      </c>
    </row>
    <row r="3191" spans="1:90">
      <c r="A3191" s="2" t="s">
        <v>71</v>
      </c>
      <c r="B3191" s="2" t="s">
        <v>72</v>
      </c>
      <c r="C3191" s="2" t="s">
        <v>73</v>
      </c>
      <c r="E3191" s="2" t="str">
        <f>"FES1162597446"</f>
        <v>FES1162597446</v>
      </c>
      <c r="F3191" s="3">
        <v>43090</v>
      </c>
      <c r="G3191" s="2">
        <v>201806</v>
      </c>
      <c r="H3191" s="2" t="s">
        <v>74</v>
      </c>
      <c r="I3191" s="2" t="s">
        <v>75</v>
      </c>
      <c r="J3191" s="2" t="s">
        <v>97</v>
      </c>
      <c r="K3191" s="2" t="s">
        <v>77</v>
      </c>
      <c r="L3191" s="2" t="s">
        <v>136</v>
      </c>
      <c r="M3191" s="2" t="s">
        <v>137</v>
      </c>
      <c r="N3191" s="2" t="s">
        <v>1249</v>
      </c>
      <c r="O3191" s="2" t="s">
        <v>101</v>
      </c>
      <c r="P3191" s="2" t="str">
        <f>"2170607206                    "</f>
        <v xml:space="preserve">2170607206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38.590000000000003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11.6</v>
      </c>
      <c r="BJ3191" s="2">
        <v>3.4</v>
      </c>
      <c r="BK3191" s="2">
        <v>12</v>
      </c>
      <c r="BL3191" s="2">
        <v>275.49</v>
      </c>
      <c r="BM3191" s="2">
        <v>38.57</v>
      </c>
      <c r="BN3191" s="2">
        <v>314.06</v>
      </c>
      <c r="BO3191" s="2">
        <v>314.06</v>
      </c>
      <c r="BR3191" s="2" t="s">
        <v>103</v>
      </c>
      <c r="BS3191" s="3">
        <v>43091</v>
      </c>
      <c r="BT3191" s="4">
        <v>0.37847222222222227</v>
      </c>
      <c r="BU3191" s="2" t="s">
        <v>114</v>
      </c>
      <c r="BV3191" s="2" t="s">
        <v>85</v>
      </c>
      <c r="BY3191" s="2">
        <v>17105.28</v>
      </c>
      <c r="CC3191" s="2" t="s">
        <v>137</v>
      </c>
      <c r="CD3191" s="2">
        <v>6001</v>
      </c>
      <c r="CE3191" s="2" t="s">
        <v>95</v>
      </c>
      <c r="CF3191" s="3">
        <v>43097</v>
      </c>
      <c r="CI3191" s="2">
        <v>1</v>
      </c>
      <c r="CJ3191" s="2">
        <v>1</v>
      </c>
      <c r="CK3191" s="2">
        <v>21</v>
      </c>
      <c r="CL3191" s="2" t="s">
        <v>89</v>
      </c>
    </row>
    <row r="3192" spans="1:90">
      <c r="A3192" s="2" t="s">
        <v>71</v>
      </c>
      <c r="B3192" s="2" t="s">
        <v>72</v>
      </c>
      <c r="C3192" s="2" t="s">
        <v>73</v>
      </c>
      <c r="E3192" s="2" t="str">
        <f>"FES1162597445"</f>
        <v>FES1162597445</v>
      </c>
      <c r="F3192" s="3">
        <v>43090</v>
      </c>
      <c r="G3192" s="2">
        <v>201806</v>
      </c>
      <c r="H3192" s="2" t="s">
        <v>74</v>
      </c>
      <c r="I3192" s="2" t="s">
        <v>75</v>
      </c>
      <c r="J3192" s="2" t="s">
        <v>97</v>
      </c>
      <c r="K3192" s="2" t="s">
        <v>77</v>
      </c>
      <c r="L3192" s="2" t="s">
        <v>136</v>
      </c>
      <c r="M3192" s="2" t="s">
        <v>137</v>
      </c>
      <c r="N3192" s="2" t="s">
        <v>1161</v>
      </c>
      <c r="O3192" s="2" t="s">
        <v>101</v>
      </c>
      <c r="P3192" s="2" t="str">
        <f>"2170607145                    "</f>
        <v xml:space="preserve">2170607145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9.65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2</v>
      </c>
      <c r="BJ3192" s="2">
        <v>3</v>
      </c>
      <c r="BK3192" s="2">
        <v>3</v>
      </c>
      <c r="BL3192" s="2">
        <v>68.89</v>
      </c>
      <c r="BM3192" s="2">
        <v>9.64</v>
      </c>
      <c r="BN3192" s="2">
        <v>78.53</v>
      </c>
      <c r="BO3192" s="2">
        <v>78.53</v>
      </c>
      <c r="BQ3192" s="2" t="s">
        <v>187</v>
      </c>
      <c r="BR3192" s="2" t="s">
        <v>103</v>
      </c>
      <c r="BS3192" s="2" t="s">
        <v>185</v>
      </c>
      <c r="BY3192" s="2">
        <v>15246</v>
      </c>
      <c r="CC3192" s="2" t="s">
        <v>137</v>
      </c>
      <c r="CD3192" s="2">
        <v>6014</v>
      </c>
      <c r="CE3192" s="2" t="s">
        <v>87</v>
      </c>
      <c r="CI3192" s="2">
        <v>1</v>
      </c>
      <c r="CJ3192" s="2" t="s">
        <v>185</v>
      </c>
      <c r="CK3192" s="2">
        <v>21</v>
      </c>
      <c r="CL3192" s="2" t="s">
        <v>89</v>
      </c>
    </row>
    <row r="3193" spans="1:90">
      <c r="A3193" s="2" t="s">
        <v>71</v>
      </c>
      <c r="B3193" s="2" t="s">
        <v>72</v>
      </c>
      <c r="C3193" s="2" t="s">
        <v>73</v>
      </c>
      <c r="E3193" s="2" t="str">
        <f>"FES1162597427"</f>
        <v>FES1162597427</v>
      </c>
      <c r="F3193" s="3">
        <v>43090</v>
      </c>
      <c r="G3193" s="2">
        <v>201806</v>
      </c>
      <c r="H3193" s="2" t="s">
        <v>74</v>
      </c>
      <c r="I3193" s="2" t="s">
        <v>75</v>
      </c>
      <c r="J3193" s="2" t="s">
        <v>97</v>
      </c>
      <c r="K3193" s="2" t="s">
        <v>77</v>
      </c>
      <c r="L3193" s="2" t="s">
        <v>136</v>
      </c>
      <c r="M3193" s="2" t="s">
        <v>137</v>
      </c>
      <c r="N3193" s="2" t="s">
        <v>662</v>
      </c>
      <c r="O3193" s="2" t="s">
        <v>101</v>
      </c>
      <c r="P3193" s="2" t="str">
        <f>"2170606530                    "</f>
        <v xml:space="preserve">2170606530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11.26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1.6</v>
      </c>
      <c r="BJ3193" s="2">
        <v>3.5</v>
      </c>
      <c r="BK3193" s="2">
        <v>3.5</v>
      </c>
      <c r="BL3193" s="2">
        <v>80.37</v>
      </c>
      <c r="BM3193" s="2">
        <v>11.25</v>
      </c>
      <c r="BN3193" s="2">
        <v>91.62</v>
      </c>
      <c r="BO3193" s="2">
        <v>91.62</v>
      </c>
      <c r="BQ3193" s="2" t="s">
        <v>128</v>
      </c>
      <c r="BR3193" s="2" t="s">
        <v>103</v>
      </c>
      <c r="BS3193" s="2" t="s">
        <v>185</v>
      </c>
      <c r="BY3193" s="2">
        <v>17491.97</v>
      </c>
      <c r="CC3193" s="2" t="s">
        <v>137</v>
      </c>
      <c r="CD3193" s="2">
        <v>6012</v>
      </c>
      <c r="CE3193" s="2" t="s">
        <v>95</v>
      </c>
      <c r="CI3193" s="2">
        <v>1</v>
      </c>
      <c r="CJ3193" s="2" t="s">
        <v>185</v>
      </c>
      <c r="CK3193" s="2">
        <v>21</v>
      </c>
      <c r="CL3193" s="2" t="s">
        <v>89</v>
      </c>
    </row>
    <row r="3194" spans="1:90">
      <c r="A3194" s="2" t="s">
        <v>71</v>
      </c>
      <c r="B3194" s="2" t="s">
        <v>72</v>
      </c>
      <c r="C3194" s="2" t="s">
        <v>73</v>
      </c>
      <c r="E3194" s="2" t="str">
        <f>"FES1162597394"</f>
        <v>FES1162597394</v>
      </c>
      <c r="F3194" s="3">
        <v>43090</v>
      </c>
      <c r="G3194" s="2">
        <v>201806</v>
      </c>
      <c r="H3194" s="2" t="s">
        <v>74</v>
      </c>
      <c r="I3194" s="2" t="s">
        <v>75</v>
      </c>
      <c r="J3194" s="2" t="s">
        <v>97</v>
      </c>
      <c r="K3194" s="2" t="s">
        <v>77</v>
      </c>
      <c r="L3194" s="2" t="s">
        <v>136</v>
      </c>
      <c r="M3194" s="2" t="s">
        <v>137</v>
      </c>
      <c r="N3194" s="2" t="s">
        <v>446</v>
      </c>
      <c r="O3194" s="2" t="s">
        <v>101</v>
      </c>
      <c r="P3194" s="2" t="str">
        <f>"2170606210                    "</f>
        <v xml:space="preserve">2170606210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6.43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1.8</v>
      </c>
      <c r="BJ3194" s="2">
        <v>1.8</v>
      </c>
      <c r="BK3194" s="2">
        <v>2</v>
      </c>
      <c r="BL3194" s="2">
        <v>45.93</v>
      </c>
      <c r="BM3194" s="2">
        <v>6.43</v>
      </c>
      <c r="BN3194" s="2">
        <v>52.36</v>
      </c>
      <c r="BO3194" s="2">
        <v>52.36</v>
      </c>
      <c r="BQ3194" s="2" t="s">
        <v>102</v>
      </c>
      <c r="BR3194" s="2" t="s">
        <v>103</v>
      </c>
      <c r="BS3194" s="3">
        <v>43091</v>
      </c>
      <c r="BT3194" s="4">
        <v>0.31736111111111115</v>
      </c>
      <c r="BU3194" s="2" t="s">
        <v>3017</v>
      </c>
      <c r="BV3194" s="2" t="s">
        <v>85</v>
      </c>
      <c r="BY3194" s="2">
        <v>8939.7000000000007</v>
      </c>
      <c r="CA3194" s="2" t="s">
        <v>140</v>
      </c>
      <c r="CC3194" s="2" t="s">
        <v>137</v>
      </c>
      <c r="CD3194" s="2">
        <v>6012</v>
      </c>
      <c r="CE3194" s="2" t="s">
        <v>87</v>
      </c>
      <c r="CF3194" s="3">
        <v>43097</v>
      </c>
      <c r="CI3194" s="2">
        <v>1</v>
      </c>
      <c r="CJ3194" s="2">
        <v>1</v>
      </c>
      <c r="CK3194" s="2">
        <v>21</v>
      </c>
      <c r="CL3194" s="2" t="s">
        <v>89</v>
      </c>
    </row>
    <row r="3195" spans="1:90">
      <c r="A3195" s="2" t="s">
        <v>71</v>
      </c>
      <c r="B3195" s="2" t="s">
        <v>72</v>
      </c>
      <c r="C3195" s="2" t="s">
        <v>73</v>
      </c>
      <c r="E3195" s="2" t="str">
        <f>"FES1162597388"</f>
        <v>FES1162597388</v>
      </c>
      <c r="F3195" s="3">
        <v>43090</v>
      </c>
      <c r="G3195" s="2">
        <v>201806</v>
      </c>
      <c r="H3195" s="2" t="s">
        <v>74</v>
      </c>
      <c r="I3195" s="2" t="s">
        <v>75</v>
      </c>
      <c r="J3195" s="2" t="s">
        <v>97</v>
      </c>
      <c r="K3195" s="2" t="s">
        <v>77</v>
      </c>
      <c r="L3195" s="2" t="s">
        <v>136</v>
      </c>
      <c r="M3195" s="2" t="s">
        <v>137</v>
      </c>
      <c r="N3195" s="2" t="s">
        <v>138</v>
      </c>
      <c r="O3195" s="2" t="s">
        <v>101</v>
      </c>
      <c r="P3195" s="2" t="str">
        <f>"217057139                     "</f>
        <v xml:space="preserve">217057139 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8.0399999999999991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2.5</v>
      </c>
      <c r="BJ3195" s="2">
        <v>1.9</v>
      </c>
      <c r="BK3195" s="2">
        <v>2.5</v>
      </c>
      <c r="BL3195" s="2">
        <v>57.41</v>
      </c>
      <c r="BM3195" s="2">
        <v>8.0399999999999991</v>
      </c>
      <c r="BN3195" s="2">
        <v>65.45</v>
      </c>
      <c r="BO3195" s="2">
        <v>65.45</v>
      </c>
      <c r="BQ3195" s="2" t="s">
        <v>82</v>
      </c>
      <c r="BR3195" s="2" t="s">
        <v>103</v>
      </c>
      <c r="BS3195" s="3">
        <v>43091</v>
      </c>
      <c r="BT3195" s="4">
        <v>0.33958333333333335</v>
      </c>
      <c r="BU3195" s="2" t="s">
        <v>3018</v>
      </c>
      <c r="BV3195" s="2" t="s">
        <v>85</v>
      </c>
      <c r="BY3195" s="2">
        <v>9369.7000000000007</v>
      </c>
      <c r="CA3195" s="2" t="s">
        <v>140</v>
      </c>
      <c r="CC3195" s="2" t="s">
        <v>137</v>
      </c>
      <c r="CD3195" s="2">
        <v>6001</v>
      </c>
      <c r="CE3195" s="2" t="s">
        <v>95</v>
      </c>
      <c r="CF3195" s="3">
        <v>43097</v>
      </c>
      <c r="CI3195" s="2">
        <v>1</v>
      </c>
      <c r="CJ3195" s="2">
        <v>1</v>
      </c>
      <c r="CK3195" s="2">
        <v>21</v>
      </c>
      <c r="CL3195" s="2" t="s">
        <v>89</v>
      </c>
    </row>
    <row r="3196" spans="1:90">
      <c r="A3196" s="2" t="s">
        <v>71</v>
      </c>
      <c r="B3196" s="2" t="s">
        <v>72</v>
      </c>
      <c r="C3196" s="2" t="s">
        <v>73</v>
      </c>
      <c r="E3196" s="2" t="str">
        <f>"FES1162597386"</f>
        <v>FES1162597386</v>
      </c>
      <c r="F3196" s="3">
        <v>43090</v>
      </c>
      <c r="G3196" s="2">
        <v>201806</v>
      </c>
      <c r="H3196" s="2" t="s">
        <v>74</v>
      </c>
      <c r="I3196" s="2" t="s">
        <v>75</v>
      </c>
      <c r="J3196" s="2" t="s">
        <v>97</v>
      </c>
      <c r="K3196" s="2" t="s">
        <v>77</v>
      </c>
      <c r="L3196" s="2" t="s">
        <v>158</v>
      </c>
      <c r="M3196" s="2" t="s">
        <v>159</v>
      </c>
      <c r="N3196" s="2" t="s">
        <v>700</v>
      </c>
      <c r="O3196" s="2" t="s">
        <v>101</v>
      </c>
      <c r="P3196" s="2" t="str">
        <f>"2170606867                    "</f>
        <v xml:space="preserve">2170606867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6.43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1</v>
      </c>
      <c r="BJ3196" s="2">
        <v>0.2</v>
      </c>
      <c r="BK3196" s="2">
        <v>1</v>
      </c>
      <c r="BL3196" s="2">
        <v>45.93</v>
      </c>
      <c r="BM3196" s="2">
        <v>6.43</v>
      </c>
      <c r="BN3196" s="2">
        <v>52.36</v>
      </c>
      <c r="BO3196" s="2">
        <v>52.36</v>
      </c>
      <c r="BQ3196" s="2" t="s">
        <v>82</v>
      </c>
      <c r="BR3196" s="2" t="s">
        <v>103</v>
      </c>
      <c r="BS3196" s="2" t="s">
        <v>185</v>
      </c>
      <c r="BY3196" s="2">
        <v>1200</v>
      </c>
      <c r="CC3196" s="2" t="s">
        <v>159</v>
      </c>
      <c r="CD3196" s="2">
        <v>184</v>
      </c>
      <c r="CE3196" s="2" t="s">
        <v>120</v>
      </c>
      <c r="CI3196" s="2">
        <v>1</v>
      </c>
      <c r="CJ3196" s="2" t="s">
        <v>185</v>
      </c>
      <c r="CK3196" s="2">
        <v>21</v>
      </c>
      <c r="CL3196" s="2" t="s">
        <v>89</v>
      </c>
    </row>
    <row r="3197" spans="1:90">
      <c r="A3197" s="2" t="s">
        <v>71</v>
      </c>
      <c r="B3197" s="2" t="s">
        <v>72</v>
      </c>
      <c r="C3197" s="2" t="s">
        <v>73</v>
      </c>
      <c r="E3197" s="2" t="str">
        <f>"FES1162597456"</f>
        <v>FES1162597456</v>
      </c>
      <c r="F3197" s="3">
        <v>43090</v>
      </c>
      <c r="G3197" s="2">
        <v>201806</v>
      </c>
      <c r="H3197" s="2" t="s">
        <v>74</v>
      </c>
      <c r="I3197" s="2" t="s">
        <v>75</v>
      </c>
      <c r="J3197" s="2" t="s">
        <v>97</v>
      </c>
      <c r="K3197" s="2" t="s">
        <v>77</v>
      </c>
      <c r="L3197" s="2" t="s">
        <v>145</v>
      </c>
      <c r="M3197" s="2" t="s">
        <v>146</v>
      </c>
      <c r="N3197" s="2" t="s">
        <v>753</v>
      </c>
      <c r="O3197" s="2" t="s">
        <v>101</v>
      </c>
      <c r="P3197" s="2" t="str">
        <f>"2170608474                    "</f>
        <v xml:space="preserve">2170608474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6.43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45.93</v>
      </c>
      <c r="BM3197" s="2">
        <v>6.43</v>
      </c>
      <c r="BN3197" s="2">
        <v>52.36</v>
      </c>
      <c r="BO3197" s="2">
        <v>52.36</v>
      </c>
      <c r="BQ3197" s="2" t="s">
        <v>82</v>
      </c>
      <c r="BR3197" s="2" t="s">
        <v>103</v>
      </c>
      <c r="BS3197" s="3">
        <v>43091</v>
      </c>
      <c r="BT3197" s="4">
        <v>0.43958333333333338</v>
      </c>
      <c r="BU3197" s="2" t="s">
        <v>3019</v>
      </c>
      <c r="BV3197" s="2" t="s">
        <v>85</v>
      </c>
      <c r="BY3197" s="2">
        <v>1200</v>
      </c>
      <c r="CC3197" s="2" t="s">
        <v>146</v>
      </c>
      <c r="CD3197" s="2">
        <v>5201</v>
      </c>
      <c r="CE3197" s="2" t="s">
        <v>120</v>
      </c>
      <c r="CF3197" s="3">
        <v>43096</v>
      </c>
      <c r="CI3197" s="2">
        <v>1</v>
      </c>
      <c r="CJ3197" s="2">
        <v>1</v>
      </c>
      <c r="CK3197" s="2">
        <v>21</v>
      </c>
      <c r="CL3197" s="2" t="s">
        <v>89</v>
      </c>
    </row>
    <row r="3198" spans="1:90">
      <c r="A3198" s="2" t="s">
        <v>71</v>
      </c>
      <c r="B3198" s="2" t="s">
        <v>72</v>
      </c>
      <c r="C3198" s="2" t="s">
        <v>73</v>
      </c>
      <c r="E3198" s="2" t="str">
        <f>"FES1162597441"</f>
        <v>FES1162597441</v>
      </c>
      <c r="F3198" s="3">
        <v>43090</v>
      </c>
      <c r="G3198" s="2">
        <v>201806</v>
      </c>
      <c r="H3198" s="2" t="s">
        <v>74</v>
      </c>
      <c r="I3198" s="2" t="s">
        <v>75</v>
      </c>
      <c r="J3198" s="2" t="s">
        <v>97</v>
      </c>
      <c r="K3198" s="2" t="s">
        <v>77</v>
      </c>
      <c r="L3198" s="2" t="s">
        <v>111</v>
      </c>
      <c r="M3198" s="2" t="s">
        <v>112</v>
      </c>
      <c r="N3198" s="2" t="s">
        <v>164</v>
      </c>
      <c r="O3198" s="2" t="s">
        <v>101</v>
      </c>
      <c r="P3198" s="2" t="str">
        <f>"2170606944                    "</f>
        <v xml:space="preserve">2170606944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6.43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</v>
      </c>
      <c r="BJ3198" s="2">
        <v>0.2</v>
      </c>
      <c r="BK3198" s="2">
        <v>1</v>
      </c>
      <c r="BL3198" s="2">
        <v>45.93</v>
      </c>
      <c r="BM3198" s="2">
        <v>6.43</v>
      </c>
      <c r="BN3198" s="2">
        <v>52.36</v>
      </c>
      <c r="BO3198" s="2">
        <v>52.36</v>
      </c>
      <c r="BQ3198" s="2" t="s">
        <v>102</v>
      </c>
      <c r="BR3198" s="2" t="s">
        <v>103</v>
      </c>
      <c r="BS3198" s="3">
        <v>43091</v>
      </c>
      <c r="BT3198" s="4">
        <v>0.41805555555555557</v>
      </c>
      <c r="BU3198" s="2" t="s">
        <v>3020</v>
      </c>
      <c r="BV3198" s="2" t="s">
        <v>85</v>
      </c>
      <c r="BY3198" s="2">
        <v>1200</v>
      </c>
      <c r="CC3198" s="2" t="s">
        <v>112</v>
      </c>
      <c r="CD3198" s="2">
        <v>6220</v>
      </c>
      <c r="CE3198" s="2" t="s">
        <v>120</v>
      </c>
      <c r="CF3198" s="3">
        <v>43097</v>
      </c>
      <c r="CI3198" s="2">
        <v>1</v>
      </c>
      <c r="CJ3198" s="2">
        <v>1</v>
      </c>
      <c r="CK3198" s="2">
        <v>21</v>
      </c>
      <c r="CL3198" s="2" t="s">
        <v>89</v>
      </c>
    </row>
    <row r="3199" spans="1:90">
      <c r="A3199" s="2" t="s">
        <v>71</v>
      </c>
      <c r="B3199" s="2" t="s">
        <v>72</v>
      </c>
      <c r="C3199" s="2" t="s">
        <v>73</v>
      </c>
      <c r="E3199" s="2" t="str">
        <f>"FES1162597444"</f>
        <v>FES1162597444</v>
      </c>
      <c r="F3199" s="3">
        <v>43090</v>
      </c>
      <c r="G3199" s="2">
        <v>201806</v>
      </c>
      <c r="H3199" s="2" t="s">
        <v>74</v>
      </c>
      <c r="I3199" s="2" t="s">
        <v>75</v>
      </c>
      <c r="J3199" s="2" t="s">
        <v>97</v>
      </c>
      <c r="K3199" s="2" t="s">
        <v>77</v>
      </c>
      <c r="L3199" s="2" t="s">
        <v>145</v>
      </c>
      <c r="M3199" s="2" t="s">
        <v>146</v>
      </c>
      <c r="N3199" s="2" t="s">
        <v>922</v>
      </c>
      <c r="O3199" s="2" t="s">
        <v>101</v>
      </c>
      <c r="P3199" s="2" t="str">
        <f>"2170607143                    "</f>
        <v xml:space="preserve">2170607143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6.43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45.93</v>
      </c>
      <c r="BM3199" s="2">
        <v>6.43</v>
      </c>
      <c r="BN3199" s="2">
        <v>52.36</v>
      </c>
      <c r="BO3199" s="2">
        <v>52.36</v>
      </c>
      <c r="BQ3199" s="2" t="s">
        <v>102</v>
      </c>
      <c r="BR3199" s="2" t="s">
        <v>103</v>
      </c>
      <c r="BS3199" s="3">
        <v>43091</v>
      </c>
      <c r="BT3199" s="4">
        <v>0.35069444444444442</v>
      </c>
      <c r="BU3199" s="2" t="s">
        <v>3021</v>
      </c>
      <c r="BV3199" s="2" t="s">
        <v>85</v>
      </c>
      <c r="BY3199" s="2">
        <v>1200</v>
      </c>
      <c r="CC3199" s="2" t="s">
        <v>146</v>
      </c>
      <c r="CD3199" s="2">
        <v>5201</v>
      </c>
      <c r="CE3199" s="2" t="s">
        <v>120</v>
      </c>
      <c r="CF3199" s="3">
        <v>43096</v>
      </c>
      <c r="CI3199" s="2">
        <v>1</v>
      </c>
      <c r="CJ3199" s="2">
        <v>1</v>
      </c>
      <c r="CK3199" s="2">
        <v>21</v>
      </c>
      <c r="CL3199" s="2" t="s">
        <v>89</v>
      </c>
    </row>
    <row r="3200" spans="1:90">
      <c r="A3200" s="2" t="s">
        <v>71</v>
      </c>
      <c r="B3200" s="2" t="s">
        <v>72</v>
      </c>
      <c r="C3200" s="2" t="s">
        <v>73</v>
      </c>
      <c r="E3200" s="2" t="str">
        <f>"FES1162597449"</f>
        <v>FES1162597449</v>
      </c>
      <c r="F3200" s="3">
        <v>43090</v>
      </c>
      <c r="G3200" s="2">
        <v>201806</v>
      </c>
      <c r="H3200" s="2" t="s">
        <v>74</v>
      </c>
      <c r="I3200" s="2" t="s">
        <v>75</v>
      </c>
      <c r="J3200" s="2" t="s">
        <v>97</v>
      </c>
      <c r="K3200" s="2" t="s">
        <v>77</v>
      </c>
      <c r="L3200" s="2" t="s">
        <v>136</v>
      </c>
      <c r="M3200" s="2" t="s">
        <v>137</v>
      </c>
      <c r="N3200" s="2" t="s">
        <v>259</v>
      </c>
      <c r="O3200" s="2" t="s">
        <v>101</v>
      </c>
      <c r="P3200" s="2" t="str">
        <f>"2170607262                    "</f>
        <v xml:space="preserve">2170607262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6.43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</v>
      </c>
      <c r="BJ3200" s="2">
        <v>0.2</v>
      </c>
      <c r="BK3200" s="2">
        <v>1</v>
      </c>
      <c r="BL3200" s="2">
        <v>45.93</v>
      </c>
      <c r="BM3200" s="2">
        <v>6.43</v>
      </c>
      <c r="BN3200" s="2">
        <v>52.36</v>
      </c>
      <c r="BO3200" s="2">
        <v>52.36</v>
      </c>
      <c r="BQ3200" s="2" t="s">
        <v>102</v>
      </c>
      <c r="BR3200" s="2" t="s">
        <v>103</v>
      </c>
      <c r="BS3200" s="2" t="s">
        <v>185</v>
      </c>
      <c r="BY3200" s="2">
        <v>1200</v>
      </c>
      <c r="CC3200" s="2" t="s">
        <v>137</v>
      </c>
      <c r="CD3200" s="2">
        <v>6001</v>
      </c>
      <c r="CE3200" s="2" t="s">
        <v>120</v>
      </c>
      <c r="CI3200" s="2">
        <v>1</v>
      </c>
      <c r="CJ3200" s="2" t="s">
        <v>185</v>
      </c>
      <c r="CK3200" s="2">
        <v>21</v>
      </c>
      <c r="CL3200" s="2" t="s">
        <v>89</v>
      </c>
    </row>
    <row r="3201" spans="1:90">
      <c r="A3201" s="2" t="s">
        <v>71</v>
      </c>
      <c r="B3201" s="2" t="s">
        <v>72</v>
      </c>
      <c r="C3201" s="2" t="s">
        <v>73</v>
      </c>
      <c r="E3201" s="2" t="str">
        <f>"FES1162597413"</f>
        <v>FES1162597413</v>
      </c>
      <c r="F3201" s="3">
        <v>43090</v>
      </c>
      <c r="G3201" s="2">
        <v>201806</v>
      </c>
      <c r="H3201" s="2" t="s">
        <v>74</v>
      </c>
      <c r="I3201" s="2" t="s">
        <v>75</v>
      </c>
      <c r="J3201" s="2" t="s">
        <v>97</v>
      </c>
      <c r="K3201" s="2" t="s">
        <v>77</v>
      </c>
      <c r="L3201" s="2" t="s">
        <v>136</v>
      </c>
      <c r="M3201" s="2" t="s">
        <v>137</v>
      </c>
      <c r="N3201" s="2" t="s">
        <v>662</v>
      </c>
      <c r="O3201" s="2" t="s">
        <v>101</v>
      </c>
      <c r="P3201" s="2" t="str">
        <f>"2170605666                    "</f>
        <v xml:space="preserve">2170605666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6.43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1</v>
      </c>
      <c r="BJ3201" s="2">
        <v>0.2</v>
      </c>
      <c r="BK3201" s="2">
        <v>1</v>
      </c>
      <c r="BL3201" s="2">
        <v>45.93</v>
      </c>
      <c r="BM3201" s="2">
        <v>6.43</v>
      </c>
      <c r="BN3201" s="2">
        <v>52.36</v>
      </c>
      <c r="BO3201" s="2">
        <v>52.36</v>
      </c>
      <c r="BQ3201" s="2" t="s">
        <v>128</v>
      </c>
      <c r="BR3201" s="2" t="s">
        <v>103</v>
      </c>
      <c r="BS3201" s="2" t="s">
        <v>185</v>
      </c>
      <c r="BY3201" s="2">
        <v>1200</v>
      </c>
      <c r="CC3201" s="2" t="s">
        <v>137</v>
      </c>
      <c r="CD3201" s="2">
        <v>6012</v>
      </c>
      <c r="CE3201" s="2" t="s">
        <v>120</v>
      </c>
      <c r="CI3201" s="2">
        <v>1</v>
      </c>
      <c r="CJ3201" s="2" t="s">
        <v>185</v>
      </c>
      <c r="CK3201" s="2">
        <v>21</v>
      </c>
      <c r="CL3201" s="2" t="s">
        <v>89</v>
      </c>
    </row>
    <row r="3202" spans="1:90">
      <c r="A3202" s="2" t="s">
        <v>71</v>
      </c>
      <c r="B3202" s="2" t="s">
        <v>72</v>
      </c>
      <c r="C3202" s="2" t="s">
        <v>73</v>
      </c>
      <c r="E3202" s="2" t="str">
        <f>"FES1162597390"</f>
        <v>FES1162597390</v>
      </c>
      <c r="F3202" s="3">
        <v>43090</v>
      </c>
      <c r="G3202" s="2">
        <v>201806</v>
      </c>
      <c r="H3202" s="2" t="s">
        <v>74</v>
      </c>
      <c r="I3202" s="2" t="s">
        <v>75</v>
      </c>
      <c r="J3202" s="2" t="s">
        <v>97</v>
      </c>
      <c r="K3202" s="2" t="s">
        <v>77</v>
      </c>
      <c r="L3202" s="2" t="s">
        <v>136</v>
      </c>
      <c r="M3202" s="2" t="s">
        <v>137</v>
      </c>
      <c r="N3202" s="2" t="s">
        <v>580</v>
      </c>
      <c r="O3202" s="2" t="s">
        <v>101</v>
      </c>
      <c r="P3202" s="2" t="str">
        <f>"2170600063                    "</f>
        <v xml:space="preserve">2170600063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6.43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45.93</v>
      </c>
      <c r="BM3202" s="2">
        <v>6.43</v>
      </c>
      <c r="BN3202" s="2">
        <v>52.36</v>
      </c>
      <c r="BO3202" s="2">
        <v>52.36</v>
      </c>
      <c r="BQ3202" s="2" t="s">
        <v>102</v>
      </c>
      <c r="BR3202" s="2" t="s">
        <v>103</v>
      </c>
      <c r="BS3202" s="3">
        <v>43091</v>
      </c>
      <c r="BT3202" s="4">
        <v>0.38194444444444442</v>
      </c>
      <c r="BU3202" s="2" t="s">
        <v>2828</v>
      </c>
      <c r="BV3202" s="2" t="s">
        <v>85</v>
      </c>
      <c r="BY3202" s="2">
        <v>1200</v>
      </c>
      <c r="CC3202" s="2" t="s">
        <v>137</v>
      </c>
      <c r="CD3202" s="2">
        <v>6001</v>
      </c>
      <c r="CE3202" s="2" t="s">
        <v>120</v>
      </c>
      <c r="CF3202" s="3">
        <v>43097</v>
      </c>
      <c r="CI3202" s="2">
        <v>1</v>
      </c>
      <c r="CJ3202" s="2">
        <v>1</v>
      </c>
      <c r="CK3202" s="2">
        <v>21</v>
      </c>
      <c r="CL3202" s="2" t="s">
        <v>89</v>
      </c>
    </row>
    <row r="3203" spans="1:90">
      <c r="A3203" s="2" t="s">
        <v>71</v>
      </c>
      <c r="B3203" s="2" t="s">
        <v>72</v>
      </c>
      <c r="C3203" s="2" t="s">
        <v>73</v>
      </c>
      <c r="E3203" s="2" t="str">
        <f>"FES1162597457"</f>
        <v>FES1162597457</v>
      </c>
      <c r="F3203" s="3">
        <v>43090</v>
      </c>
      <c r="G3203" s="2">
        <v>201806</v>
      </c>
      <c r="H3203" s="2" t="s">
        <v>74</v>
      </c>
      <c r="I3203" s="2" t="s">
        <v>75</v>
      </c>
      <c r="J3203" s="2" t="s">
        <v>97</v>
      </c>
      <c r="K3203" s="2" t="s">
        <v>77</v>
      </c>
      <c r="L3203" s="2" t="s">
        <v>682</v>
      </c>
      <c r="M3203" s="2" t="s">
        <v>683</v>
      </c>
      <c r="N3203" s="2" t="s">
        <v>684</v>
      </c>
      <c r="O3203" s="2" t="s">
        <v>101</v>
      </c>
      <c r="P3203" s="2" t="str">
        <f>"2170608634                    "</f>
        <v xml:space="preserve">2170608634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12.47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1</v>
      </c>
      <c r="BJ3203" s="2">
        <v>0.2</v>
      </c>
      <c r="BK3203" s="2">
        <v>1</v>
      </c>
      <c r="BL3203" s="2">
        <v>89</v>
      </c>
      <c r="BM3203" s="2">
        <v>12.46</v>
      </c>
      <c r="BN3203" s="2">
        <v>101.46</v>
      </c>
      <c r="BO3203" s="2">
        <v>101.46</v>
      </c>
      <c r="BQ3203" s="2" t="s">
        <v>128</v>
      </c>
      <c r="BR3203" s="2" t="s">
        <v>103</v>
      </c>
      <c r="BS3203" s="3">
        <v>43091</v>
      </c>
      <c r="BT3203" s="4">
        <v>0</v>
      </c>
      <c r="BU3203" s="2" t="s">
        <v>350</v>
      </c>
      <c r="BV3203" s="2" t="s">
        <v>85</v>
      </c>
      <c r="BY3203" s="2">
        <v>1200</v>
      </c>
      <c r="CC3203" s="2" t="s">
        <v>683</v>
      </c>
      <c r="CD3203" s="2">
        <v>6300</v>
      </c>
      <c r="CE3203" s="2" t="s">
        <v>120</v>
      </c>
      <c r="CI3203" s="2">
        <v>3</v>
      </c>
      <c r="CJ3203" s="2">
        <v>1</v>
      </c>
      <c r="CK3203" s="2">
        <v>23</v>
      </c>
      <c r="CL3203" s="2" t="s">
        <v>89</v>
      </c>
    </row>
    <row r="3204" spans="1:90">
      <c r="A3204" s="2" t="s">
        <v>71</v>
      </c>
      <c r="B3204" s="2" t="s">
        <v>72</v>
      </c>
      <c r="C3204" s="2" t="s">
        <v>73</v>
      </c>
      <c r="E3204" s="2" t="str">
        <f>"FES1162597392"</f>
        <v>FES1162597392</v>
      </c>
      <c r="F3204" s="3">
        <v>43090</v>
      </c>
      <c r="G3204" s="2">
        <v>201806</v>
      </c>
      <c r="H3204" s="2" t="s">
        <v>74</v>
      </c>
      <c r="I3204" s="2" t="s">
        <v>75</v>
      </c>
      <c r="J3204" s="2" t="s">
        <v>97</v>
      </c>
      <c r="K3204" s="2" t="s">
        <v>77</v>
      </c>
      <c r="L3204" s="2" t="s">
        <v>145</v>
      </c>
      <c r="M3204" s="2" t="s">
        <v>146</v>
      </c>
      <c r="N3204" s="2" t="s">
        <v>709</v>
      </c>
      <c r="O3204" s="2" t="s">
        <v>101</v>
      </c>
      <c r="P3204" s="2" t="str">
        <f>"2170601766                    "</f>
        <v xml:space="preserve">2170601766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6.43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1</v>
      </c>
      <c r="BJ3204" s="2">
        <v>0.2</v>
      </c>
      <c r="BK3204" s="2">
        <v>1</v>
      </c>
      <c r="BL3204" s="2">
        <v>45.93</v>
      </c>
      <c r="BM3204" s="2">
        <v>6.43</v>
      </c>
      <c r="BN3204" s="2">
        <v>52.36</v>
      </c>
      <c r="BO3204" s="2">
        <v>52.36</v>
      </c>
      <c r="BQ3204" s="2" t="s">
        <v>102</v>
      </c>
      <c r="BR3204" s="2" t="s">
        <v>103</v>
      </c>
      <c r="BS3204" s="3">
        <v>43091</v>
      </c>
      <c r="BT3204" s="4">
        <v>0.41666666666666669</v>
      </c>
      <c r="BU3204" s="2" t="s">
        <v>2783</v>
      </c>
      <c r="BV3204" s="2" t="s">
        <v>85</v>
      </c>
      <c r="BY3204" s="2">
        <v>1200</v>
      </c>
      <c r="CC3204" s="2" t="s">
        <v>146</v>
      </c>
      <c r="CD3204" s="2">
        <v>5201</v>
      </c>
      <c r="CE3204" s="2" t="s">
        <v>120</v>
      </c>
      <c r="CF3204" s="3">
        <v>43096</v>
      </c>
      <c r="CI3204" s="2">
        <v>1</v>
      </c>
      <c r="CJ3204" s="2">
        <v>1</v>
      </c>
      <c r="CK3204" s="2">
        <v>21</v>
      </c>
      <c r="CL3204" s="2" t="s">
        <v>89</v>
      </c>
    </row>
    <row r="3205" spans="1:90">
      <c r="A3205" s="2" t="s">
        <v>71</v>
      </c>
      <c r="B3205" s="2" t="s">
        <v>72</v>
      </c>
      <c r="C3205" s="2" t="s">
        <v>73</v>
      </c>
      <c r="E3205" s="2" t="str">
        <f>"FES1162597418"</f>
        <v>FES1162597418</v>
      </c>
      <c r="F3205" s="3">
        <v>43090</v>
      </c>
      <c r="G3205" s="2">
        <v>201806</v>
      </c>
      <c r="H3205" s="2" t="s">
        <v>74</v>
      </c>
      <c r="I3205" s="2" t="s">
        <v>75</v>
      </c>
      <c r="J3205" s="2" t="s">
        <v>97</v>
      </c>
      <c r="K3205" s="2" t="s">
        <v>77</v>
      </c>
      <c r="L3205" s="2" t="s">
        <v>682</v>
      </c>
      <c r="M3205" s="2" t="s">
        <v>683</v>
      </c>
      <c r="N3205" s="2" t="s">
        <v>684</v>
      </c>
      <c r="O3205" s="2" t="s">
        <v>101</v>
      </c>
      <c r="P3205" s="2" t="str">
        <f>"2170606126                    "</f>
        <v xml:space="preserve">2170606126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12.47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1</v>
      </c>
      <c r="BJ3205" s="2">
        <v>0.2</v>
      </c>
      <c r="BK3205" s="2">
        <v>1</v>
      </c>
      <c r="BL3205" s="2">
        <v>89</v>
      </c>
      <c r="BM3205" s="2">
        <v>12.46</v>
      </c>
      <c r="BN3205" s="2">
        <v>101.46</v>
      </c>
      <c r="BO3205" s="2">
        <v>101.46</v>
      </c>
      <c r="BQ3205" s="2" t="s">
        <v>128</v>
      </c>
      <c r="BR3205" s="2" t="s">
        <v>103</v>
      </c>
      <c r="BS3205" s="3">
        <v>43091</v>
      </c>
      <c r="BT3205" s="4">
        <v>0</v>
      </c>
      <c r="BU3205" s="2" t="s">
        <v>350</v>
      </c>
      <c r="BV3205" s="2" t="s">
        <v>85</v>
      </c>
      <c r="BY3205" s="2">
        <v>1200</v>
      </c>
      <c r="CC3205" s="2" t="s">
        <v>683</v>
      </c>
      <c r="CD3205" s="2">
        <v>6300</v>
      </c>
      <c r="CE3205" s="2" t="s">
        <v>120</v>
      </c>
      <c r="CI3205" s="2">
        <v>3</v>
      </c>
      <c r="CJ3205" s="2">
        <v>1</v>
      </c>
      <c r="CK3205" s="2">
        <v>23</v>
      </c>
      <c r="CL3205" s="2" t="s">
        <v>89</v>
      </c>
    </row>
    <row r="3206" spans="1:90">
      <c r="A3206" s="2" t="s">
        <v>71</v>
      </c>
      <c r="B3206" s="2" t="s">
        <v>72</v>
      </c>
      <c r="C3206" s="2" t="s">
        <v>73</v>
      </c>
      <c r="E3206" s="2" t="str">
        <f>"FES1162597412"</f>
        <v>FES1162597412</v>
      </c>
      <c r="F3206" s="3">
        <v>43090</v>
      </c>
      <c r="G3206" s="2">
        <v>201806</v>
      </c>
      <c r="H3206" s="2" t="s">
        <v>74</v>
      </c>
      <c r="I3206" s="2" t="s">
        <v>75</v>
      </c>
      <c r="J3206" s="2" t="s">
        <v>97</v>
      </c>
      <c r="K3206" s="2" t="s">
        <v>77</v>
      </c>
      <c r="L3206" s="2" t="s">
        <v>136</v>
      </c>
      <c r="M3206" s="2" t="s">
        <v>137</v>
      </c>
      <c r="N3206" s="2" t="s">
        <v>662</v>
      </c>
      <c r="O3206" s="2" t="s">
        <v>101</v>
      </c>
      <c r="P3206" s="2" t="str">
        <f>"2170605563                    "</f>
        <v xml:space="preserve">2170605563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6.43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1</v>
      </c>
      <c r="BJ3206" s="2">
        <v>0.2</v>
      </c>
      <c r="BK3206" s="2">
        <v>1</v>
      </c>
      <c r="BL3206" s="2">
        <v>45.93</v>
      </c>
      <c r="BM3206" s="2">
        <v>6.43</v>
      </c>
      <c r="BN3206" s="2">
        <v>52.36</v>
      </c>
      <c r="BO3206" s="2">
        <v>52.36</v>
      </c>
      <c r="BQ3206" s="2" t="s">
        <v>128</v>
      </c>
      <c r="BR3206" s="2" t="s">
        <v>103</v>
      </c>
      <c r="BS3206" s="2" t="s">
        <v>185</v>
      </c>
      <c r="BY3206" s="2">
        <v>1200</v>
      </c>
      <c r="CC3206" s="2" t="s">
        <v>137</v>
      </c>
      <c r="CD3206" s="2">
        <v>6012</v>
      </c>
      <c r="CE3206" s="2" t="s">
        <v>120</v>
      </c>
      <c r="CI3206" s="2">
        <v>1</v>
      </c>
      <c r="CJ3206" s="2" t="s">
        <v>185</v>
      </c>
      <c r="CK3206" s="2">
        <v>21</v>
      </c>
      <c r="CL3206" s="2" t="s">
        <v>89</v>
      </c>
    </row>
    <row r="3207" spans="1:90">
      <c r="A3207" s="2" t="s">
        <v>71</v>
      </c>
      <c r="B3207" s="2" t="s">
        <v>72</v>
      </c>
      <c r="C3207" s="2" t="s">
        <v>73</v>
      </c>
      <c r="E3207" s="2" t="str">
        <f>"FES1162597472"</f>
        <v>FES1162597472</v>
      </c>
      <c r="F3207" s="3">
        <v>43090</v>
      </c>
      <c r="G3207" s="2">
        <v>201806</v>
      </c>
      <c r="H3207" s="2" t="s">
        <v>74</v>
      </c>
      <c r="I3207" s="2" t="s">
        <v>75</v>
      </c>
      <c r="J3207" s="2" t="s">
        <v>97</v>
      </c>
      <c r="K3207" s="2" t="s">
        <v>77</v>
      </c>
      <c r="L3207" s="2" t="s">
        <v>145</v>
      </c>
      <c r="M3207" s="2" t="s">
        <v>146</v>
      </c>
      <c r="N3207" s="2" t="s">
        <v>753</v>
      </c>
      <c r="O3207" s="2" t="s">
        <v>101</v>
      </c>
      <c r="P3207" s="2" t="str">
        <f>"2170608700                    "</f>
        <v xml:space="preserve">2170608700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6.43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1</v>
      </c>
      <c r="BI3207" s="2">
        <v>1</v>
      </c>
      <c r="BJ3207" s="2">
        <v>0.2</v>
      </c>
      <c r="BK3207" s="2">
        <v>1</v>
      </c>
      <c r="BL3207" s="2">
        <v>45.93</v>
      </c>
      <c r="BM3207" s="2">
        <v>6.43</v>
      </c>
      <c r="BN3207" s="2">
        <v>52.36</v>
      </c>
      <c r="BO3207" s="2">
        <v>52.36</v>
      </c>
      <c r="BQ3207" s="2" t="s">
        <v>82</v>
      </c>
      <c r="BR3207" s="2" t="s">
        <v>103</v>
      </c>
      <c r="BS3207" s="3">
        <v>43091</v>
      </c>
      <c r="BT3207" s="4">
        <v>0.43958333333333338</v>
      </c>
      <c r="BU3207" s="2" t="s">
        <v>3019</v>
      </c>
      <c r="BV3207" s="2" t="s">
        <v>85</v>
      </c>
      <c r="BY3207" s="2">
        <v>1200</v>
      </c>
      <c r="CC3207" s="2" t="s">
        <v>146</v>
      </c>
      <c r="CD3207" s="2">
        <v>5201</v>
      </c>
      <c r="CE3207" s="2" t="s">
        <v>120</v>
      </c>
      <c r="CF3207" s="3">
        <v>43096</v>
      </c>
      <c r="CI3207" s="2">
        <v>1</v>
      </c>
      <c r="CJ3207" s="2">
        <v>1</v>
      </c>
      <c r="CK3207" s="2">
        <v>21</v>
      </c>
      <c r="CL3207" s="2" t="s">
        <v>89</v>
      </c>
    </row>
    <row r="3208" spans="1:90">
      <c r="A3208" s="2" t="s">
        <v>71</v>
      </c>
      <c r="B3208" s="2" t="s">
        <v>72</v>
      </c>
      <c r="C3208" s="2" t="s">
        <v>73</v>
      </c>
      <c r="E3208" s="2" t="str">
        <f>"FES1162597319"</f>
        <v>FES1162597319</v>
      </c>
      <c r="F3208" s="3">
        <v>43090</v>
      </c>
      <c r="G3208" s="2">
        <v>201806</v>
      </c>
      <c r="H3208" s="2" t="s">
        <v>74</v>
      </c>
      <c r="I3208" s="2" t="s">
        <v>75</v>
      </c>
      <c r="J3208" s="2" t="s">
        <v>97</v>
      </c>
      <c r="K3208" s="2" t="s">
        <v>77</v>
      </c>
      <c r="L3208" s="2" t="s">
        <v>158</v>
      </c>
      <c r="M3208" s="2" t="s">
        <v>159</v>
      </c>
      <c r="N3208" s="2" t="s">
        <v>588</v>
      </c>
      <c r="O3208" s="2" t="s">
        <v>101</v>
      </c>
      <c r="P3208" s="2" t="str">
        <f>"2170607728                    "</f>
        <v xml:space="preserve">2170607728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6.43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1</v>
      </c>
      <c r="BJ3208" s="2">
        <v>0.2</v>
      </c>
      <c r="BK3208" s="2">
        <v>1</v>
      </c>
      <c r="BL3208" s="2">
        <v>45.93</v>
      </c>
      <c r="BM3208" s="2">
        <v>6.43</v>
      </c>
      <c r="BN3208" s="2">
        <v>52.36</v>
      </c>
      <c r="BO3208" s="2">
        <v>52.36</v>
      </c>
      <c r="BQ3208" s="2" t="s">
        <v>102</v>
      </c>
      <c r="BR3208" s="2" t="s">
        <v>103</v>
      </c>
      <c r="BS3208" s="2" t="s">
        <v>185</v>
      </c>
      <c r="BY3208" s="2">
        <v>1200</v>
      </c>
      <c r="CC3208" s="2" t="s">
        <v>159</v>
      </c>
      <c r="CD3208" s="2">
        <v>40</v>
      </c>
      <c r="CE3208" s="2" t="s">
        <v>120</v>
      </c>
      <c r="CI3208" s="2">
        <v>1</v>
      </c>
      <c r="CJ3208" s="2" t="s">
        <v>185</v>
      </c>
      <c r="CK3208" s="2">
        <v>21</v>
      </c>
      <c r="CL3208" s="2" t="s">
        <v>89</v>
      </c>
    </row>
    <row r="3209" spans="1:90">
      <c r="A3209" s="2" t="s">
        <v>71</v>
      </c>
      <c r="B3209" s="2" t="s">
        <v>72</v>
      </c>
      <c r="C3209" s="2" t="s">
        <v>73</v>
      </c>
      <c r="E3209" s="2" t="str">
        <f>"FES1162597243"</f>
        <v>FES1162597243</v>
      </c>
      <c r="F3209" s="3">
        <v>43090</v>
      </c>
      <c r="G3209" s="2">
        <v>201806</v>
      </c>
      <c r="H3209" s="2" t="s">
        <v>74</v>
      </c>
      <c r="I3209" s="2" t="s">
        <v>75</v>
      </c>
      <c r="J3209" s="2" t="s">
        <v>97</v>
      </c>
      <c r="K3209" s="2" t="s">
        <v>77</v>
      </c>
      <c r="L3209" s="2" t="s">
        <v>295</v>
      </c>
      <c r="M3209" s="2" t="s">
        <v>296</v>
      </c>
      <c r="N3209" s="2" t="s">
        <v>894</v>
      </c>
      <c r="O3209" s="2" t="s">
        <v>101</v>
      </c>
      <c r="P3209" s="2" t="str">
        <f>"2170602755                    "</f>
        <v xml:space="preserve">2170602755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9.0500000000000007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64.599999999999994</v>
      </c>
      <c r="BM3209" s="2">
        <v>9.0399999999999991</v>
      </c>
      <c r="BN3209" s="2">
        <v>73.64</v>
      </c>
      <c r="BO3209" s="2">
        <v>73.64</v>
      </c>
      <c r="BQ3209" s="2" t="s">
        <v>895</v>
      </c>
      <c r="BR3209" s="2" t="s">
        <v>103</v>
      </c>
      <c r="BS3209" s="2" t="s">
        <v>185</v>
      </c>
      <c r="BY3209" s="2">
        <v>1200</v>
      </c>
      <c r="CC3209" s="2" t="s">
        <v>296</v>
      </c>
      <c r="CD3209" s="2">
        <v>208</v>
      </c>
      <c r="CE3209" s="2" t="s">
        <v>120</v>
      </c>
      <c r="CI3209" s="2">
        <v>1</v>
      </c>
      <c r="CJ3209" s="2" t="s">
        <v>185</v>
      </c>
      <c r="CK3209" s="2">
        <v>24</v>
      </c>
      <c r="CL3209" s="2" t="s">
        <v>89</v>
      </c>
    </row>
    <row r="3210" spans="1:90">
      <c r="A3210" s="2" t="s">
        <v>71</v>
      </c>
      <c r="B3210" s="2" t="s">
        <v>72</v>
      </c>
      <c r="C3210" s="2" t="s">
        <v>73</v>
      </c>
      <c r="E3210" s="2" t="str">
        <f>"FES1162597337"</f>
        <v>FES1162597337</v>
      </c>
      <c r="F3210" s="3">
        <v>43090</v>
      </c>
      <c r="G3210" s="2">
        <v>201806</v>
      </c>
      <c r="H3210" s="2" t="s">
        <v>74</v>
      </c>
      <c r="I3210" s="2" t="s">
        <v>75</v>
      </c>
      <c r="J3210" s="2" t="s">
        <v>97</v>
      </c>
      <c r="K3210" s="2" t="s">
        <v>77</v>
      </c>
      <c r="L3210" s="2" t="s">
        <v>651</v>
      </c>
      <c r="M3210" s="2" t="s">
        <v>652</v>
      </c>
      <c r="N3210" s="2" t="s">
        <v>949</v>
      </c>
      <c r="O3210" s="2" t="s">
        <v>101</v>
      </c>
      <c r="P3210" s="2" t="str">
        <f>"2170608565                    "</f>
        <v xml:space="preserve">2170608565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9.0500000000000007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64.599999999999994</v>
      </c>
      <c r="BM3210" s="2">
        <v>9.0399999999999991</v>
      </c>
      <c r="BN3210" s="2">
        <v>73.64</v>
      </c>
      <c r="BO3210" s="2">
        <v>73.64</v>
      </c>
      <c r="BQ3210" s="2" t="s">
        <v>82</v>
      </c>
      <c r="BR3210" s="2" t="s">
        <v>103</v>
      </c>
      <c r="BS3210" s="2" t="s">
        <v>185</v>
      </c>
      <c r="BY3210" s="2">
        <v>1200</v>
      </c>
      <c r="CC3210" s="2" t="s">
        <v>652</v>
      </c>
      <c r="CD3210" s="2">
        <v>250</v>
      </c>
      <c r="CE3210" s="2" t="s">
        <v>120</v>
      </c>
      <c r="CI3210" s="2">
        <v>1</v>
      </c>
      <c r="CJ3210" s="2" t="s">
        <v>185</v>
      </c>
      <c r="CK3210" s="2">
        <v>24</v>
      </c>
      <c r="CL3210" s="2" t="s">
        <v>89</v>
      </c>
    </row>
    <row r="3211" spans="1:90">
      <c r="A3211" s="2" t="s">
        <v>71</v>
      </c>
      <c r="B3211" s="2" t="s">
        <v>72</v>
      </c>
      <c r="C3211" s="2" t="s">
        <v>73</v>
      </c>
      <c r="E3211" s="2" t="str">
        <f>"FES1162597372"</f>
        <v>FES1162597372</v>
      </c>
      <c r="F3211" s="3">
        <v>43090</v>
      </c>
      <c r="G3211" s="2">
        <v>201806</v>
      </c>
      <c r="H3211" s="2" t="s">
        <v>74</v>
      </c>
      <c r="I3211" s="2" t="s">
        <v>75</v>
      </c>
      <c r="J3211" s="2" t="s">
        <v>97</v>
      </c>
      <c r="K3211" s="2" t="s">
        <v>77</v>
      </c>
      <c r="L3211" s="2" t="s">
        <v>106</v>
      </c>
      <c r="M3211" s="2" t="s">
        <v>107</v>
      </c>
      <c r="N3211" s="2" t="s">
        <v>108</v>
      </c>
      <c r="O3211" s="2" t="s">
        <v>101</v>
      </c>
      <c r="P3211" s="2" t="str">
        <f>"2170608003                    "</f>
        <v xml:space="preserve">2170608003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5.03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1</v>
      </c>
      <c r="BJ3211" s="2">
        <v>0.2</v>
      </c>
      <c r="BK3211" s="2">
        <v>1</v>
      </c>
      <c r="BL3211" s="2">
        <v>35.89</v>
      </c>
      <c r="BM3211" s="2">
        <v>5.0199999999999996</v>
      </c>
      <c r="BN3211" s="2">
        <v>40.909999999999997</v>
      </c>
      <c r="BO3211" s="2">
        <v>40.909999999999997</v>
      </c>
      <c r="BQ3211" s="2" t="s">
        <v>82</v>
      </c>
      <c r="BR3211" s="2" t="s">
        <v>103</v>
      </c>
      <c r="BS3211" s="3">
        <v>43091</v>
      </c>
      <c r="BT3211" s="4">
        <v>0.37847222222222227</v>
      </c>
      <c r="BU3211" s="2" t="s">
        <v>328</v>
      </c>
      <c r="BV3211" s="2" t="s">
        <v>85</v>
      </c>
      <c r="BY3211" s="2">
        <v>1200</v>
      </c>
      <c r="CC3211" s="2" t="s">
        <v>107</v>
      </c>
      <c r="CD3211" s="2">
        <v>2094</v>
      </c>
      <c r="CE3211" s="2" t="s">
        <v>120</v>
      </c>
      <c r="CI3211" s="2">
        <v>1</v>
      </c>
      <c r="CJ3211" s="2">
        <v>1</v>
      </c>
      <c r="CK3211" s="2">
        <v>22</v>
      </c>
      <c r="CL3211" s="2" t="s">
        <v>89</v>
      </c>
    </row>
    <row r="3212" spans="1:90">
      <c r="A3212" s="2" t="s">
        <v>71</v>
      </c>
      <c r="B3212" s="2" t="s">
        <v>72</v>
      </c>
      <c r="C3212" s="2" t="s">
        <v>73</v>
      </c>
      <c r="E3212" s="2" t="str">
        <f>"FES1162597356"</f>
        <v>FES1162597356</v>
      </c>
      <c r="F3212" s="3">
        <v>43090</v>
      </c>
      <c r="G3212" s="2">
        <v>201806</v>
      </c>
      <c r="H3212" s="2" t="s">
        <v>74</v>
      </c>
      <c r="I3212" s="2" t="s">
        <v>75</v>
      </c>
      <c r="J3212" s="2" t="s">
        <v>97</v>
      </c>
      <c r="K3212" s="2" t="s">
        <v>77</v>
      </c>
      <c r="L3212" s="2" t="s">
        <v>449</v>
      </c>
      <c r="M3212" s="2" t="s">
        <v>450</v>
      </c>
      <c r="N3212" s="2" t="s">
        <v>3022</v>
      </c>
      <c r="O3212" s="2" t="s">
        <v>101</v>
      </c>
      <c r="P3212" s="2" t="str">
        <f>"2170607376                    "</f>
        <v xml:space="preserve">2170607376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5.03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1</v>
      </c>
      <c r="BJ3212" s="2">
        <v>0.2</v>
      </c>
      <c r="BK3212" s="2">
        <v>1</v>
      </c>
      <c r="BL3212" s="2">
        <v>35.89</v>
      </c>
      <c r="BM3212" s="2">
        <v>5.0199999999999996</v>
      </c>
      <c r="BN3212" s="2">
        <v>40.909999999999997</v>
      </c>
      <c r="BO3212" s="2">
        <v>40.909999999999997</v>
      </c>
      <c r="BR3212" s="2" t="s">
        <v>103</v>
      </c>
      <c r="BS3212" s="3">
        <v>43091</v>
      </c>
      <c r="BT3212" s="4">
        <v>0.38194444444444442</v>
      </c>
      <c r="BU3212" s="2" t="s">
        <v>3023</v>
      </c>
      <c r="BV3212" s="2" t="s">
        <v>85</v>
      </c>
      <c r="BY3212" s="2">
        <v>1200</v>
      </c>
      <c r="CC3212" s="2" t="s">
        <v>450</v>
      </c>
      <c r="CD3212" s="2">
        <v>1709</v>
      </c>
      <c r="CE3212" s="2" t="s">
        <v>120</v>
      </c>
      <c r="CI3212" s="2">
        <v>1</v>
      </c>
      <c r="CJ3212" s="2">
        <v>1</v>
      </c>
      <c r="CK3212" s="2">
        <v>22</v>
      </c>
      <c r="CL3212" s="2" t="s">
        <v>89</v>
      </c>
    </row>
    <row r="3213" spans="1:90">
      <c r="A3213" s="2" t="s">
        <v>71</v>
      </c>
      <c r="B3213" s="2" t="s">
        <v>72</v>
      </c>
      <c r="C3213" s="2" t="s">
        <v>73</v>
      </c>
      <c r="E3213" s="2" t="str">
        <f>"FES1162597409"</f>
        <v>FES1162597409</v>
      </c>
      <c r="F3213" s="3">
        <v>43090</v>
      </c>
      <c r="G3213" s="2">
        <v>201806</v>
      </c>
      <c r="H3213" s="2" t="s">
        <v>74</v>
      </c>
      <c r="I3213" s="2" t="s">
        <v>75</v>
      </c>
      <c r="J3213" s="2" t="s">
        <v>97</v>
      </c>
      <c r="K3213" s="2" t="s">
        <v>77</v>
      </c>
      <c r="L3213" s="2" t="s">
        <v>90</v>
      </c>
      <c r="M3213" s="2" t="s">
        <v>91</v>
      </c>
      <c r="N3213" s="2" t="s">
        <v>92</v>
      </c>
      <c r="O3213" s="2" t="s">
        <v>101</v>
      </c>
      <c r="P3213" s="2" t="str">
        <f>"2170605364                    "</f>
        <v xml:space="preserve">2170605364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5.03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35.89</v>
      </c>
      <c r="BM3213" s="2">
        <v>5.0199999999999996</v>
      </c>
      <c r="BN3213" s="2">
        <v>40.909999999999997</v>
      </c>
      <c r="BO3213" s="2">
        <v>40.909999999999997</v>
      </c>
      <c r="BQ3213" s="2" t="s">
        <v>102</v>
      </c>
      <c r="BR3213" s="2" t="s">
        <v>103</v>
      </c>
      <c r="BS3213" s="3">
        <v>43091</v>
      </c>
      <c r="BT3213" s="4">
        <v>0.41666666666666669</v>
      </c>
      <c r="BU3213" s="2" t="s">
        <v>3002</v>
      </c>
      <c r="BV3213" s="2" t="s">
        <v>85</v>
      </c>
      <c r="BY3213" s="2">
        <v>1200</v>
      </c>
      <c r="CC3213" s="2" t="s">
        <v>91</v>
      </c>
      <c r="CD3213" s="2">
        <v>1559</v>
      </c>
      <c r="CE3213" s="2" t="s">
        <v>120</v>
      </c>
      <c r="CI3213" s="2">
        <v>1</v>
      </c>
      <c r="CJ3213" s="2">
        <v>1</v>
      </c>
      <c r="CK3213" s="2">
        <v>22</v>
      </c>
      <c r="CL3213" s="2" t="s">
        <v>89</v>
      </c>
    </row>
    <row r="3214" spans="1:90">
      <c r="A3214" s="2" t="s">
        <v>71</v>
      </c>
      <c r="B3214" s="2" t="s">
        <v>72</v>
      </c>
      <c r="C3214" s="2" t="s">
        <v>73</v>
      </c>
      <c r="E3214" s="2" t="str">
        <f>"FES1162597475"</f>
        <v>FES1162597475</v>
      </c>
      <c r="F3214" s="3">
        <v>43090</v>
      </c>
      <c r="G3214" s="2">
        <v>201806</v>
      </c>
      <c r="H3214" s="2" t="s">
        <v>74</v>
      </c>
      <c r="I3214" s="2" t="s">
        <v>75</v>
      </c>
      <c r="J3214" s="2" t="s">
        <v>97</v>
      </c>
      <c r="K3214" s="2" t="s">
        <v>77</v>
      </c>
      <c r="L3214" s="2" t="s">
        <v>158</v>
      </c>
      <c r="M3214" s="2" t="s">
        <v>159</v>
      </c>
      <c r="N3214" s="2" t="s">
        <v>3024</v>
      </c>
      <c r="O3214" s="2" t="s">
        <v>101</v>
      </c>
      <c r="P3214" s="2" t="str">
        <f>"217068215                     "</f>
        <v xml:space="preserve">217068215 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6.43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1</v>
      </c>
      <c r="BJ3214" s="2">
        <v>0.2</v>
      </c>
      <c r="BK3214" s="2">
        <v>1</v>
      </c>
      <c r="BL3214" s="2">
        <v>45.93</v>
      </c>
      <c r="BM3214" s="2">
        <v>6.43</v>
      </c>
      <c r="BN3214" s="2">
        <v>52.36</v>
      </c>
      <c r="BO3214" s="2">
        <v>52.36</v>
      </c>
      <c r="BR3214" s="2" t="s">
        <v>103</v>
      </c>
      <c r="BS3214" s="3">
        <v>43091</v>
      </c>
      <c r="BT3214" s="4">
        <v>0.375</v>
      </c>
      <c r="BU3214" s="2" t="s">
        <v>200</v>
      </c>
      <c r="BV3214" s="2" t="s">
        <v>85</v>
      </c>
      <c r="BY3214" s="2">
        <v>1200</v>
      </c>
      <c r="CC3214" s="2" t="s">
        <v>159</v>
      </c>
      <c r="CD3214" s="2">
        <v>1</v>
      </c>
      <c r="CE3214" s="2" t="s">
        <v>120</v>
      </c>
      <c r="CF3214" s="3">
        <v>43096</v>
      </c>
      <c r="CI3214" s="2">
        <v>1</v>
      </c>
      <c r="CJ3214" s="2">
        <v>1</v>
      </c>
      <c r="CK3214" s="2">
        <v>21</v>
      </c>
      <c r="CL3214" s="2" t="s">
        <v>89</v>
      </c>
    </row>
    <row r="3215" spans="1:90">
      <c r="A3215" s="2" t="s">
        <v>71</v>
      </c>
      <c r="B3215" s="2" t="s">
        <v>72</v>
      </c>
      <c r="C3215" s="2" t="s">
        <v>73</v>
      </c>
      <c r="E3215" s="2" t="str">
        <f>"FES1162597191"</f>
        <v>FES1162597191</v>
      </c>
      <c r="F3215" s="3">
        <v>43090</v>
      </c>
      <c r="G3215" s="2">
        <v>201806</v>
      </c>
      <c r="H3215" s="2" t="s">
        <v>74</v>
      </c>
      <c r="I3215" s="2" t="s">
        <v>75</v>
      </c>
      <c r="J3215" s="2" t="s">
        <v>97</v>
      </c>
      <c r="K3215" s="2" t="s">
        <v>77</v>
      </c>
      <c r="L3215" s="2" t="s">
        <v>115</v>
      </c>
      <c r="M3215" s="2" t="s">
        <v>116</v>
      </c>
      <c r="N3215" s="2" t="s">
        <v>283</v>
      </c>
      <c r="O3215" s="2" t="s">
        <v>101</v>
      </c>
      <c r="P3215" s="2" t="str">
        <f>"2170606032                    "</f>
        <v xml:space="preserve">2170606032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5.03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1</v>
      </c>
      <c r="BJ3215" s="2">
        <v>0.2</v>
      </c>
      <c r="BK3215" s="2">
        <v>1</v>
      </c>
      <c r="BL3215" s="2">
        <v>35.89</v>
      </c>
      <c r="BM3215" s="2">
        <v>5.0199999999999996</v>
      </c>
      <c r="BN3215" s="2">
        <v>40.909999999999997</v>
      </c>
      <c r="BO3215" s="2">
        <v>40.909999999999997</v>
      </c>
      <c r="BQ3215" s="2" t="s">
        <v>102</v>
      </c>
      <c r="BR3215" s="2" t="s">
        <v>103</v>
      </c>
      <c r="BS3215" s="3">
        <v>43096</v>
      </c>
      <c r="BT3215" s="4">
        <v>0.4375</v>
      </c>
      <c r="BU3215" s="2" t="s">
        <v>2996</v>
      </c>
      <c r="BV3215" s="2" t="s">
        <v>89</v>
      </c>
      <c r="BW3215" s="2" t="s">
        <v>149</v>
      </c>
      <c r="BX3215" s="2" t="s">
        <v>456</v>
      </c>
      <c r="BY3215" s="2">
        <v>1200</v>
      </c>
      <c r="CC3215" s="2" t="s">
        <v>116</v>
      </c>
      <c r="CD3215" s="2">
        <v>1459</v>
      </c>
      <c r="CE3215" s="2" t="s">
        <v>120</v>
      </c>
      <c r="CI3215" s="2">
        <v>1</v>
      </c>
      <c r="CJ3215" s="2">
        <v>4</v>
      </c>
      <c r="CK3215" s="2">
        <v>22</v>
      </c>
      <c r="CL3215" s="2" t="s">
        <v>89</v>
      </c>
    </row>
    <row r="3216" spans="1:90">
      <c r="A3216" s="2" t="s">
        <v>71</v>
      </c>
      <c r="B3216" s="2" t="s">
        <v>72</v>
      </c>
      <c r="C3216" s="2" t="s">
        <v>73</v>
      </c>
      <c r="E3216" s="2" t="str">
        <f>"FES1162597383"</f>
        <v>FES1162597383</v>
      </c>
      <c r="F3216" s="3">
        <v>43090</v>
      </c>
      <c r="G3216" s="2">
        <v>201806</v>
      </c>
      <c r="H3216" s="2" t="s">
        <v>74</v>
      </c>
      <c r="I3216" s="2" t="s">
        <v>75</v>
      </c>
      <c r="J3216" s="2" t="s">
        <v>97</v>
      </c>
      <c r="K3216" s="2" t="s">
        <v>77</v>
      </c>
      <c r="L3216" s="2" t="s">
        <v>131</v>
      </c>
      <c r="M3216" s="2" t="s">
        <v>132</v>
      </c>
      <c r="N3216" s="2" t="s">
        <v>228</v>
      </c>
      <c r="O3216" s="2" t="s">
        <v>101</v>
      </c>
      <c r="P3216" s="2" t="str">
        <f>"2170608685                    "</f>
        <v xml:space="preserve">2170608685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6.43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</v>
      </c>
      <c r="BJ3216" s="2">
        <v>0.2</v>
      </c>
      <c r="BK3216" s="2">
        <v>1</v>
      </c>
      <c r="BL3216" s="2">
        <v>45.93</v>
      </c>
      <c r="BM3216" s="2">
        <v>6.43</v>
      </c>
      <c r="BN3216" s="2">
        <v>52.36</v>
      </c>
      <c r="BO3216" s="2">
        <v>52.36</v>
      </c>
      <c r="BQ3216" s="2" t="s">
        <v>229</v>
      </c>
      <c r="BR3216" s="2" t="s">
        <v>103</v>
      </c>
      <c r="BS3216" s="3">
        <v>43091</v>
      </c>
      <c r="BT3216" s="4">
        <v>0.33333333333333331</v>
      </c>
      <c r="BU3216" s="2" t="s">
        <v>265</v>
      </c>
      <c r="BV3216" s="2" t="s">
        <v>85</v>
      </c>
      <c r="BY3216" s="2">
        <v>1200</v>
      </c>
      <c r="CC3216" s="2" t="s">
        <v>132</v>
      </c>
      <c r="CD3216" s="2">
        <v>4300</v>
      </c>
      <c r="CE3216" s="2" t="s">
        <v>120</v>
      </c>
      <c r="CF3216" s="3">
        <v>43096</v>
      </c>
      <c r="CI3216" s="2">
        <v>1</v>
      </c>
      <c r="CJ3216" s="2">
        <v>1</v>
      </c>
      <c r="CK3216" s="2">
        <v>21</v>
      </c>
      <c r="CL3216" s="2" t="s">
        <v>89</v>
      </c>
    </row>
    <row r="3217" spans="1:90">
      <c r="A3217" s="2" t="s">
        <v>71</v>
      </c>
      <c r="B3217" s="2" t="s">
        <v>72</v>
      </c>
      <c r="C3217" s="2" t="s">
        <v>73</v>
      </c>
      <c r="E3217" s="2" t="str">
        <f>"FES1162597428"</f>
        <v>FES1162597428</v>
      </c>
      <c r="F3217" s="3">
        <v>43090</v>
      </c>
      <c r="G3217" s="2">
        <v>201806</v>
      </c>
      <c r="H3217" s="2" t="s">
        <v>74</v>
      </c>
      <c r="I3217" s="2" t="s">
        <v>75</v>
      </c>
      <c r="J3217" s="2" t="s">
        <v>97</v>
      </c>
      <c r="K3217" s="2" t="s">
        <v>77</v>
      </c>
      <c r="L3217" s="2" t="s">
        <v>212</v>
      </c>
      <c r="M3217" s="2" t="s">
        <v>212</v>
      </c>
      <c r="N3217" s="2" t="s">
        <v>370</v>
      </c>
      <c r="O3217" s="2" t="s">
        <v>101</v>
      </c>
      <c r="P3217" s="2" t="str">
        <f>"2170606550                    "</f>
        <v xml:space="preserve">2170606550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6.43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1</v>
      </c>
      <c r="BJ3217" s="2">
        <v>0.2</v>
      </c>
      <c r="BK3217" s="2">
        <v>1</v>
      </c>
      <c r="BL3217" s="2">
        <v>45.93</v>
      </c>
      <c r="BM3217" s="2">
        <v>6.43</v>
      </c>
      <c r="BN3217" s="2">
        <v>52.36</v>
      </c>
      <c r="BO3217" s="2">
        <v>52.36</v>
      </c>
      <c r="BQ3217" s="2" t="s">
        <v>102</v>
      </c>
      <c r="BR3217" s="2" t="s">
        <v>103</v>
      </c>
      <c r="BS3217" s="3">
        <v>43091</v>
      </c>
      <c r="BT3217" s="4">
        <v>0.45833333333333331</v>
      </c>
      <c r="BU3217" s="2" t="s">
        <v>2552</v>
      </c>
      <c r="BV3217" s="2" t="s">
        <v>85</v>
      </c>
      <c r="BY3217" s="2">
        <v>1200</v>
      </c>
      <c r="CC3217" s="2" t="s">
        <v>212</v>
      </c>
      <c r="CD3217" s="2">
        <v>7646</v>
      </c>
      <c r="CE3217" s="2" t="s">
        <v>120</v>
      </c>
      <c r="CF3217" s="3">
        <v>43096</v>
      </c>
      <c r="CI3217" s="2">
        <v>1</v>
      </c>
      <c r="CJ3217" s="2">
        <v>1</v>
      </c>
      <c r="CK3217" s="2">
        <v>21</v>
      </c>
      <c r="CL3217" s="2" t="s">
        <v>89</v>
      </c>
    </row>
    <row r="3218" spans="1:90">
      <c r="A3218" s="2" t="s">
        <v>71</v>
      </c>
      <c r="B3218" s="2" t="s">
        <v>72</v>
      </c>
      <c r="C3218" s="2" t="s">
        <v>73</v>
      </c>
      <c r="E3218" s="2" t="str">
        <f>"FES1162597454"</f>
        <v>FES1162597454</v>
      </c>
      <c r="F3218" s="3">
        <v>43090</v>
      </c>
      <c r="G3218" s="2">
        <v>201806</v>
      </c>
      <c r="H3218" s="2" t="s">
        <v>74</v>
      </c>
      <c r="I3218" s="2" t="s">
        <v>75</v>
      </c>
      <c r="J3218" s="2" t="s">
        <v>97</v>
      </c>
      <c r="K3218" s="2" t="s">
        <v>77</v>
      </c>
      <c r="L3218" s="2" t="s">
        <v>98</v>
      </c>
      <c r="M3218" s="2" t="s">
        <v>99</v>
      </c>
      <c r="N3218" s="2" t="s">
        <v>2949</v>
      </c>
      <c r="O3218" s="2" t="s">
        <v>101</v>
      </c>
      <c r="P3218" s="2" t="str">
        <f>"2170608364                    "</f>
        <v xml:space="preserve">2170608364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6.43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45.93</v>
      </c>
      <c r="BM3218" s="2">
        <v>6.43</v>
      </c>
      <c r="BN3218" s="2">
        <v>52.36</v>
      </c>
      <c r="BO3218" s="2">
        <v>52.36</v>
      </c>
      <c r="BQ3218" s="2" t="s">
        <v>102</v>
      </c>
      <c r="BR3218" s="2" t="s">
        <v>103</v>
      </c>
      <c r="BS3218" s="3">
        <v>43091</v>
      </c>
      <c r="BT3218" s="4">
        <v>0.60555555555555551</v>
      </c>
      <c r="BU3218" s="2" t="s">
        <v>3025</v>
      </c>
      <c r="BV3218" s="2" t="s">
        <v>89</v>
      </c>
      <c r="BY3218" s="2">
        <v>1200</v>
      </c>
      <c r="CA3218" s="2" t="s">
        <v>1391</v>
      </c>
      <c r="CC3218" s="2" t="s">
        <v>99</v>
      </c>
      <c r="CD3218" s="2">
        <v>3201</v>
      </c>
      <c r="CE3218" s="2" t="s">
        <v>120</v>
      </c>
      <c r="CF3218" s="3">
        <v>43096</v>
      </c>
      <c r="CI3218" s="2">
        <v>1</v>
      </c>
      <c r="CJ3218" s="2">
        <v>1</v>
      </c>
      <c r="CK3218" s="2">
        <v>21</v>
      </c>
      <c r="CL3218" s="2" t="s">
        <v>89</v>
      </c>
    </row>
    <row r="3219" spans="1:90">
      <c r="A3219" s="2" t="s">
        <v>71</v>
      </c>
      <c r="B3219" s="2" t="s">
        <v>72</v>
      </c>
      <c r="C3219" s="2" t="s">
        <v>73</v>
      </c>
      <c r="E3219" s="2" t="str">
        <f>"FES1162597491"</f>
        <v>FES1162597491</v>
      </c>
      <c r="F3219" s="3">
        <v>43090</v>
      </c>
      <c r="G3219" s="2">
        <v>201806</v>
      </c>
      <c r="H3219" s="2" t="s">
        <v>74</v>
      </c>
      <c r="I3219" s="2" t="s">
        <v>75</v>
      </c>
      <c r="J3219" s="2" t="s">
        <v>97</v>
      </c>
      <c r="K3219" s="2" t="s">
        <v>77</v>
      </c>
      <c r="L3219" s="2" t="s">
        <v>173</v>
      </c>
      <c r="M3219" s="2" t="s">
        <v>174</v>
      </c>
      <c r="N3219" s="2" t="s">
        <v>1208</v>
      </c>
      <c r="O3219" s="2" t="s">
        <v>101</v>
      </c>
      <c r="P3219" s="2" t="str">
        <f>"21706816                      "</f>
        <v xml:space="preserve">21706816  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8.0399999999999991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2.2999999999999998</v>
      </c>
      <c r="BJ3219" s="2">
        <v>1.4</v>
      </c>
      <c r="BK3219" s="2">
        <v>2.5</v>
      </c>
      <c r="BL3219" s="2">
        <v>57.41</v>
      </c>
      <c r="BM3219" s="2">
        <v>8.0399999999999991</v>
      </c>
      <c r="BN3219" s="2">
        <v>65.45</v>
      </c>
      <c r="BO3219" s="2">
        <v>65.45</v>
      </c>
      <c r="BQ3219" s="2" t="s">
        <v>102</v>
      </c>
      <c r="BR3219" s="2" t="s">
        <v>103</v>
      </c>
      <c r="BS3219" s="3">
        <v>43091</v>
      </c>
      <c r="BT3219" s="4">
        <v>0.41666666666666669</v>
      </c>
      <c r="BU3219" s="2" t="s">
        <v>3026</v>
      </c>
      <c r="BV3219" s="2" t="s">
        <v>85</v>
      </c>
      <c r="BY3219" s="2">
        <v>7029.13</v>
      </c>
      <c r="CC3219" s="2" t="s">
        <v>174</v>
      </c>
      <c r="CD3219" s="2">
        <v>7925</v>
      </c>
      <c r="CE3219" s="2" t="s">
        <v>95</v>
      </c>
      <c r="CF3219" s="3">
        <v>43096</v>
      </c>
      <c r="CI3219" s="2">
        <v>1</v>
      </c>
      <c r="CJ3219" s="2">
        <v>1</v>
      </c>
      <c r="CK3219" s="2">
        <v>21</v>
      </c>
      <c r="CL3219" s="2" t="s">
        <v>89</v>
      </c>
    </row>
    <row r="3220" spans="1:90">
      <c r="A3220" s="2" t="s">
        <v>71</v>
      </c>
      <c r="B3220" s="2" t="s">
        <v>72</v>
      </c>
      <c r="C3220" s="2" t="s">
        <v>73</v>
      </c>
      <c r="E3220" s="2" t="str">
        <f>"FES1162597507"</f>
        <v>FES1162597507</v>
      </c>
      <c r="F3220" s="3">
        <v>43090</v>
      </c>
      <c r="G3220" s="2">
        <v>201806</v>
      </c>
      <c r="H3220" s="2" t="s">
        <v>74</v>
      </c>
      <c r="I3220" s="2" t="s">
        <v>75</v>
      </c>
      <c r="J3220" s="2" t="s">
        <v>97</v>
      </c>
      <c r="K3220" s="2" t="s">
        <v>77</v>
      </c>
      <c r="L3220" s="2" t="s">
        <v>173</v>
      </c>
      <c r="M3220" s="2" t="s">
        <v>174</v>
      </c>
      <c r="N3220" s="2" t="s">
        <v>1208</v>
      </c>
      <c r="O3220" s="2" t="s">
        <v>101</v>
      </c>
      <c r="P3220" s="2" t="str">
        <f>"2170608737                    "</f>
        <v xml:space="preserve">2170608737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6.43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45.93</v>
      </c>
      <c r="BM3220" s="2">
        <v>6.43</v>
      </c>
      <c r="BN3220" s="2">
        <v>52.36</v>
      </c>
      <c r="BO3220" s="2">
        <v>52.36</v>
      </c>
      <c r="BQ3220" s="2" t="s">
        <v>102</v>
      </c>
      <c r="BR3220" s="2" t="s">
        <v>103</v>
      </c>
      <c r="BS3220" s="3">
        <v>43091</v>
      </c>
      <c r="BT3220" s="4">
        <v>0.50347222222222221</v>
      </c>
      <c r="BU3220" s="2" t="s">
        <v>3027</v>
      </c>
      <c r="BV3220" s="2" t="s">
        <v>89</v>
      </c>
      <c r="BW3220" s="2" t="s">
        <v>149</v>
      </c>
      <c r="BX3220" s="2" t="s">
        <v>368</v>
      </c>
      <c r="BY3220" s="2">
        <v>1200</v>
      </c>
      <c r="CA3220" s="2" t="s">
        <v>743</v>
      </c>
      <c r="CC3220" s="2" t="s">
        <v>174</v>
      </c>
      <c r="CD3220" s="2">
        <v>7925</v>
      </c>
      <c r="CE3220" s="2" t="s">
        <v>120</v>
      </c>
      <c r="CF3220" s="3">
        <v>43096</v>
      </c>
      <c r="CI3220" s="2">
        <v>1</v>
      </c>
      <c r="CJ3220" s="2">
        <v>1</v>
      </c>
      <c r="CK3220" s="2">
        <v>21</v>
      </c>
      <c r="CL3220" s="2" t="s">
        <v>89</v>
      </c>
    </row>
    <row r="3221" spans="1:90">
      <c r="A3221" s="2" t="s">
        <v>71</v>
      </c>
      <c r="B3221" s="2" t="s">
        <v>72</v>
      </c>
      <c r="C3221" s="2" t="s">
        <v>73</v>
      </c>
      <c r="E3221" s="2" t="str">
        <f>"FES1162597415"</f>
        <v>FES1162597415</v>
      </c>
      <c r="F3221" s="3">
        <v>43090</v>
      </c>
      <c r="G3221" s="2">
        <v>201806</v>
      </c>
      <c r="H3221" s="2" t="s">
        <v>74</v>
      </c>
      <c r="I3221" s="2" t="s">
        <v>75</v>
      </c>
      <c r="J3221" s="2" t="s">
        <v>97</v>
      </c>
      <c r="K3221" s="2" t="s">
        <v>77</v>
      </c>
      <c r="L3221" s="2" t="s">
        <v>168</v>
      </c>
      <c r="M3221" s="2" t="s">
        <v>169</v>
      </c>
      <c r="N3221" s="2" t="s">
        <v>585</v>
      </c>
      <c r="O3221" s="2" t="s">
        <v>101</v>
      </c>
      <c r="P3221" s="2" t="str">
        <f>"2170605934                    "</f>
        <v xml:space="preserve">2170605934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6.43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45.93</v>
      </c>
      <c r="BM3221" s="2">
        <v>6.43</v>
      </c>
      <c r="BN3221" s="2">
        <v>52.36</v>
      </c>
      <c r="BO3221" s="2">
        <v>52.36</v>
      </c>
      <c r="BQ3221" s="2" t="s">
        <v>82</v>
      </c>
      <c r="BR3221" s="2" t="s">
        <v>103</v>
      </c>
      <c r="BS3221" s="2" t="s">
        <v>185</v>
      </c>
      <c r="BY3221" s="2">
        <v>1200</v>
      </c>
      <c r="CC3221" s="2" t="s">
        <v>169</v>
      </c>
      <c r="CD3221" s="2">
        <v>3610</v>
      </c>
      <c r="CE3221" s="2" t="s">
        <v>120</v>
      </c>
      <c r="CI3221" s="2">
        <v>1</v>
      </c>
      <c r="CJ3221" s="2" t="s">
        <v>185</v>
      </c>
      <c r="CK3221" s="2">
        <v>21</v>
      </c>
      <c r="CL3221" s="2" t="s">
        <v>89</v>
      </c>
    </row>
    <row r="3222" spans="1:90">
      <c r="A3222" s="2" t="s">
        <v>71</v>
      </c>
      <c r="B3222" s="2" t="s">
        <v>72</v>
      </c>
      <c r="C3222" s="2" t="s">
        <v>73</v>
      </c>
      <c r="E3222" s="2" t="str">
        <f>"FES1162597400"</f>
        <v>FES1162597400</v>
      </c>
      <c r="F3222" s="3">
        <v>43090</v>
      </c>
      <c r="G3222" s="2">
        <v>201806</v>
      </c>
      <c r="H3222" s="2" t="s">
        <v>74</v>
      </c>
      <c r="I3222" s="2" t="s">
        <v>75</v>
      </c>
      <c r="J3222" s="2" t="s">
        <v>97</v>
      </c>
      <c r="K3222" s="2" t="s">
        <v>77</v>
      </c>
      <c r="L3222" s="2" t="s">
        <v>173</v>
      </c>
      <c r="M3222" s="2" t="s">
        <v>174</v>
      </c>
      <c r="N3222" s="2" t="s">
        <v>1387</v>
      </c>
      <c r="O3222" s="2" t="s">
        <v>101</v>
      </c>
      <c r="P3222" s="2" t="str">
        <f>"2170604043                    "</f>
        <v xml:space="preserve">2170604043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6.43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45.93</v>
      </c>
      <c r="BM3222" s="2">
        <v>6.43</v>
      </c>
      <c r="BN3222" s="2">
        <v>52.36</v>
      </c>
      <c r="BO3222" s="2">
        <v>52.36</v>
      </c>
      <c r="BQ3222" s="2" t="s">
        <v>82</v>
      </c>
      <c r="BR3222" s="2" t="s">
        <v>103</v>
      </c>
      <c r="BS3222" s="3">
        <v>43091</v>
      </c>
      <c r="BT3222" s="4">
        <v>0.41666666666666669</v>
      </c>
      <c r="BU3222" s="2" t="s">
        <v>3028</v>
      </c>
      <c r="BV3222" s="2" t="s">
        <v>85</v>
      </c>
      <c r="BY3222" s="2">
        <v>1200</v>
      </c>
      <c r="CC3222" s="2" t="s">
        <v>174</v>
      </c>
      <c r="CD3222" s="2">
        <v>7460</v>
      </c>
      <c r="CE3222" s="2" t="s">
        <v>120</v>
      </c>
      <c r="CF3222" s="3">
        <v>43091</v>
      </c>
      <c r="CI3222" s="2">
        <v>1</v>
      </c>
      <c r="CJ3222" s="2">
        <v>1</v>
      </c>
      <c r="CK3222" s="2">
        <v>21</v>
      </c>
      <c r="CL3222" s="2" t="s">
        <v>89</v>
      </c>
    </row>
    <row r="3223" spans="1:90">
      <c r="A3223" s="2" t="s">
        <v>71</v>
      </c>
      <c r="B3223" s="2" t="s">
        <v>72</v>
      </c>
      <c r="C3223" s="2" t="s">
        <v>73</v>
      </c>
      <c r="E3223" s="2" t="str">
        <f>"FES1162597455"</f>
        <v>FES1162597455</v>
      </c>
      <c r="F3223" s="3">
        <v>43090</v>
      </c>
      <c r="G3223" s="2">
        <v>201806</v>
      </c>
      <c r="H3223" s="2" t="s">
        <v>74</v>
      </c>
      <c r="I3223" s="2" t="s">
        <v>75</v>
      </c>
      <c r="J3223" s="2" t="s">
        <v>97</v>
      </c>
      <c r="K3223" s="2" t="s">
        <v>77</v>
      </c>
      <c r="L3223" s="2" t="s">
        <v>125</v>
      </c>
      <c r="M3223" s="2" t="s">
        <v>126</v>
      </c>
      <c r="N3223" s="2" t="s">
        <v>1998</v>
      </c>
      <c r="O3223" s="2" t="s">
        <v>101</v>
      </c>
      <c r="P3223" s="2" t="str">
        <f>"21706083692                   "</f>
        <v xml:space="preserve">21706083692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6.43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1.5</v>
      </c>
      <c r="BJ3223" s="2">
        <v>1.9</v>
      </c>
      <c r="BK3223" s="2">
        <v>2</v>
      </c>
      <c r="BL3223" s="2">
        <v>45.93</v>
      </c>
      <c r="BM3223" s="2">
        <v>6.43</v>
      </c>
      <c r="BN3223" s="2">
        <v>52.36</v>
      </c>
      <c r="BO3223" s="2">
        <v>52.36</v>
      </c>
      <c r="BQ3223" s="2" t="s">
        <v>82</v>
      </c>
      <c r="BR3223" s="2" t="s">
        <v>103</v>
      </c>
      <c r="BS3223" s="2" t="s">
        <v>185</v>
      </c>
      <c r="BY3223" s="2">
        <v>9681.67</v>
      </c>
      <c r="CC3223" s="2" t="s">
        <v>126</v>
      </c>
      <c r="CD3223" s="2">
        <v>4051</v>
      </c>
      <c r="CE3223" s="2" t="s">
        <v>95</v>
      </c>
      <c r="CI3223" s="2">
        <v>1</v>
      </c>
      <c r="CJ3223" s="2" t="s">
        <v>185</v>
      </c>
      <c r="CK3223" s="2">
        <v>21</v>
      </c>
      <c r="CL3223" s="2" t="s">
        <v>89</v>
      </c>
    </row>
    <row r="3224" spans="1:90">
      <c r="A3224" s="2" t="s">
        <v>71</v>
      </c>
      <c r="B3224" s="2" t="s">
        <v>72</v>
      </c>
      <c r="C3224" s="2" t="s">
        <v>73</v>
      </c>
      <c r="E3224" s="2" t="str">
        <f>"FES1162597423"</f>
        <v>FES1162597423</v>
      </c>
      <c r="F3224" s="3">
        <v>43090</v>
      </c>
      <c r="G3224" s="2">
        <v>201806</v>
      </c>
      <c r="H3224" s="2" t="s">
        <v>74</v>
      </c>
      <c r="I3224" s="2" t="s">
        <v>75</v>
      </c>
      <c r="J3224" s="2" t="s">
        <v>97</v>
      </c>
      <c r="K3224" s="2" t="s">
        <v>77</v>
      </c>
      <c r="L3224" s="2" t="s">
        <v>212</v>
      </c>
      <c r="M3224" s="2" t="s">
        <v>212</v>
      </c>
      <c r="N3224" s="2" t="s">
        <v>1677</v>
      </c>
      <c r="O3224" s="2" t="s">
        <v>101</v>
      </c>
      <c r="P3224" s="2" t="str">
        <f>"2170606333                    "</f>
        <v xml:space="preserve">2170606333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6.43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1</v>
      </c>
      <c r="BJ3224" s="2">
        <v>0.2</v>
      </c>
      <c r="BK3224" s="2">
        <v>1</v>
      </c>
      <c r="BL3224" s="2">
        <v>45.93</v>
      </c>
      <c r="BM3224" s="2">
        <v>6.43</v>
      </c>
      <c r="BN3224" s="2">
        <v>52.36</v>
      </c>
      <c r="BO3224" s="2">
        <v>52.36</v>
      </c>
      <c r="BQ3224" s="2" t="s">
        <v>1678</v>
      </c>
      <c r="BR3224" s="2" t="s">
        <v>103</v>
      </c>
      <c r="BS3224" s="3">
        <v>43091</v>
      </c>
      <c r="BT3224" s="4">
        <v>0.45208333333333334</v>
      </c>
      <c r="BU3224" s="2" t="s">
        <v>1376</v>
      </c>
      <c r="BV3224" s="2" t="s">
        <v>85</v>
      </c>
      <c r="BY3224" s="2">
        <v>1200</v>
      </c>
      <c r="CC3224" s="2" t="s">
        <v>212</v>
      </c>
      <c r="CD3224" s="2">
        <v>7646</v>
      </c>
      <c r="CE3224" s="2" t="s">
        <v>120</v>
      </c>
      <c r="CF3224" s="3">
        <v>43096</v>
      </c>
      <c r="CI3224" s="2">
        <v>1</v>
      </c>
      <c r="CJ3224" s="2">
        <v>1</v>
      </c>
      <c r="CK3224" s="2">
        <v>21</v>
      </c>
      <c r="CL3224" s="2" t="s">
        <v>89</v>
      </c>
    </row>
    <row r="3225" spans="1:90">
      <c r="A3225" s="2" t="s">
        <v>71</v>
      </c>
      <c r="B3225" s="2" t="s">
        <v>72</v>
      </c>
      <c r="C3225" s="2" t="s">
        <v>73</v>
      </c>
      <c r="E3225" s="2" t="str">
        <f>"FES1162597420"</f>
        <v>FES1162597420</v>
      </c>
      <c r="F3225" s="3">
        <v>43090</v>
      </c>
      <c r="G3225" s="2">
        <v>201806</v>
      </c>
      <c r="H3225" s="2" t="s">
        <v>74</v>
      </c>
      <c r="I3225" s="2" t="s">
        <v>75</v>
      </c>
      <c r="J3225" s="2" t="s">
        <v>97</v>
      </c>
      <c r="K3225" s="2" t="s">
        <v>77</v>
      </c>
      <c r="L3225" s="2" t="s">
        <v>152</v>
      </c>
      <c r="M3225" s="2" t="s">
        <v>153</v>
      </c>
      <c r="N3225" s="2" t="s">
        <v>718</v>
      </c>
      <c r="O3225" s="2" t="s">
        <v>101</v>
      </c>
      <c r="P3225" s="2" t="str">
        <f>"2170606214                    "</f>
        <v xml:space="preserve">2170606214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5.03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1</v>
      </c>
      <c r="BJ3225" s="2">
        <v>0.2</v>
      </c>
      <c r="BK3225" s="2">
        <v>1</v>
      </c>
      <c r="BL3225" s="2">
        <v>35.89</v>
      </c>
      <c r="BM3225" s="2">
        <v>5.0199999999999996</v>
      </c>
      <c r="BN3225" s="2">
        <v>40.909999999999997</v>
      </c>
      <c r="BO3225" s="2">
        <v>40.909999999999997</v>
      </c>
      <c r="BQ3225" s="2" t="s">
        <v>142</v>
      </c>
      <c r="BR3225" s="2" t="s">
        <v>103</v>
      </c>
      <c r="BS3225" s="2" t="s">
        <v>185</v>
      </c>
      <c r="BY3225" s="2">
        <v>1200</v>
      </c>
      <c r="CC3225" s="2" t="s">
        <v>153</v>
      </c>
      <c r="CD3225" s="2">
        <v>1406</v>
      </c>
      <c r="CE3225" s="2" t="s">
        <v>120</v>
      </c>
      <c r="CI3225" s="2">
        <v>1</v>
      </c>
      <c r="CJ3225" s="2" t="s">
        <v>185</v>
      </c>
      <c r="CK3225" s="2">
        <v>22</v>
      </c>
      <c r="CL3225" s="2" t="s">
        <v>89</v>
      </c>
    </row>
    <row r="3226" spans="1:90">
      <c r="A3226" s="2" t="s">
        <v>71</v>
      </c>
      <c r="B3226" s="2" t="s">
        <v>72</v>
      </c>
      <c r="C3226" s="2" t="s">
        <v>73</v>
      </c>
      <c r="E3226" s="2" t="str">
        <f>"FES1162597373"</f>
        <v>FES1162597373</v>
      </c>
      <c r="F3226" s="3">
        <v>43090</v>
      </c>
      <c r="G3226" s="2">
        <v>201806</v>
      </c>
      <c r="H3226" s="2" t="s">
        <v>74</v>
      </c>
      <c r="I3226" s="2" t="s">
        <v>75</v>
      </c>
      <c r="J3226" s="2" t="s">
        <v>97</v>
      </c>
      <c r="K3226" s="2" t="s">
        <v>77</v>
      </c>
      <c r="L3226" s="2" t="s">
        <v>78</v>
      </c>
      <c r="M3226" s="2" t="s">
        <v>79</v>
      </c>
      <c r="N3226" s="2" t="s">
        <v>80</v>
      </c>
      <c r="O3226" s="2" t="s">
        <v>101</v>
      </c>
      <c r="P3226" s="2" t="str">
        <f>"21706083990                   "</f>
        <v xml:space="preserve">21706083990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6.43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2</v>
      </c>
      <c r="BJ3226" s="2">
        <v>0.7</v>
      </c>
      <c r="BK3226" s="2">
        <v>2</v>
      </c>
      <c r="BL3226" s="2">
        <v>45.93</v>
      </c>
      <c r="BM3226" s="2">
        <v>6.43</v>
      </c>
      <c r="BN3226" s="2">
        <v>52.36</v>
      </c>
      <c r="BO3226" s="2">
        <v>52.36</v>
      </c>
      <c r="BQ3226" s="2" t="s">
        <v>102</v>
      </c>
      <c r="BR3226" s="2" t="s">
        <v>103</v>
      </c>
      <c r="BS3226" s="3">
        <v>43096</v>
      </c>
      <c r="BT3226" s="4">
        <v>0.66736111111111107</v>
      </c>
      <c r="BU3226" s="2" t="s">
        <v>3003</v>
      </c>
      <c r="BV3226" s="2" t="s">
        <v>89</v>
      </c>
      <c r="BY3226" s="2">
        <v>3456</v>
      </c>
      <c r="CA3226" s="2" t="s">
        <v>86</v>
      </c>
      <c r="CC3226" s="2" t="s">
        <v>79</v>
      </c>
      <c r="CD3226" s="2">
        <v>1947</v>
      </c>
      <c r="CE3226" s="2" t="s">
        <v>87</v>
      </c>
      <c r="CF3226" s="3">
        <v>43098</v>
      </c>
      <c r="CI3226" s="2">
        <v>1</v>
      </c>
      <c r="CJ3226" s="2">
        <v>4</v>
      </c>
      <c r="CK3226" s="2">
        <v>21</v>
      </c>
      <c r="CL3226" s="2" t="s">
        <v>89</v>
      </c>
    </row>
    <row r="3227" spans="1:90">
      <c r="A3227" s="2" t="s">
        <v>71</v>
      </c>
      <c r="B3227" s="2" t="s">
        <v>72</v>
      </c>
      <c r="C3227" s="2" t="s">
        <v>73</v>
      </c>
      <c r="E3227" s="2" t="str">
        <f>"FES1162597404"</f>
        <v>FES1162597404</v>
      </c>
      <c r="F3227" s="3">
        <v>43090</v>
      </c>
      <c r="G3227" s="2">
        <v>201806</v>
      </c>
      <c r="H3227" s="2" t="s">
        <v>74</v>
      </c>
      <c r="I3227" s="2" t="s">
        <v>75</v>
      </c>
      <c r="J3227" s="2" t="s">
        <v>97</v>
      </c>
      <c r="K3227" s="2" t="s">
        <v>77</v>
      </c>
      <c r="L3227" s="2" t="s">
        <v>125</v>
      </c>
      <c r="M3227" s="2" t="s">
        <v>126</v>
      </c>
      <c r="N3227" s="2" t="s">
        <v>141</v>
      </c>
      <c r="O3227" s="2" t="s">
        <v>101</v>
      </c>
      <c r="P3227" s="2" t="str">
        <f>"2170604201                    "</f>
        <v xml:space="preserve">2170604201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6.43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1</v>
      </c>
      <c r="BJ3227" s="2">
        <v>0.2</v>
      </c>
      <c r="BK3227" s="2">
        <v>1</v>
      </c>
      <c r="BL3227" s="2">
        <v>45.93</v>
      </c>
      <c r="BM3227" s="2">
        <v>6.43</v>
      </c>
      <c r="BN3227" s="2">
        <v>52.36</v>
      </c>
      <c r="BO3227" s="2">
        <v>52.36</v>
      </c>
      <c r="BQ3227" s="2" t="s">
        <v>142</v>
      </c>
      <c r="BR3227" s="2" t="s">
        <v>103</v>
      </c>
      <c r="BS3227" s="3">
        <v>43091</v>
      </c>
      <c r="BT3227" s="4">
        <v>0.38055555555555554</v>
      </c>
      <c r="BU3227" s="2" t="s">
        <v>2054</v>
      </c>
      <c r="BV3227" s="2" t="s">
        <v>85</v>
      </c>
      <c r="BY3227" s="2">
        <v>1200</v>
      </c>
      <c r="CC3227" s="2" t="s">
        <v>126</v>
      </c>
      <c r="CD3227" s="2">
        <v>4067</v>
      </c>
      <c r="CE3227" s="2" t="s">
        <v>120</v>
      </c>
      <c r="CF3227" s="3">
        <v>43096</v>
      </c>
      <c r="CI3227" s="2">
        <v>1</v>
      </c>
      <c r="CJ3227" s="2">
        <v>1</v>
      </c>
      <c r="CK3227" s="2">
        <v>21</v>
      </c>
      <c r="CL3227" s="2" t="s">
        <v>89</v>
      </c>
    </row>
    <row r="3228" spans="1:90">
      <c r="A3228" s="2" t="s">
        <v>71</v>
      </c>
      <c r="B3228" s="2" t="s">
        <v>72</v>
      </c>
      <c r="C3228" s="2" t="s">
        <v>73</v>
      </c>
      <c r="E3228" s="2" t="str">
        <f>"FES1162597371"</f>
        <v>FES1162597371</v>
      </c>
      <c r="F3228" s="3">
        <v>43090</v>
      </c>
      <c r="G3228" s="2">
        <v>201806</v>
      </c>
      <c r="H3228" s="2" t="s">
        <v>74</v>
      </c>
      <c r="I3228" s="2" t="s">
        <v>75</v>
      </c>
      <c r="J3228" s="2" t="s">
        <v>97</v>
      </c>
      <c r="K3228" s="2" t="s">
        <v>77</v>
      </c>
      <c r="L3228" s="2" t="s">
        <v>168</v>
      </c>
      <c r="M3228" s="2" t="s">
        <v>169</v>
      </c>
      <c r="N3228" s="2" t="s">
        <v>2112</v>
      </c>
      <c r="O3228" s="2" t="s">
        <v>101</v>
      </c>
      <c r="P3228" s="2" t="str">
        <f>"2170606756                    "</f>
        <v xml:space="preserve">2170606756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6.43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1</v>
      </c>
      <c r="BJ3228" s="2">
        <v>0.2</v>
      </c>
      <c r="BK3228" s="2">
        <v>1</v>
      </c>
      <c r="BL3228" s="2">
        <v>45.93</v>
      </c>
      <c r="BM3228" s="2">
        <v>6.43</v>
      </c>
      <c r="BN3228" s="2">
        <v>52.36</v>
      </c>
      <c r="BO3228" s="2">
        <v>52.36</v>
      </c>
      <c r="BQ3228" s="2" t="s">
        <v>82</v>
      </c>
      <c r="BR3228" s="2" t="s">
        <v>103</v>
      </c>
      <c r="BS3228" s="2" t="s">
        <v>185</v>
      </c>
      <c r="BY3228" s="2">
        <v>1200</v>
      </c>
      <c r="CC3228" s="2" t="s">
        <v>169</v>
      </c>
      <c r="CD3228" s="2">
        <v>3610</v>
      </c>
      <c r="CE3228" s="2" t="s">
        <v>120</v>
      </c>
      <c r="CI3228" s="2">
        <v>1</v>
      </c>
      <c r="CJ3228" s="2" t="s">
        <v>185</v>
      </c>
      <c r="CK3228" s="2">
        <v>21</v>
      </c>
      <c r="CL3228" s="2" t="s">
        <v>89</v>
      </c>
    </row>
    <row r="3229" spans="1:90">
      <c r="A3229" s="2" t="s">
        <v>71</v>
      </c>
      <c r="B3229" s="2" t="s">
        <v>72</v>
      </c>
      <c r="C3229" s="2" t="s">
        <v>73</v>
      </c>
      <c r="E3229" s="2" t="str">
        <f>"FES1162597450"</f>
        <v>FES1162597450</v>
      </c>
      <c r="F3229" s="3">
        <v>43090</v>
      </c>
      <c r="G3229" s="2">
        <v>201806</v>
      </c>
      <c r="H3229" s="2" t="s">
        <v>74</v>
      </c>
      <c r="I3229" s="2" t="s">
        <v>75</v>
      </c>
      <c r="J3229" s="2" t="s">
        <v>97</v>
      </c>
      <c r="K3229" s="2" t="s">
        <v>77</v>
      </c>
      <c r="L3229" s="2" t="s">
        <v>74</v>
      </c>
      <c r="M3229" s="2" t="s">
        <v>75</v>
      </c>
      <c r="N3229" s="2" t="s">
        <v>204</v>
      </c>
      <c r="O3229" s="2" t="s">
        <v>101</v>
      </c>
      <c r="P3229" s="2" t="str">
        <f>"2170607310                    "</f>
        <v xml:space="preserve">2170607310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5.03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1.5</v>
      </c>
      <c r="BJ3229" s="2">
        <v>3.7</v>
      </c>
      <c r="BK3229" s="2">
        <v>4</v>
      </c>
      <c r="BL3229" s="2">
        <v>35.89</v>
      </c>
      <c r="BM3229" s="2">
        <v>5.0199999999999996</v>
      </c>
      <c r="BN3229" s="2">
        <v>40.909999999999997</v>
      </c>
      <c r="BO3229" s="2">
        <v>40.909999999999997</v>
      </c>
      <c r="BQ3229" s="2" t="s">
        <v>102</v>
      </c>
      <c r="BR3229" s="2" t="s">
        <v>103</v>
      </c>
      <c r="BS3229" s="2" t="s">
        <v>185</v>
      </c>
      <c r="BY3229" s="2">
        <v>18666.27</v>
      </c>
      <c r="CC3229" s="2" t="s">
        <v>75</v>
      </c>
      <c r="CD3229" s="2">
        <v>1645</v>
      </c>
      <c r="CE3229" s="2" t="s">
        <v>95</v>
      </c>
      <c r="CI3229" s="2">
        <v>1</v>
      </c>
      <c r="CJ3229" s="2" t="s">
        <v>185</v>
      </c>
      <c r="CK3229" s="2">
        <v>22</v>
      </c>
      <c r="CL3229" s="2" t="s">
        <v>89</v>
      </c>
    </row>
    <row r="3230" spans="1:90">
      <c r="A3230" s="2" t="s">
        <v>71</v>
      </c>
      <c r="B3230" s="2" t="s">
        <v>72</v>
      </c>
      <c r="C3230" s="2" t="s">
        <v>73</v>
      </c>
      <c r="E3230" s="2" t="str">
        <f>"FES1162597502"</f>
        <v>FES1162597502</v>
      </c>
      <c r="F3230" s="3">
        <v>43090</v>
      </c>
      <c r="G3230" s="2">
        <v>201806</v>
      </c>
      <c r="H3230" s="2" t="s">
        <v>74</v>
      </c>
      <c r="I3230" s="2" t="s">
        <v>75</v>
      </c>
      <c r="J3230" s="2" t="s">
        <v>97</v>
      </c>
      <c r="K3230" s="2" t="s">
        <v>77</v>
      </c>
      <c r="L3230" s="2" t="s">
        <v>136</v>
      </c>
      <c r="M3230" s="2" t="s">
        <v>137</v>
      </c>
      <c r="N3230" s="2" t="s">
        <v>178</v>
      </c>
      <c r="O3230" s="2" t="s">
        <v>101</v>
      </c>
      <c r="P3230" s="2" t="str">
        <f>"2170608730                    "</f>
        <v xml:space="preserve">2170608730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20.9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5</v>
      </c>
      <c r="BJ3230" s="2">
        <v>6.5</v>
      </c>
      <c r="BK3230" s="2">
        <v>6.5</v>
      </c>
      <c r="BL3230" s="2">
        <v>149.22999999999999</v>
      </c>
      <c r="BM3230" s="2">
        <v>20.89</v>
      </c>
      <c r="BN3230" s="2">
        <v>170.12</v>
      </c>
      <c r="BO3230" s="2">
        <v>170.12</v>
      </c>
      <c r="BQ3230" s="2" t="s">
        <v>102</v>
      </c>
      <c r="BR3230" s="2" t="s">
        <v>103</v>
      </c>
      <c r="BS3230" s="3">
        <v>43091</v>
      </c>
      <c r="BT3230" s="4">
        <v>0.3347222222222222</v>
      </c>
      <c r="BU3230" s="2" t="s">
        <v>179</v>
      </c>
      <c r="BV3230" s="2" t="s">
        <v>85</v>
      </c>
      <c r="BY3230" s="2">
        <v>32670</v>
      </c>
      <c r="CA3230" s="2" t="s">
        <v>180</v>
      </c>
      <c r="CC3230" s="2" t="s">
        <v>137</v>
      </c>
      <c r="CD3230" s="2">
        <v>6001</v>
      </c>
      <c r="CE3230" s="2" t="s">
        <v>87</v>
      </c>
      <c r="CF3230" s="3">
        <v>43097</v>
      </c>
      <c r="CI3230" s="2">
        <v>1</v>
      </c>
      <c r="CJ3230" s="2">
        <v>1</v>
      </c>
      <c r="CK3230" s="2">
        <v>21</v>
      </c>
      <c r="CL3230" s="2" t="s">
        <v>89</v>
      </c>
    </row>
    <row r="3231" spans="1:90">
      <c r="A3231" s="2" t="s">
        <v>71</v>
      </c>
      <c r="B3231" s="2" t="s">
        <v>72</v>
      </c>
      <c r="C3231" s="2" t="s">
        <v>73</v>
      </c>
      <c r="E3231" s="2" t="str">
        <f>"FES1162597503"</f>
        <v>FES1162597503</v>
      </c>
      <c r="F3231" s="3">
        <v>43090</v>
      </c>
      <c r="G3231" s="2">
        <v>201806</v>
      </c>
      <c r="H3231" s="2" t="s">
        <v>74</v>
      </c>
      <c r="I3231" s="2" t="s">
        <v>75</v>
      </c>
      <c r="J3231" s="2" t="s">
        <v>97</v>
      </c>
      <c r="K3231" s="2" t="s">
        <v>77</v>
      </c>
      <c r="L3231" s="2" t="s">
        <v>136</v>
      </c>
      <c r="M3231" s="2" t="s">
        <v>137</v>
      </c>
      <c r="N3231" s="2" t="s">
        <v>178</v>
      </c>
      <c r="O3231" s="2" t="s">
        <v>101</v>
      </c>
      <c r="P3231" s="2" t="str">
        <f>"2170608731                    "</f>
        <v xml:space="preserve">2170608731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6.43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1</v>
      </c>
      <c r="BJ3231" s="2">
        <v>0.2</v>
      </c>
      <c r="BK3231" s="2">
        <v>1</v>
      </c>
      <c r="BL3231" s="2">
        <v>45.93</v>
      </c>
      <c r="BM3231" s="2">
        <v>6.43</v>
      </c>
      <c r="BN3231" s="2">
        <v>52.36</v>
      </c>
      <c r="BO3231" s="2">
        <v>52.36</v>
      </c>
      <c r="BQ3231" s="2" t="s">
        <v>102</v>
      </c>
      <c r="BR3231" s="2" t="s">
        <v>103</v>
      </c>
      <c r="BS3231" s="3">
        <v>43091</v>
      </c>
      <c r="BT3231" s="4">
        <v>0.3347222222222222</v>
      </c>
      <c r="BU3231" s="2" t="s">
        <v>2353</v>
      </c>
      <c r="BV3231" s="2" t="s">
        <v>85</v>
      </c>
      <c r="BY3231" s="2">
        <v>1200</v>
      </c>
      <c r="CA3231" s="2" t="s">
        <v>180</v>
      </c>
      <c r="CC3231" s="2" t="s">
        <v>137</v>
      </c>
      <c r="CD3231" s="2">
        <v>6001</v>
      </c>
      <c r="CE3231" s="2" t="s">
        <v>120</v>
      </c>
      <c r="CF3231" s="3">
        <v>43097</v>
      </c>
      <c r="CI3231" s="2">
        <v>1</v>
      </c>
      <c r="CJ3231" s="2">
        <v>1</v>
      </c>
      <c r="CK3231" s="2">
        <v>21</v>
      </c>
      <c r="CL3231" s="2" t="s">
        <v>89</v>
      </c>
    </row>
    <row r="3232" spans="1:90">
      <c r="A3232" s="2" t="s">
        <v>71</v>
      </c>
      <c r="B3232" s="2" t="s">
        <v>72</v>
      </c>
      <c r="C3232" s="2" t="s">
        <v>73</v>
      </c>
      <c r="E3232" s="2" t="str">
        <f>"FES1162597504"</f>
        <v>FES1162597504</v>
      </c>
      <c r="F3232" s="3">
        <v>43090</v>
      </c>
      <c r="G3232" s="2">
        <v>201806</v>
      </c>
      <c r="H3232" s="2" t="s">
        <v>74</v>
      </c>
      <c r="I3232" s="2" t="s">
        <v>75</v>
      </c>
      <c r="J3232" s="2" t="s">
        <v>97</v>
      </c>
      <c r="K3232" s="2" t="s">
        <v>77</v>
      </c>
      <c r="L3232" s="2" t="s">
        <v>136</v>
      </c>
      <c r="M3232" s="2" t="s">
        <v>137</v>
      </c>
      <c r="N3232" s="2" t="s">
        <v>258</v>
      </c>
      <c r="O3232" s="2" t="s">
        <v>101</v>
      </c>
      <c r="P3232" s="2" t="str">
        <f>"2170608732                    "</f>
        <v xml:space="preserve">2170608732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6.43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1</v>
      </c>
      <c r="BJ3232" s="2">
        <v>0.2</v>
      </c>
      <c r="BK3232" s="2">
        <v>1</v>
      </c>
      <c r="BL3232" s="2">
        <v>45.93</v>
      </c>
      <c r="BM3232" s="2">
        <v>6.43</v>
      </c>
      <c r="BN3232" s="2">
        <v>52.36</v>
      </c>
      <c r="BO3232" s="2">
        <v>52.36</v>
      </c>
      <c r="BQ3232" s="2" t="s">
        <v>102</v>
      </c>
      <c r="BR3232" s="2" t="s">
        <v>103</v>
      </c>
      <c r="BS3232" s="2" t="s">
        <v>185</v>
      </c>
      <c r="BY3232" s="2">
        <v>1200</v>
      </c>
      <c r="CC3232" s="2" t="s">
        <v>137</v>
      </c>
      <c r="CD3232" s="2">
        <v>6001</v>
      </c>
      <c r="CE3232" s="2" t="s">
        <v>120</v>
      </c>
      <c r="CI3232" s="2">
        <v>1</v>
      </c>
      <c r="CJ3232" s="2" t="s">
        <v>185</v>
      </c>
      <c r="CK3232" s="2">
        <v>21</v>
      </c>
      <c r="CL3232" s="2" t="s">
        <v>89</v>
      </c>
    </row>
    <row r="3233" spans="1:90">
      <c r="A3233" s="2" t="s">
        <v>71</v>
      </c>
      <c r="B3233" s="2" t="s">
        <v>72</v>
      </c>
      <c r="C3233" s="2" t="s">
        <v>73</v>
      </c>
      <c r="E3233" s="2" t="str">
        <f>"FES1162597395"</f>
        <v>FES1162597395</v>
      </c>
      <c r="F3233" s="3">
        <v>43090</v>
      </c>
      <c r="G3233" s="2">
        <v>201806</v>
      </c>
      <c r="H3233" s="2" t="s">
        <v>74</v>
      </c>
      <c r="I3233" s="2" t="s">
        <v>75</v>
      </c>
      <c r="J3233" s="2" t="s">
        <v>97</v>
      </c>
      <c r="K3233" s="2" t="s">
        <v>77</v>
      </c>
      <c r="L3233" s="2" t="s">
        <v>253</v>
      </c>
      <c r="M3233" s="2" t="s">
        <v>254</v>
      </c>
      <c r="N3233" s="2" t="s">
        <v>773</v>
      </c>
      <c r="O3233" s="2" t="s">
        <v>101</v>
      </c>
      <c r="P3233" s="2" t="str">
        <f>"2170602950                    "</f>
        <v xml:space="preserve">2170602950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6.43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1.8</v>
      </c>
      <c r="BJ3233" s="2">
        <v>0.9</v>
      </c>
      <c r="BK3233" s="2">
        <v>2</v>
      </c>
      <c r="BL3233" s="2">
        <v>45.93</v>
      </c>
      <c r="BM3233" s="2">
        <v>6.43</v>
      </c>
      <c r="BN3233" s="2">
        <v>52.36</v>
      </c>
      <c r="BO3233" s="2">
        <v>52.36</v>
      </c>
      <c r="BQ3233" s="2" t="s">
        <v>82</v>
      </c>
      <c r="BR3233" s="2" t="s">
        <v>103</v>
      </c>
      <c r="BS3233" s="2" t="s">
        <v>185</v>
      </c>
      <c r="BY3233" s="2">
        <v>4517.17</v>
      </c>
      <c r="CC3233" s="2" t="s">
        <v>254</v>
      </c>
      <c r="CD3233" s="2">
        <v>1911</v>
      </c>
      <c r="CE3233" s="2" t="s">
        <v>87</v>
      </c>
      <c r="CI3233" s="2">
        <v>1</v>
      </c>
      <c r="CJ3233" s="2" t="s">
        <v>185</v>
      </c>
      <c r="CK3233" s="2">
        <v>21</v>
      </c>
      <c r="CL3233" s="2" t="s">
        <v>89</v>
      </c>
    </row>
    <row r="3234" spans="1:90">
      <c r="A3234" s="2" t="s">
        <v>71</v>
      </c>
      <c r="B3234" s="2" t="s">
        <v>72</v>
      </c>
      <c r="C3234" s="2" t="s">
        <v>73</v>
      </c>
      <c r="E3234" s="2" t="str">
        <f>"FES1162597477"</f>
        <v>FES1162597477</v>
      </c>
      <c r="F3234" s="3">
        <v>43090</v>
      </c>
      <c r="G3234" s="2">
        <v>201806</v>
      </c>
      <c r="H3234" s="2" t="s">
        <v>74</v>
      </c>
      <c r="I3234" s="2" t="s">
        <v>75</v>
      </c>
      <c r="J3234" s="2" t="s">
        <v>97</v>
      </c>
      <c r="K3234" s="2" t="s">
        <v>77</v>
      </c>
      <c r="L3234" s="2" t="s">
        <v>106</v>
      </c>
      <c r="M3234" s="2" t="s">
        <v>107</v>
      </c>
      <c r="N3234" s="2" t="s">
        <v>1785</v>
      </c>
      <c r="O3234" s="2" t="s">
        <v>101</v>
      </c>
      <c r="P3234" s="2" t="str">
        <f>"2170608704                    "</f>
        <v xml:space="preserve">2170608704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5.03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8</v>
      </c>
      <c r="BJ3234" s="2">
        <v>1.6</v>
      </c>
      <c r="BK3234" s="2">
        <v>8</v>
      </c>
      <c r="BL3234" s="2">
        <v>35.89</v>
      </c>
      <c r="BM3234" s="2">
        <v>5.0199999999999996</v>
      </c>
      <c r="BN3234" s="2">
        <v>40.909999999999997</v>
      </c>
      <c r="BO3234" s="2">
        <v>40.909999999999997</v>
      </c>
      <c r="BQ3234" s="2" t="s">
        <v>128</v>
      </c>
      <c r="BR3234" s="2" t="s">
        <v>103</v>
      </c>
      <c r="BS3234" s="3">
        <v>43091</v>
      </c>
      <c r="BT3234" s="4">
        <v>0.4375</v>
      </c>
      <c r="BU3234" s="2" t="s">
        <v>1786</v>
      </c>
      <c r="BV3234" s="2" t="s">
        <v>85</v>
      </c>
      <c r="BY3234" s="2">
        <v>8200</v>
      </c>
      <c r="CC3234" s="2" t="s">
        <v>107</v>
      </c>
      <c r="CD3234" s="2">
        <v>2013</v>
      </c>
      <c r="CE3234" s="2" t="s">
        <v>87</v>
      </c>
      <c r="CI3234" s="2">
        <v>1</v>
      </c>
      <c r="CJ3234" s="2">
        <v>1</v>
      </c>
      <c r="CK3234" s="2">
        <v>22</v>
      </c>
      <c r="CL3234" s="2" t="s">
        <v>89</v>
      </c>
    </row>
    <row r="3235" spans="1:90">
      <c r="A3235" s="2" t="s">
        <v>71</v>
      </c>
      <c r="B3235" s="2" t="s">
        <v>72</v>
      </c>
      <c r="C3235" s="2" t="s">
        <v>73</v>
      </c>
      <c r="E3235" s="2" t="str">
        <f>"FES1162597478"</f>
        <v>FES1162597478</v>
      </c>
      <c r="F3235" s="3">
        <v>43090</v>
      </c>
      <c r="G3235" s="2">
        <v>201806</v>
      </c>
      <c r="H3235" s="2" t="s">
        <v>74</v>
      </c>
      <c r="I3235" s="2" t="s">
        <v>75</v>
      </c>
      <c r="J3235" s="2" t="s">
        <v>97</v>
      </c>
      <c r="K3235" s="2" t="s">
        <v>77</v>
      </c>
      <c r="L3235" s="2" t="s">
        <v>90</v>
      </c>
      <c r="M3235" s="2" t="s">
        <v>91</v>
      </c>
      <c r="N3235" s="2" t="s">
        <v>3029</v>
      </c>
      <c r="O3235" s="2" t="s">
        <v>101</v>
      </c>
      <c r="P3235" s="2" t="str">
        <f>"2170602801                    "</f>
        <v xml:space="preserve">2170602801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5.03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4</v>
      </c>
      <c r="BJ3235" s="2">
        <v>1.7</v>
      </c>
      <c r="BK3235" s="2">
        <v>4</v>
      </c>
      <c r="BL3235" s="2">
        <v>35.89</v>
      </c>
      <c r="BM3235" s="2">
        <v>5.0199999999999996</v>
      </c>
      <c r="BN3235" s="2">
        <v>40.909999999999997</v>
      </c>
      <c r="BO3235" s="2">
        <v>40.909999999999997</v>
      </c>
      <c r="BQ3235" s="2" t="s">
        <v>3030</v>
      </c>
      <c r="BR3235" s="2" t="s">
        <v>103</v>
      </c>
      <c r="BS3235" s="2" t="s">
        <v>185</v>
      </c>
      <c r="BY3235" s="2">
        <v>8591</v>
      </c>
      <c r="CC3235" s="2" t="s">
        <v>91</v>
      </c>
      <c r="CD3235" s="2">
        <v>1559</v>
      </c>
      <c r="CE3235" s="2" t="s">
        <v>87</v>
      </c>
      <c r="CI3235" s="2">
        <v>1</v>
      </c>
      <c r="CJ3235" s="2" t="s">
        <v>185</v>
      </c>
      <c r="CK3235" s="2">
        <v>22</v>
      </c>
      <c r="CL3235" s="2" t="s">
        <v>89</v>
      </c>
    </row>
    <row r="3236" spans="1:90">
      <c r="A3236" s="2" t="s">
        <v>71</v>
      </c>
      <c r="B3236" s="2" t="s">
        <v>72</v>
      </c>
      <c r="C3236" s="2" t="s">
        <v>73</v>
      </c>
      <c r="E3236" s="2" t="str">
        <f>"FES1162597389"</f>
        <v>FES1162597389</v>
      </c>
      <c r="F3236" s="3">
        <v>43090</v>
      </c>
      <c r="G3236" s="2">
        <v>201806</v>
      </c>
      <c r="H3236" s="2" t="s">
        <v>74</v>
      </c>
      <c r="I3236" s="2" t="s">
        <v>75</v>
      </c>
      <c r="J3236" s="2" t="s">
        <v>97</v>
      </c>
      <c r="K3236" s="2" t="s">
        <v>77</v>
      </c>
      <c r="L3236" s="2" t="s">
        <v>158</v>
      </c>
      <c r="M3236" s="2" t="s">
        <v>159</v>
      </c>
      <c r="N3236" s="2" t="s">
        <v>2883</v>
      </c>
      <c r="O3236" s="2" t="s">
        <v>101</v>
      </c>
      <c r="P3236" s="2" t="str">
        <f>"21706099766                   "</f>
        <v xml:space="preserve">21706099766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11.26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3.1</v>
      </c>
      <c r="BJ3236" s="2">
        <v>1.9</v>
      </c>
      <c r="BK3236" s="2">
        <v>3.5</v>
      </c>
      <c r="BL3236" s="2">
        <v>80.37</v>
      </c>
      <c r="BM3236" s="2">
        <v>11.25</v>
      </c>
      <c r="BN3236" s="2">
        <v>91.62</v>
      </c>
      <c r="BO3236" s="2">
        <v>91.62</v>
      </c>
      <c r="BR3236" s="2" t="s">
        <v>103</v>
      </c>
      <c r="BS3236" s="3">
        <v>43091</v>
      </c>
      <c r="BT3236" s="4">
        <v>0.4375</v>
      </c>
      <c r="BU3236" s="2" t="s">
        <v>2760</v>
      </c>
      <c r="BV3236" s="2" t="s">
        <v>85</v>
      </c>
      <c r="BY3236" s="2">
        <v>9296.35</v>
      </c>
      <c r="CC3236" s="2" t="s">
        <v>159</v>
      </c>
      <c r="CD3236" s="2">
        <v>200</v>
      </c>
      <c r="CE3236" s="2" t="s">
        <v>95</v>
      </c>
      <c r="CF3236" s="3">
        <v>43096</v>
      </c>
      <c r="CI3236" s="2">
        <v>1</v>
      </c>
      <c r="CJ3236" s="2">
        <v>1</v>
      </c>
      <c r="CK3236" s="2">
        <v>21</v>
      </c>
      <c r="CL3236" s="2" t="s">
        <v>89</v>
      </c>
    </row>
    <row r="3237" spans="1:90">
      <c r="A3237" s="2" t="s">
        <v>71</v>
      </c>
      <c r="B3237" s="2" t="s">
        <v>72</v>
      </c>
      <c r="C3237" s="2" t="s">
        <v>73</v>
      </c>
      <c r="E3237" s="2" t="str">
        <f>"FES1162597398"</f>
        <v>FES1162597398</v>
      </c>
      <c r="F3237" s="3">
        <v>43090</v>
      </c>
      <c r="G3237" s="2">
        <v>201806</v>
      </c>
      <c r="H3237" s="2" t="s">
        <v>74</v>
      </c>
      <c r="I3237" s="2" t="s">
        <v>75</v>
      </c>
      <c r="J3237" s="2" t="s">
        <v>97</v>
      </c>
      <c r="K3237" s="2" t="s">
        <v>77</v>
      </c>
      <c r="L3237" s="2" t="s">
        <v>152</v>
      </c>
      <c r="M3237" s="2" t="s">
        <v>153</v>
      </c>
      <c r="N3237" s="2" t="s">
        <v>1536</v>
      </c>
      <c r="O3237" s="2" t="s">
        <v>101</v>
      </c>
      <c r="P3237" s="2" t="str">
        <f>"2170603753                    "</f>
        <v xml:space="preserve">2170603753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5.03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35.89</v>
      </c>
      <c r="BM3237" s="2">
        <v>5.0199999999999996</v>
      </c>
      <c r="BN3237" s="2">
        <v>40.909999999999997</v>
      </c>
      <c r="BO3237" s="2">
        <v>40.909999999999997</v>
      </c>
      <c r="BQ3237" s="2" t="s">
        <v>3031</v>
      </c>
      <c r="BR3237" s="2" t="s">
        <v>103</v>
      </c>
      <c r="BS3237" s="2" t="s">
        <v>185</v>
      </c>
      <c r="BY3237" s="2">
        <v>1200</v>
      </c>
      <c r="CC3237" s="2" t="s">
        <v>153</v>
      </c>
      <c r="CD3237" s="2">
        <v>1422</v>
      </c>
      <c r="CE3237" s="2" t="s">
        <v>120</v>
      </c>
      <c r="CI3237" s="2">
        <v>1</v>
      </c>
      <c r="CJ3237" s="2" t="s">
        <v>185</v>
      </c>
      <c r="CK3237" s="2">
        <v>22</v>
      </c>
      <c r="CL3237" s="2" t="s">
        <v>89</v>
      </c>
    </row>
    <row r="3238" spans="1:90">
      <c r="A3238" s="2" t="s">
        <v>71</v>
      </c>
      <c r="B3238" s="2" t="s">
        <v>72</v>
      </c>
      <c r="C3238" s="2" t="s">
        <v>73</v>
      </c>
      <c r="E3238" s="2" t="str">
        <f>"FES1162597473"</f>
        <v>FES1162597473</v>
      </c>
      <c r="F3238" s="3">
        <v>43090</v>
      </c>
      <c r="G3238" s="2">
        <v>201806</v>
      </c>
      <c r="H3238" s="2" t="s">
        <v>74</v>
      </c>
      <c r="I3238" s="2" t="s">
        <v>75</v>
      </c>
      <c r="J3238" s="2" t="s">
        <v>97</v>
      </c>
      <c r="K3238" s="2" t="s">
        <v>77</v>
      </c>
      <c r="L3238" s="2" t="s">
        <v>90</v>
      </c>
      <c r="M3238" s="2" t="s">
        <v>91</v>
      </c>
      <c r="N3238" s="2" t="s">
        <v>3032</v>
      </c>
      <c r="O3238" s="2" t="s">
        <v>101</v>
      </c>
      <c r="P3238" s="2" t="str">
        <f>"2170606060                    "</f>
        <v xml:space="preserve">2170606060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5.03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4.5</v>
      </c>
      <c r="BJ3238" s="2">
        <v>1.6</v>
      </c>
      <c r="BK3238" s="2">
        <v>5</v>
      </c>
      <c r="BL3238" s="2">
        <v>35.89</v>
      </c>
      <c r="BM3238" s="2">
        <v>5.0199999999999996</v>
      </c>
      <c r="BN3238" s="2">
        <v>40.909999999999997</v>
      </c>
      <c r="BO3238" s="2">
        <v>40.909999999999997</v>
      </c>
      <c r="BQ3238" s="2" t="s">
        <v>142</v>
      </c>
      <c r="BR3238" s="2" t="s">
        <v>103</v>
      </c>
      <c r="BS3238" s="2" t="s">
        <v>185</v>
      </c>
      <c r="BY3238" s="2">
        <v>8232.52</v>
      </c>
      <c r="CC3238" s="2" t="s">
        <v>91</v>
      </c>
      <c r="CD3238" s="2">
        <v>1559</v>
      </c>
      <c r="CE3238" s="2" t="s">
        <v>95</v>
      </c>
      <c r="CI3238" s="2">
        <v>1</v>
      </c>
      <c r="CJ3238" s="2" t="s">
        <v>185</v>
      </c>
      <c r="CK3238" s="2">
        <v>22</v>
      </c>
      <c r="CL3238" s="2" t="s">
        <v>89</v>
      </c>
    </row>
    <row r="3239" spans="1:90">
      <c r="A3239" s="2" t="s">
        <v>71</v>
      </c>
      <c r="B3239" s="2" t="s">
        <v>72</v>
      </c>
      <c r="C3239" s="2" t="s">
        <v>73</v>
      </c>
      <c r="E3239" s="2" t="str">
        <f>"FES1162597489"</f>
        <v>FES1162597489</v>
      </c>
      <c r="F3239" s="3">
        <v>43090</v>
      </c>
      <c r="G3239" s="2">
        <v>201806</v>
      </c>
      <c r="H3239" s="2" t="s">
        <v>74</v>
      </c>
      <c r="I3239" s="2" t="s">
        <v>75</v>
      </c>
      <c r="J3239" s="2" t="s">
        <v>97</v>
      </c>
      <c r="K3239" s="2" t="s">
        <v>77</v>
      </c>
      <c r="L3239" s="2" t="s">
        <v>759</v>
      </c>
      <c r="M3239" s="2" t="s">
        <v>760</v>
      </c>
      <c r="N3239" s="2" t="s">
        <v>761</v>
      </c>
      <c r="O3239" s="2" t="s">
        <v>101</v>
      </c>
      <c r="P3239" s="2" t="str">
        <f>"2170608714                    "</f>
        <v xml:space="preserve">2170608714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6.43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45.93</v>
      </c>
      <c r="BM3239" s="2">
        <v>6.43</v>
      </c>
      <c r="BN3239" s="2">
        <v>52.36</v>
      </c>
      <c r="BO3239" s="2">
        <v>52.36</v>
      </c>
      <c r="BQ3239" s="2" t="s">
        <v>82</v>
      </c>
      <c r="BR3239" s="2" t="s">
        <v>103</v>
      </c>
      <c r="BS3239" s="3">
        <v>43091</v>
      </c>
      <c r="BT3239" s="4">
        <v>0.40416666666666662</v>
      </c>
      <c r="BU3239" s="2" t="s">
        <v>1284</v>
      </c>
      <c r="BV3239" s="2" t="s">
        <v>85</v>
      </c>
      <c r="BY3239" s="2">
        <v>1200</v>
      </c>
      <c r="CA3239" s="2" t="s">
        <v>578</v>
      </c>
      <c r="CC3239" s="2" t="s">
        <v>760</v>
      </c>
      <c r="CD3239" s="2">
        <v>4026</v>
      </c>
      <c r="CE3239" s="2" t="s">
        <v>120</v>
      </c>
      <c r="CF3239" s="3">
        <v>43097</v>
      </c>
      <c r="CI3239" s="2">
        <v>1</v>
      </c>
      <c r="CJ3239" s="2">
        <v>1</v>
      </c>
      <c r="CK3239" s="2">
        <v>21</v>
      </c>
      <c r="CL3239" s="2" t="s">
        <v>89</v>
      </c>
    </row>
    <row r="3240" spans="1:90">
      <c r="A3240" s="2" t="s">
        <v>71</v>
      </c>
      <c r="B3240" s="2" t="s">
        <v>72</v>
      </c>
      <c r="C3240" s="2" t="s">
        <v>73</v>
      </c>
      <c r="E3240" s="2" t="str">
        <f>"FES1162597505"</f>
        <v>FES1162597505</v>
      </c>
      <c r="F3240" s="3">
        <v>43090</v>
      </c>
      <c r="G3240" s="2">
        <v>201806</v>
      </c>
      <c r="H3240" s="2" t="s">
        <v>74</v>
      </c>
      <c r="I3240" s="2" t="s">
        <v>75</v>
      </c>
      <c r="J3240" s="2" t="s">
        <v>97</v>
      </c>
      <c r="K3240" s="2" t="s">
        <v>77</v>
      </c>
      <c r="L3240" s="2" t="s">
        <v>158</v>
      </c>
      <c r="M3240" s="2" t="s">
        <v>159</v>
      </c>
      <c r="N3240" s="2" t="s">
        <v>1241</v>
      </c>
      <c r="O3240" s="2" t="s">
        <v>101</v>
      </c>
      <c r="P3240" s="2" t="str">
        <f>"2170608733                    "</f>
        <v xml:space="preserve">2170608733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9.65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2</v>
      </c>
      <c r="BJ3240" s="2">
        <v>2.8</v>
      </c>
      <c r="BK3240" s="2">
        <v>3</v>
      </c>
      <c r="BL3240" s="2">
        <v>68.89</v>
      </c>
      <c r="BM3240" s="2">
        <v>9.64</v>
      </c>
      <c r="BN3240" s="2">
        <v>78.53</v>
      </c>
      <c r="BO3240" s="2">
        <v>78.53</v>
      </c>
      <c r="BQ3240" s="2" t="s">
        <v>229</v>
      </c>
      <c r="BR3240" s="2" t="s">
        <v>103</v>
      </c>
      <c r="BS3240" s="3">
        <v>43091</v>
      </c>
      <c r="BT3240" s="4">
        <v>0.4375</v>
      </c>
      <c r="BU3240" s="2" t="s">
        <v>3033</v>
      </c>
      <c r="BV3240" s="2" t="s">
        <v>85</v>
      </c>
      <c r="BY3240" s="2">
        <v>13860</v>
      </c>
      <c r="CC3240" s="2" t="s">
        <v>159</v>
      </c>
      <c r="CD3240" s="2">
        <v>200</v>
      </c>
      <c r="CE3240" s="2" t="s">
        <v>87</v>
      </c>
      <c r="CF3240" s="3">
        <v>43096</v>
      </c>
      <c r="CI3240" s="2">
        <v>1</v>
      </c>
      <c r="CJ3240" s="2">
        <v>1</v>
      </c>
      <c r="CK3240" s="2">
        <v>21</v>
      </c>
      <c r="CL3240" s="2" t="s">
        <v>89</v>
      </c>
    </row>
    <row r="3241" spans="1:90">
      <c r="A3241" s="2" t="s">
        <v>71</v>
      </c>
      <c r="B3241" s="2" t="s">
        <v>72</v>
      </c>
      <c r="C3241" s="2" t="s">
        <v>73</v>
      </c>
      <c r="E3241" s="2" t="str">
        <f>"FES1162596978"</f>
        <v>FES1162596978</v>
      </c>
      <c r="F3241" s="3">
        <v>43090</v>
      </c>
      <c r="G3241" s="2">
        <v>201806</v>
      </c>
      <c r="H3241" s="2" t="s">
        <v>74</v>
      </c>
      <c r="I3241" s="2" t="s">
        <v>75</v>
      </c>
      <c r="J3241" s="2" t="s">
        <v>97</v>
      </c>
      <c r="K3241" s="2" t="s">
        <v>77</v>
      </c>
      <c r="L3241" s="2" t="s">
        <v>106</v>
      </c>
      <c r="M3241" s="2" t="s">
        <v>107</v>
      </c>
      <c r="N3241" s="2" t="s">
        <v>427</v>
      </c>
      <c r="O3241" s="2" t="s">
        <v>101</v>
      </c>
      <c r="P3241" s="2" t="str">
        <f>"2170605799                    "</f>
        <v xml:space="preserve">2170605799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5.03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3</v>
      </c>
      <c r="BJ3241" s="2">
        <v>3.3</v>
      </c>
      <c r="BK3241" s="2">
        <v>4</v>
      </c>
      <c r="BL3241" s="2">
        <v>35.89</v>
      </c>
      <c r="BM3241" s="2">
        <v>5.0199999999999996</v>
      </c>
      <c r="BN3241" s="2">
        <v>40.909999999999997</v>
      </c>
      <c r="BO3241" s="2">
        <v>40.909999999999997</v>
      </c>
      <c r="BQ3241" s="2" t="s">
        <v>102</v>
      </c>
      <c r="BR3241" s="2" t="s">
        <v>103</v>
      </c>
      <c r="BS3241" s="3">
        <v>43091</v>
      </c>
      <c r="BT3241" s="4">
        <v>0.4375</v>
      </c>
      <c r="BU3241" s="2" t="s">
        <v>428</v>
      </c>
      <c r="BV3241" s="2" t="s">
        <v>85</v>
      </c>
      <c r="BY3241" s="2">
        <v>16720</v>
      </c>
      <c r="CC3241" s="2" t="s">
        <v>107</v>
      </c>
      <c r="CD3241" s="2">
        <v>2091</v>
      </c>
      <c r="CE3241" s="2" t="s">
        <v>87</v>
      </c>
      <c r="CI3241" s="2">
        <v>1</v>
      </c>
      <c r="CJ3241" s="2">
        <v>1</v>
      </c>
      <c r="CK3241" s="2">
        <v>22</v>
      </c>
      <c r="CL3241" s="2" t="s">
        <v>89</v>
      </c>
    </row>
    <row r="3242" spans="1:90">
      <c r="A3242" s="2" t="s">
        <v>71</v>
      </c>
      <c r="B3242" s="2" t="s">
        <v>72</v>
      </c>
      <c r="C3242" s="2" t="s">
        <v>73</v>
      </c>
      <c r="E3242" s="2" t="str">
        <f>"FES1162596976"</f>
        <v>FES1162596976</v>
      </c>
      <c r="F3242" s="3">
        <v>43090</v>
      </c>
      <c r="G3242" s="2">
        <v>201806</v>
      </c>
      <c r="H3242" s="2" t="s">
        <v>74</v>
      </c>
      <c r="I3242" s="2" t="s">
        <v>75</v>
      </c>
      <c r="J3242" s="2" t="s">
        <v>97</v>
      </c>
      <c r="K3242" s="2" t="s">
        <v>77</v>
      </c>
      <c r="L3242" s="2" t="s">
        <v>115</v>
      </c>
      <c r="M3242" s="2" t="s">
        <v>116</v>
      </c>
      <c r="N3242" s="2" t="s">
        <v>3034</v>
      </c>
      <c r="O3242" s="2" t="s">
        <v>101</v>
      </c>
      <c r="P3242" s="2" t="str">
        <f>"2170605345                    "</f>
        <v xml:space="preserve">2170605345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5.03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2.2000000000000002</v>
      </c>
      <c r="BJ3242" s="2">
        <v>2.9</v>
      </c>
      <c r="BK3242" s="2">
        <v>3</v>
      </c>
      <c r="BL3242" s="2">
        <v>35.89</v>
      </c>
      <c r="BM3242" s="2">
        <v>5.0199999999999996</v>
      </c>
      <c r="BN3242" s="2">
        <v>40.909999999999997</v>
      </c>
      <c r="BO3242" s="2">
        <v>40.909999999999997</v>
      </c>
      <c r="BR3242" s="2" t="s">
        <v>103</v>
      </c>
      <c r="BS3242" s="2" t="s">
        <v>185</v>
      </c>
      <c r="BY3242" s="2">
        <v>14463.58</v>
      </c>
      <c r="CC3242" s="2" t="s">
        <v>116</v>
      </c>
      <c r="CD3242" s="2">
        <v>1469</v>
      </c>
      <c r="CE3242" s="2" t="s">
        <v>95</v>
      </c>
      <c r="CI3242" s="2">
        <v>1</v>
      </c>
      <c r="CJ3242" s="2" t="s">
        <v>185</v>
      </c>
      <c r="CK3242" s="2">
        <v>22</v>
      </c>
      <c r="CL3242" s="2" t="s">
        <v>89</v>
      </c>
    </row>
    <row r="3243" spans="1:90">
      <c r="A3243" s="2" t="s">
        <v>71</v>
      </c>
      <c r="B3243" s="2" t="s">
        <v>72</v>
      </c>
      <c r="C3243" s="2" t="s">
        <v>73</v>
      </c>
      <c r="E3243" s="2" t="str">
        <f>"FES1162597387"</f>
        <v>FES1162597387</v>
      </c>
      <c r="F3243" s="3">
        <v>43090</v>
      </c>
      <c r="G3243" s="2">
        <v>201806</v>
      </c>
      <c r="H3243" s="2" t="s">
        <v>74</v>
      </c>
      <c r="I3243" s="2" t="s">
        <v>75</v>
      </c>
      <c r="J3243" s="2" t="s">
        <v>97</v>
      </c>
      <c r="K3243" s="2" t="s">
        <v>77</v>
      </c>
      <c r="L3243" s="2" t="s">
        <v>212</v>
      </c>
      <c r="M3243" s="2" t="s">
        <v>212</v>
      </c>
      <c r="N3243" s="2" t="s">
        <v>2940</v>
      </c>
      <c r="O3243" s="2" t="s">
        <v>101</v>
      </c>
      <c r="P3243" s="2" t="str">
        <f>"21703811                      "</f>
        <v xml:space="preserve">21703811  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19.3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</v>
      </c>
      <c r="BJ3243" s="2">
        <v>6</v>
      </c>
      <c r="BK3243" s="2">
        <v>6</v>
      </c>
      <c r="BL3243" s="2">
        <v>137.76</v>
      </c>
      <c r="BM3243" s="2">
        <v>19.29</v>
      </c>
      <c r="BN3243" s="2">
        <v>157.05000000000001</v>
      </c>
      <c r="BO3243" s="2">
        <v>157.05000000000001</v>
      </c>
      <c r="BQ3243" s="2" t="s">
        <v>102</v>
      </c>
      <c r="BR3243" s="2" t="s">
        <v>103</v>
      </c>
      <c r="BS3243" s="3">
        <v>43091</v>
      </c>
      <c r="BT3243" s="4">
        <v>0.49444444444444446</v>
      </c>
      <c r="BU3243" s="2" t="s">
        <v>3035</v>
      </c>
      <c r="BV3243" s="2" t="s">
        <v>85</v>
      </c>
      <c r="BY3243" s="2">
        <v>29925</v>
      </c>
      <c r="CC3243" s="2" t="s">
        <v>212</v>
      </c>
      <c r="CD3243" s="2">
        <v>7646</v>
      </c>
      <c r="CE3243" s="2" t="s">
        <v>87</v>
      </c>
      <c r="CF3243" s="3">
        <v>43096</v>
      </c>
      <c r="CI3243" s="2">
        <v>1</v>
      </c>
      <c r="CJ3243" s="2">
        <v>1</v>
      </c>
      <c r="CK3243" s="2">
        <v>21</v>
      </c>
      <c r="CL3243" s="2" t="s">
        <v>89</v>
      </c>
    </row>
    <row r="3244" spans="1:90">
      <c r="A3244" s="2" t="s">
        <v>71</v>
      </c>
      <c r="B3244" s="2" t="s">
        <v>72</v>
      </c>
      <c r="C3244" s="2" t="s">
        <v>73</v>
      </c>
      <c r="E3244" s="2" t="str">
        <f>"FES1162597501"</f>
        <v>FES1162597501</v>
      </c>
      <c r="F3244" s="3">
        <v>43090</v>
      </c>
      <c r="G3244" s="2">
        <v>201806</v>
      </c>
      <c r="H3244" s="2" t="s">
        <v>74</v>
      </c>
      <c r="I3244" s="2" t="s">
        <v>75</v>
      </c>
      <c r="J3244" s="2" t="s">
        <v>97</v>
      </c>
      <c r="K3244" s="2" t="s">
        <v>77</v>
      </c>
      <c r="L3244" s="2" t="s">
        <v>526</v>
      </c>
      <c r="M3244" s="2" t="s">
        <v>527</v>
      </c>
      <c r="N3244" s="2" t="s">
        <v>1962</v>
      </c>
      <c r="O3244" s="2" t="s">
        <v>101</v>
      </c>
      <c r="P3244" s="2" t="str">
        <f>"2170608729                    "</f>
        <v xml:space="preserve">2170608729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38.590000000000003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11.6</v>
      </c>
      <c r="BJ3244" s="2">
        <v>9.8000000000000007</v>
      </c>
      <c r="BK3244" s="2">
        <v>12</v>
      </c>
      <c r="BL3244" s="2">
        <v>275.49</v>
      </c>
      <c r="BM3244" s="2">
        <v>38.57</v>
      </c>
      <c r="BN3244" s="2">
        <v>314.06</v>
      </c>
      <c r="BO3244" s="2">
        <v>314.06</v>
      </c>
      <c r="BQ3244" s="2" t="s">
        <v>82</v>
      </c>
      <c r="BR3244" s="2" t="s">
        <v>103</v>
      </c>
      <c r="BS3244" s="3">
        <v>43096</v>
      </c>
      <c r="BT3244" s="4">
        <v>0.37361111111111112</v>
      </c>
      <c r="BU3244" s="2" t="s">
        <v>3036</v>
      </c>
      <c r="BV3244" s="2" t="s">
        <v>89</v>
      </c>
      <c r="BW3244" s="2" t="s">
        <v>313</v>
      </c>
      <c r="BX3244" s="2" t="s">
        <v>368</v>
      </c>
      <c r="BY3244" s="2">
        <v>48889.58</v>
      </c>
      <c r="CA3244" s="2" t="s">
        <v>530</v>
      </c>
      <c r="CC3244" s="2" t="s">
        <v>527</v>
      </c>
      <c r="CD3244" s="2">
        <v>6850</v>
      </c>
      <c r="CE3244" s="2" t="s">
        <v>95</v>
      </c>
      <c r="CF3244" s="3">
        <v>43097</v>
      </c>
      <c r="CI3244" s="2">
        <v>3</v>
      </c>
      <c r="CJ3244" s="2">
        <v>4</v>
      </c>
      <c r="CK3244" s="2">
        <v>21</v>
      </c>
      <c r="CL3244" s="2" t="s">
        <v>89</v>
      </c>
    </row>
    <row r="3245" spans="1:90">
      <c r="A3245" s="2" t="s">
        <v>71</v>
      </c>
      <c r="B3245" s="2" t="s">
        <v>72</v>
      </c>
      <c r="C3245" s="2" t="s">
        <v>73</v>
      </c>
      <c r="E3245" s="2" t="str">
        <f>"FES1162597399"</f>
        <v>FES1162597399</v>
      </c>
      <c r="F3245" s="3">
        <v>43090</v>
      </c>
      <c r="G3245" s="2">
        <v>201806</v>
      </c>
      <c r="H3245" s="2" t="s">
        <v>74</v>
      </c>
      <c r="I3245" s="2" t="s">
        <v>75</v>
      </c>
      <c r="J3245" s="2" t="s">
        <v>97</v>
      </c>
      <c r="K3245" s="2" t="s">
        <v>77</v>
      </c>
      <c r="L3245" s="2" t="s">
        <v>189</v>
      </c>
      <c r="M3245" s="2" t="s">
        <v>190</v>
      </c>
      <c r="N3245" s="2" t="s">
        <v>959</v>
      </c>
      <c r="O3245" s="2" t="s">
        <v>101</v>
      </c>
      <c r="P3245" s="2" t="str">
        <f>"2170603865                    "</f>
        <v xml:space="preserve">2170603865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6.43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1</v>
      </c>
      <c r="BJ3245" s="2">
        <v>0.2</v>
      </c>
      <c r="BK3245" s="2">
        <v>1</v>
      </c>
      <c r="BL3245" s="2">
        <v>45.93</v>
      </c>
      <c r="BM3245" s="2">
        <v>6.43</v>
      </c>
      <c r="BN3245" s="2">
        <v>52.36</v>
      </c>
      <c r="BO3245" s="2">
        <v>52.36</v>
      </c>
      <c r="BQ3245" s="2" t="s">
        <v>229</v>
      </c>
      <c r="BR3245" s="2" t="s">
        <v>103</v>
      </c>
      <c r="BS3245" s="2" t="s">
        <v>185</v>
      </c>
      <c r="BY3245" s="2">
        <v>1200</v>
      </c>
      <c r="CC3245" s="2" t="s">
        <v>190</v>
      </c>
      <c r="CD3245" s="2">
        <v>157</v>
      </c>
      <c r="CE3245" s="2" t="s">
        <v>120</v>
      </c>
      <c r="CI3245" s="2">
        <v>1</v>
      </c>
      <c r="CJ3245" s="2" t="s">
        <v>185</v>
      </c>
      <c r="CK3245" s="2">
        <v>21</v>
      </c>
      <c r="CL3245" s="2" t="s">
        <v>89</v>
      </c>
    </row>
    <row r="3246" spans="1:90">
      <c r="A3246" s="2" t="s">
        <v>71</v>
      </c>
      <c r="B3246" s="2" t="s">
        <v>72</v>
      </c>
      <c r="C3246" s="2" t="s">
        <v>73</v>
      </c>
      <c r="E3246" s="2" t="str">
        <f>"FES1162597482"</f>
        <v>FES1162597482</v>
      </c>
      <c r="F3246" s="3">
        <v>43090</v>
      </c>
      <c r="G3246" s="2">
        <v>201806</v>
      </c>
      <c r="H3246" s="2" t="s">
        <v>74</v>
      </c>
      <c r="I3246" s="2" t="s">
        <v>75</v>
      </c>
      <c r="J3246" s="2" t="s">
        <v>97</v>
      </c>
      <c r="K3246" s="2" t="s">
        <v>77</v>
      </c>
      <c r="L3246" s="2" t="s">
        <v>121</v>
      </c>
      <c r="M3246" s="2" t="s">
        <v>122</v>
      </c>
      <c r="N3246" s="2" t="s">
        <v>123</v>
      </c>
      <c r="O3246" s="2" t="s">
        <v>101</v>
      </c>
      <c r="P3246" s="2" t="str">
        <f>"2170608701                    "</f>
        <v xml:space="preserve">2170608701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9.0500000000000007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1</v>
      </c>
      <c r="BJ3246" s="2">
        <v>0.2</v>
      </c>
      <c r="BK3246" s="2">
        <v>1</v>
      </c>
      <c r="BL3246" s="2">
        <v>64.599999999999994</v>
      </c>
      <c r="BM3246" s="2">
        <v>9.0399999999999991</v>
      </c>
      <c r="BN3246" s="2">
        <v>73.64</v>
      </c>
      <c r="BO3246" s="2">
        <v>73.64</v>
      </c>
      <c r="BQ3246" s="2" t="s">
        <v>102</v>
      </c>
      <c r="BR3246" s="2" t="s">
        <v>103</v>
      </c>
      <c r="BS3246" s="3">
        <v>43091</v>
      </c>
      <c r="BT3246" s="4">
        <v>0.47222222222222227</v>
      </c>
      <c r="BU3246" s="2" t="s">
        <v>2998</v>
      </c>
      <c r="BV3246" s="2" t="s">
        <v>85</v>
      </c>
      <c r="BY3246" s="2">
        <v>1200</v>
      </c>
      <c r="CC3246" s="2" t="s">
        <v>122</v>
      </c>
      <c r="CD3246" s="2">
        <v>2210</v>
      </c>
      <c r="CE3246" s="2" t="s">
        <v>120</v>
      </c>
      <c r="CF3246" s="3">
        <v>43096</v>
      </c>
      <c r="CI3246" s="2">
        <v>1</v>
      </c>
      <c r="CJ3246" s="2">
        <v>1</v>
      </c>
      <c r="CK3246" s="2">
        <v>24</v>
      </c>
      <c r="CL3246" s="2" t="s">
        <v>89</v>
      </c>
    </row>
    <row r="3247" spans="1:90">
      <c r="A3247" s="2" t="s">
        <v>71</v>
      </c>
      <c r="B3247" s="2" t="s">
        <v>72</v>
      </c>
      <c r="C3247" s="2" t="s">
        <v>73</v>
      </c>
      <c r="E3247" s="2" t="str">
        <f>"FES1162597536"</f>
        <v>FES1162597536</v>
      </c>
      <c r="F3247" s="3">
        <v>43090</v>
      </c>
      <c r="G3247" s="2">
        <v>201806</v>
      </c>
      <c r="H3247" s="2" t="s">
        <v>74</v>
      </c>
      <c r="I3247" s="2" t="s">
        <v>75</v>
      </c>
      <c r="J3247" s="2" t="s">
        <v>97</v>
      </c>
      <c r="K3247" s="2" t="s">
        <v>77</v>
      </c>
      <c r="L3247" s="2" t="s">
        <v>152</v>
      </c>
      <c r="M3247" s="2" t="s">
        <v>153</v>
      </c>
      <c r="N3247" s="2" t="s">
        <v>2464</v>
      </c>
      <c r="O3247" s="2" t="s">
        <v>101</v>
      </c>
      <c r="P3247" s="2" t="str">
        <f>"2170608765                    "</f>
        <v xml:space="preserve">2170608765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5.03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35.89</v>
      </c>
      <c r="BM3247" s="2">
        <v>5.0199999999999996</v>
      </c>
      <c r="BN3247" s="2">
        <v>40.909999999999997</v>
      </c>
      <c r="BO3247" s="2">
        <v>40.909999999999997</v>
      </c>
      <c r="BQ3247" s="2" t="s">
        <v>102</v>
      </c>
      <c r="BR3247" s="2" t="s">
        <v>103</v>
      </c>
      <c r="BS3247" s="3">
        <v>43091</v>
      </c>
      <c r="BT3247" s="4">
        <v>0.37638888888888888</v>
      </c>
      <c r="BU3247" s="2" t="s">
        <v>3037</v>
      </c>
      <c r="BV3247" s="2" t="s">
        <v>85</v>
      </c>
      <c r="BY3247" s="2">
        <v>1200</v>
      </c>
      <c r="CC3247" s="2" t="s">
        <v>153</v>
      </c>
      <c r="CD3247" s="2">
        <v>1401</v>
      </c>
      <c r="CE3247" s="2" t="s">
        <v>120</v>
      </c>
      <c r="CI3247" s="2">
        <v>1</v>
      </c>
      <c r="CJ3247" s="2">
        <v>1</v>
      </c>
      <c r="CK3247" s="2">
        <v>22</v>
      </c>
      <c r="CL3247" s="2" t="s">
        <v>89</v>
      </c>
    </row>
    <row r="3248" spans="1:90">
      <c r="A3248" s="2" t="s">
        <v>71</v>
      </c>
      <c r="B3248" s="2" t="s">
        <v>72</v>
      </c>
      <c r="C3248" s="2" t="s">
        <v>73</v>
      </c>
      <c r="E3248" s="2" t="str">
        <f>"FES1162597537"</f>
        <v>FES1162597537</v>
      </c>
      <c r="F3248" s="3">
        <v>43090</v>
      </c>
      <c r="G3248" s="2">
        <v>201806</v>
      </c>
      <c r="H3248" s="2" t="s">
        <v>74</v>
      </c>
      <c r="I3248" s="2" t="s">
        <v>75</v>
      </c>
      <c r="J3248" s="2" t="s">
        <v>97</v>
      </c>
      <c r="K3248" s="2" t="s">
        <v>77</v>
      </c>
      <c r="L3248" s="2" t="s">
        <v>158</v>
      </c>
      <c r="M3248" s="2" t="s">
        <v>159</v>
      </c>
      <c r="N3248" s="2" t="s">
        <v>164</v>
      </c>
      <c r="O3248" s="2" t="s">
        <v>101</v>
      </c>
      <c r="P3248" s="2" t="str">
        <f>"2170608577                    "</f>
        <v xml:space="preserve">2170608577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6.43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1</v>
      </c>
      <c r="BJ3248" s="2">
        <v>0.2</v>
      </c>
      <c r="BK3248" s="2">
        <v>1</v>
      </c>
      <c r="BL3248" s="2">
        <v>45.93</v>
      </c>
      <c r="BM3248" s="2">
        <v>6.43</v>
      </c>
      <c r="BN3248" s="2">
        <v>52.36</v>
      </c>
      <c r="BO3248" s="2">
        <v>52.36</v>
      </c>
      <c r="BQ3248" s="2" t="s">
        <v>102</v>
      </c>
      <c r="BR3248" s="2" t="s">
        <v>103</v>
      </c>
      <c r="BS3248" s="3">
        <v>43091</v>
      </c>
      <c r="BT3248" s="4">
        <v>0.4375</v>
      </c>
      <c r="BU3248" s="2" t="s">
        <v>1132</v>
      </c>
      <c r="BV3248" s="2" t="s">
        <v>85</v>
      </c>
      <c r="BY3248" s="2">
        <v>1200</v>
      </c>
      <c r="CC3248" s="2" t="s">
        <v>159</v>
      </c>
      <c r="CD3248" s="2">
        <v>200</v>
      </c>
      <c r="CE3248" s="2" t="s">
        <v>120</v>
      </c>
      <c r="CF3248" s="3">
        <v>43096</v>
      </c>
      <c r="CI3248" s="2">
        <v>1</v>
      </c>
      <c r="CJ3248" s="2">
        <v>1</v>
      </c>
      <c r="CK3248" s="2">
        <v>21</v>
      </c>
      <c r="CL3248" s="2" t="s">
        <v>89</v>
      </c>
    </row>
    <row r="3249" spans="1:90">
      <c r="A3249" s="2" t="s">
        <v>71</v>
      </c>
      <c r="B3249" s="2" t="s">
        <v>72</v>
      </c>
      <c r="C3249" s="2" t="s">
        <v>73</v>
      </c>
      <c r="E3249" s="2" t="str">
        <f>"FES1162597532"</f>
        <v>FES1162597532</v>
      </c>
      <c r="F3249" s="3">
        <v>43090</v>
      </c>
      <c r="G3249" s="2">
        <v>201806</v>
      </c>
      <c r="H3249" s="2" t="s">
        <v>74</v>
      </c>
      <c r="I3249" s="2" t="s">
        <v>75</v>
      </c>
      <c r="J3249" s="2" t="s">
        <v>97</v>
      </c>
      <c r="K3249" s="2" t="s">
        <v>77</v>
      </c>
      <c r="L3249" s="2" t="s">
        <v>106</v>
      </c>
      <c r="M3249" s="2" t="s">
        <v>107</v>
      </c>
      <c r="N3249" s="2" t="s">
        <v>108</v>
      </c>
      <c r="O3249" s="2" t="s">
        <v>101</v>
      </c>
      <c r="P3249" s="2" t="str">
        <f>"2170608761                    "</f>
        <v xml:space="preserve">2170608761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5.03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4.3</v>
      </c>
      <c r="BJ3249" s="2">
        <v>3.3</v>
      </c>
      <c r="BK3249" s="2">
        <v>5</v>
      </c>
      <c r="BL3249" s="2">
        <v>35.89</v>
      </c>
      <c r="BM3249" s="2">
        <v>5.0199999999999996</v>
      </c>
      <c r="BN3249" s="2">
        <v>40.909999999999997</v>
      </c>
      <c r="BO3249" s="2">
        <v>40.909999999999997</v>
      </c>
      <c r="BQ3249" s="2" t="s">
        <v>82</v>
      </c>
      <c r="BR3249" s="2" t="s">
        <v>103</v>
      </c>
      <c r="BS3249" s="3">
        <v>43091</v>
      </c>
      <c r="BT3249" s="4">
        <v>0.37847222222222227</v>
      </c>
      <c r="BU3249" s="2" t="s">
        <v>328</v>
      </c>
      <c r="BV3249" s="2" t="s">
        <v>85</v>
      </c>
      <c r="BY3249" s="2">
        <v>16559.7</v>
      </c>
      <c r="CC3249" s="2" t="s">
        <v>107</v>
      </c>
      <c r="CD3249" s="2">
        <v>2094</v>
      </c>
      <c r="CE3249" s="2" t="s">
        <v>95</v>
      </c>
      <c r="CI3249" s="2">
        <v>1</v>
      </c>
      <c r="CJ3249" s="2">
        <v>1</v>
      </c>
      <c r="CK3249" s="2">
        <v>22</v>
      </c>
      <c r="CL3249" s="2" t="s">
        <v>89</v>
      </c>
    </row>
    <row r="3250" spans="1:90">
      <c r="A3250" s="2" t="s">
        <v>71</v>
      </c>
      <c r="B3250" s="2" t="s">
        <v>72</v>
      </c>
      <c r="C3250" s="2" t="s">
        <v>73</v>
      </c>
      <c r="E3250" s="2" t="str">
        <f>"FES1162597530"</f>
        <v>FES1162597530</v>
      </c>
      <c r="F3250" s="3">
        <v>43090</v>
      </c>
      <c r="G3250" s="2">
        <v>201806</v>
      </c>
      <c r="H3250" s="2" t="s">
        <v>74</v>
      </c>
      <c r="I3250" s="2" t="s">
        <v>75</v>
      </c>
      <c r="J3250" s="2" t="s">
        <v>97</v>
      </c>
      <c r="K3250" s="2" t="s">
        <v>77</v>
      </c>
      <c r="L3250" s="2" t="s">
        <v>106</v>
      </c>
      <c r="M3250" s="2" t="s">
        <v>107</v>
      </c>
      <c r="N3250" s="2" t="s">
        <v>108</v>
      </c>
      <c r="O3250" s="2" t="s">
        <v>101</v>
      </c>
      <c r="P3250" s="2" t="str">
        <f>"2170608759                    "</f>
        <v xml:space="preserve">2170608759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5.03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6.4</v>
      </c>
      <c r="BJ3250" s="2">
        <v>3.3</v>
      </c>
      <c r="BK3250" s="2">
        <v>7</v>
      </c>
      <c r="BL3250" s="2">
        <v>35.89</v>
      </c>
      <c r="BM3250" s="2">
        <v>5.0199999999999996</v>
      </c>
      <c r="BN3250" s="2">
        <v>40.909999999999997</v>
      </c>
      <c r="BO3250" s="2">
        <v>40.909999999999997</v>
      </c>
      <c r="BQ3250" s="2" t="s">
        <v>82</v>
      </c>
      <c r="BR3250" s="2" t="s">
        <v>103</v>
      </c>
      <c r="BS3250" s="3">
        <v>43091</v>
      </c>
      <c r="BT3250" s="4">
        <v>0.37847222222222227</v>
      </c>
      <c r="BU3250" s="2" t="s">
        <v>328</v>
      </c>
      <c r="BV3250" s="2" t="s">
        <v>85</v>
      </c>
      <c r="BY3250" s="2">
        <v>16683.03</v>
      </c>
      <c r="CC3250" s="2" t="s">
        <v>107</v>
      </c>
      <c r="CD3250" s="2">
        <v>2094</v>
      </c>
      <c r="CE3250" s="2" t="s">
        <v>95</v>
      </c>
      <c r="CI3250" s="2">
        <v>1</v>
      </c>
      <c r="CJ3250" s="2">
        <v>1</v>
      </c>
      <c r="CK3250" s="2">
        <v>22</v>
      </c>
      <c r="CL3250" s="2" t="s">
        <v>89</v>
      </c>
    </row>
    <row r="3251" spans="1:90">
      <c r="A3251" s="2" t="s">
        <v>71</v>
      </c>
      <c r="B3251" s="2" t="s">
        <v>72</v>
      </c>
      <c r="C3251" s="2" t="s">
        <v>73</v>
      </c>
      <c r="E3251" s="2" t="str">
        <f>"FES1162597520"</f>
        <v>FES1162597520</v>
      </c>
      <c r="F3251" s="3">
        <v>43090</v>
      </c>
      <c r="G3251" s="2">
        <v>201806</v>
      </c>
      <c r="H3251" s="2" t="s">
        <v>74</v>
      </c>
      <c r="I3251" s="2" t="s">
        <v>75</v>
      </c>
      <c r="J3251" s="2" t="s">
        <v>97</v>
      </c>
      <c r="K3251" s="2" t="s">
        <v>77</v>
      </c>
      <c r="L3251" s="2" t="s">
        <v>521</v>
      </c>
      <c r="M3251" s="2" t="s">
        <v>522</v>
      </c>
      <c r="N3251" s="2" t="s">
        <v>523</v>
      </c>
      <c r="O3251" s="2" t="s">
        <v>101</v>
      </c>
      <c r="P3251" s="2" t="str">
        <f>"2170608751                    "</f>
        <v xml:space="preserve">2170608751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6.43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1</v>
      </c>
      <c r="BJ3251" s="2">
        <v>0.2</v>
      </c>
      <c r="BK3251" s="2">
        <v>1</v>
      </c>
      <c r="BL3251" s="2">
        <v>45.93</v>
      </c>
      <c r="BM3251" s="2">
        <v>6.43</v>
      </c>
      <c r="BN3251" s="2">
        <v>52.36</v>
      </c>
      <c r="BO3251" s="2">
        <v>52.36</v>
      </c>
      <c r="BQ3251" s="2" t="s">
        <v>102</v>
      </c>
      <c r="BR3251" s="2" t="s">
        <v>103</v>
      </c>
      <c r="BS3251" s="3">
        <v>43091</v>
      </c>
      <c r="BT3251" s="4">
        <v>0.41666666666666669</v>
      </c>
      <c r="BU3251" s="2" t="s">
        <v>524</v>
      </c>
      <c r="BV3251" s="2" t="s">
        <v>85</v>
      </c>
      <c r="BY3251" s="2">
        <v>1200</v>
      </c>
      <c r="CA3251" s="2" t="s">
        <v>525</v>
      </c>
      <c r="CC3251" s="2" t="s">
        <v>522</v>
      </c>
      <c r="CD3251" s="2">
        <v>6536</v>
      </c>
      <c r="CE3251" s="2" t="s">
        <v>120</v>
      </c>
      <c r="CF3251" s="3">
        <v>43097</v>
      </c>
      <c r="CI3251" s="2">
        <v>1</v>
      </c>
      <c r="CJ3251" s="2">
        <v>1</v>
      </c>
      <c r="CK3251" s="2">
        <v>21</v>
      </c>
      <c r="CL3251" s="2" t="s">
        <v>89</v>
      </c>
    </row>
    <row r="3252" spans="1:90">
      <c r="A3252" s="2" t="s">
        <v>71</v>
      </c>
      <c r="B3252" s="2" t="s">
        <v>72</v>
      </c>
      <c r="C3252" s="2" t="s">
        <v>73</v>
      </c>
      <c r="E3252" s="2" t="str">
        <f>"FES1162597531"</f>
        <v>FES1162597531</v>
      </c>
      <c r="F3252" s="3">
        <v>43090</v>
      </c>
      <c r="G3252" s="2">
        <v>201806</v>
      </c>
      <c r="H3252" s="2" t="s">
        <v>74</v>
      </c>
      <c r="I3252" s="2" t="s">
        <v>75</v>
      </c>
      <c r="J3252" s="2" t="s">
        <v>97</v>
      </c>
      <c r="K3252" s="2" t="s">
        <v>77</v>
      </c>
      <c r="L3252" s="2" t="s">
        <v>521</v>
      </c>
      <c r="M3252" s="2" t="s">
        <v>522</v>
      </c>
      <c r="N3252" s="2" t="s">
        <v>523</v>
      </c>
      <c r="O3252" s="2" t="s">
        <v>101</v>
      </c>
      <c r="P3252" s="2" t="str">
        <f>"2170608760                    "</f>
        <v xml:space="preserve">2170608760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6.43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</v>
      </c>
      <c r="BJ3252" s="2">
        <v>0.2</v>
      </c>
      <c r="BK3252" s="2">
        <v>1</v>
      </c>
      <c r="BL3252" s="2">
        <v>45.93</v>
      </c>
      <c r="BM3252" s="2">
        <v>6.43</v>
      </c>
      <c r="BN3252" s="2">
        <v>52.36</v>
      </c>
      <c r="BO3252" s="2">
        <v>52.36</v>
      </c>
      <c r="BQ3252" s="2" t="s">
        <v>102</v>
      </c>
      <c r="BR3252" s="2" t="s">
        <v>103</v>
      </c>
      <c r="BS3252" s="3">
        <v>43091</v>
      </c>
      <c r="BT3252" s="4">
        <v>0.41666666666666669</v>
      </c>
      <c r="BU3252" s="2" t="s">
        <v>524</v>
      </c>
      <c r="BV3252" s="2" t="s">
        <v>85</v>
      </c>
      <c r="BY3252" s="2">
        <v>1200</v>
      </c>
      <c r="CA3252" s="2" t="s">
        <v>525</v>
      </c>
      <c r="CC3252" s="2" t="s">
        <v>522</v>
      </c>
      <c r="CD3252" s="2">
        <v>6536</v>
      </c>
      <c r="CE3252" s="2" t="s">
        <v>120</v>
      </c>
      <c r="CF3252" s="3">
        <v>43097</v>
      </c>
      <c r="CI3252" s="2">
        <v>1</v>
      </c>
      <c r="CJ3252" s="2">
        <v>1</v>
      </c>
      <c r="CK3252" s="2">
        <v>21</v>
      </c>
      <c r="CL3252" s="2" t="s">
        <v>89</v>
      </c>
    </row>
    <row r="3253" spans="1:90">
      <c r="A3253" s="2" t="s">
        <v>71</v>
      </c>
      <c r="B3253" s="2" t="s">
        <v>72</v>
      </c>
      <c r="C3253" s="2" t="s">
        <v>73</v>
      </c>
      <c r="E3253" s="2" t="str">
        <f>"FES1162597509"</f>
        <v>FES1162597509</v>
      </c>
      <c r="F3253" s="3">
        <v>43090</v>
      </c>
      <c r="G3253" s="2">
        <v>201806</v>
      </c>
      <c r="H3253" s="2" t="s">
        <v>74</v>
      </c>
      <c r="I3253" s="2" t="s">
        <v>75</v>
      </c>
      <c r="J3253" s="2" t="s">
        <v>97</v>
      </c>
      <c r="K3253" s="2" t="s">
        <v>77</v>
      </c>
      <c r="L3253" s="2" t="s">
        <v>136</v>
      </c>
      <c r="M3253" s="2" t="s">
        <v>137</v>
      </c>
      <c r="N3253" s="2" t="s">
        <v>1331</v>
      </c>
      <c r="O3253" s="2" t="s">
        <v>101</v>
      </c>
      <c r="P3253" s="2" t="str">
        <f>"2170608739                    "</f>
        <v xml:space="preserve">2170608739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6.43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1.2</v>
      </c>
      <c r="BJ3253" s="2">
        <v>1.4</v>
      </c>
      <c r="BK3253" s="2">
        <v>1.5</v>
      </c>
      <c r="BL3253" s="2">
        <v>45.93</v>
      </c>
      <c r="BM3253" s="2">
        <v>6.43</v>
      </c>
      <c r="BN3253" s="2">
        <v>52.36</v>
      </c>
      <c r="BO3253" s="2">
        <v>52.36</v>
      </c>
      <c r="BQ3253" s="2" t="s">
        <v>265</v>
      </c>
      <c r="BR3253" s="2" t="s">
        <v>103</v>
      </c>
      <c r="BS3253" s="2" t="s">
        <v>185</v>
      </c>
      <c r="BY3253" s="2">
        <v>7101.23</v>
      </c>
      <c r="CC3253" s="2" t="s">
        <v>137</v>
      </c>
      <c r="CD3253" s="2">
        <v>6001</v>
      </c>
      <c r="CE3253" s="2" t="s">
        <v>95</v>
      </c>
      <c r="CI3253" s="2">
        <v>1</v>
      </c>
      <c r="CJ3253" s="2" t="s">
        <v>185</v>
      </c>
      <c r="CK3253" s="2">
        <v>21</v>
      </c>
      <c r="CL3253" s="2" t="s">
        <v>89</v>
      </c>
    </row>
    <row r="3254" spans="1:90">
      <c r="A3254" s="2" t="s">
        <v>71</v>
      </c>
      <c r="B3254" s="2" t="s">
        <v>72</v>
      </c>
      <c r="C3254" s="2" t="s">
        <v>73</v>
      </c>
      <c r="E3254" s="2" t="str">
        <f>"FES1162597511"</f>
        <v>FES1162597511</v>
      </c>
      <c r="F3254" s="3">
        <v>43090</v>
      </c>
      <c r="G3254" s="2">
        <v>201806</v>
      </c>
      <c r="H3254" s="2" t="s">
        <v>74</v>
      </c>
      <c r="I3254" s="2" t="s">
        <v>75</v>
      </c>
      <c r="J3254" s="2" t="s">
        <v>97</v>
      </c>
      <c r="K3254" s="2" t="s">
        <v>77</v>
      </c>
      <c r="L3254" s="2" t="s">
        <v>136</v>
      </c>
      <c r="M3254" s="2" t="s">
        <v>137</v>
      </c>
      <c r="N3254" s="2" t="s">
        <v>1767</v>
      </c>
      <c r="O3254" s="2" t="s">
        <v>101</v>
      </c>
      <c r="P3254" s="2" t="str">
        <f>"2170608740                    "</f>
        <v xml:space="preserve">2170608740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9.65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2.9</v>
      </c>
      <c r="BJ3254" s="2">
        <v>1.8</v>
      </c>
      <c r="BK3254" s="2">
        <v>3</v>
      </c>
      <c r="BL3254" s="2">
        <v>68.89</v>
      </c>
      <c r="BM3254" s="2">
        <v>9.64</v>
      </c>
      <c r="BN3254" s="2">
        <v>78.53</v>
      </c>
      <c r="BO3254" s="2">
        <v>78.53</v>
      </c>
      <c r="BQ3254" s="2" t="s">
        <v>102</v>
      </c>
      <c r="BR3254" s="2" t="s">
        <v>103</v>
      </c>
      <c r="BS3254" s="3">
        <v>43091</v>
      </c>
      <c r="BT3254" s="4">
        <v>0.38541666666666669</v>
      </c>
      <c r="BU3254" s="2" t="s">
        <v>114</v>
      </c>
      <c r="BV3254" s="2" t="s">
        <v>85</v>
      </c>
      <c r="BY3254" s="2">
        <v>8902.08</v>
      </c>
      <c r="CC3254" s="2" t="s">
        <v>137</v>
      </c>
      <c r="CD3254" s="2">
        <v>6001</v>
      </c>
      <c r="CE3254" s="2" t="s">
        <v>95</v>
      </c>
      <c r="CF3254" s="3">
        <v>43097</v>
      </c>
      <c r="CI3254" s="2">
        <v>1</v>
      </c>
      <c r="CJ3254" s="2">
        <v>1</v>
      </c>
      <c r="CK3254" s="2">
        <v>21</v>
      </c>
      <c r="CL3254" s="2" t="s">
        <v>89</v>
      </c>
    </row>
    <row r="3255" spans="1:90">
      <c r="A3255" s="2" t="s">
        <v>71</v>
      </c>
      <c r="B3255" s="2" t="s">
        <v>72</v>
      </c>
      <c r="C3255" s="2" t="s">
        <v>73</v>
      </c>
      <c r="E3255" s="2" t="str">
        <f>"FES1162597522"</f>
        <v>FES1162597522</v>
      </c>
      <c r="F3255" s="3">
        <v>43090</v>
      </c>
      <c r="G3255" s="2">
        <v>201806</v>
      </c>
      <c r="H3255" s="2" t="s">
        <v>74</v>
      </c>
      <c r="I3255" s="2" t="s">
        <v>75</v>
      </c>
      <c r="J3255" s="2" t="s">
        <v>97</v>
      </c>
      <c r="K3255" s="2" t="s">
        <v>77</v>
      </c>
      <c r="L3255" s="2" t="s">
        <v>253</v>
      </c>
      <c r="M3255" s="2" t="s">
        <v>254</v>
      </c>
      <c r="N3255" s="2" t="s">
        <v>255</v>
      </c>
      <c r="O3255" s="2" t="s">
        <v>101</v>
      </c>
      <c r="P3255" s="2" t="str">
        <f>"21706080753                   "</f>
        <v xml:space="preserve">21706080753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6.43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45.93</v>
      </c>
      <c r="BM3255" s="2">
        <v>6.43</v>
      </c>
      <c r="BN3255" s="2">
        <v>52.36</v>
      </c>
      <c r="BO3255" s="2">
        <v>52.36</v>
      </c>
      <c r="BQ3255" s="2" t="s">
        <v>1661</v>
      </c>
      <c r="BR3255" s="2" t="s">
        <v>103</v>
      </c>
      <c r="BS3255" s="3">
        <v>43091</v>
      </c>
      <c r="BT3255" s="4">
        <v>0.38819444444444445</v>
      </c>
      <c r="BU3255" s="2" t="s">
        <v>3038</v>
      </c>
      <c r="BV3255" s="2" t="s">
        <v>85</v>
      </c>
      <c r="BY3255" s="2">
        <v>1200</v>
      </c>
      <c r="CA3255" s="2" t="s">
        <v>3039</v>
      </c>
      <c r="CC3255" s="2" t="s">
        <v>254</v>
      </c>
      <c r="CD3255" s="2">
        <v>1900</v>
      </c>
      <c r="CE3255" s="2" t="s">
        <v>120</v>
      </c>
      <c r="CF3255" s="3">
        <v>43096</v>
      </c>
      <c r="CI3255" s="2">
        <v>1</v>
      </c>
      <c r="CJ3255" s="2">
        <v>1</v>
      </c>
      <c r="CK3255" s="2">
        <v>21</v>
      </c>
      <c r="CL3255" s="2" t="s">
        <v>89</v>
      </c>
    </row>
    <row r="3256" spans="1:90">
      <c r="A3256" s="2" t="s">
        <v>71</v>
      </c>
      <c r="B3256" s="2" t="s">
        <v>72</v>
      </c>
      <c r="C3256" s="2" t="s">
        <v>73</v>
      </c>
      <c r="E3256" s="2" t="str">
        <f>"FES1162597528"</f>
        <v>FES1162597528</v>
      </c>
      <c r="F3256" s="3">
        <v>43090</v>
      </c>
      <c r="G3256" s="2">
        <v>201806</v>
      </c>
      <c r="H3256" s="2" t="s">
        <v>74</v>
      </c>
      <c r="I3256" s="2" t="s">
        <v>75</v>
      </c>
      <c r="J3256" s="2" t="s">
        <v>97</v>
      </c>
      <c r="K3256" s="2" t="s">
        <v>77</v>
      </c>
      <c r="L3256" s="2" t="s">
        <v>173</v>
      </c>
      <c r="M3256" s="2" t="s">
        <v>174</v>
      </c>
      <c r="N3256" s="2" t="s">
        <v>487</v>
      </c>
      <c r="O3256" s="2" t="s">
        <v>101</v>
      </c>
      <c r="P3256" s="2" t="str">
        <f>"2170608757                    "</f>
        <v xml:space="preserve">2170608757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6.43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</v>
      </c>
      <c r="BJ3256" s="2">
        <v>0.2</v>
      </c>
      <c r="BK3256" s="2">
        <v>1</v>
      </c>
      <c r="BL3256" s="2">
        <v>45.93</v>
      </c>
      <c r="BM3256" s="2">
        <v>6.43</v>
      </c>
      <c r="BN3256" s="2">
        <v>52.36</v>
      </c>
      <c r="BO3256" s="2">
        <v>52.36</v>
      </c>
      <c r="BQ3256" s="2" t="s">
        <v>82</v>
      </c>
      <c r="BR3256" s="2" t="s">
        <v>103</v>
      </c>
      <c r="BS3256" s="3">
        <v>43091</v>
      </c>
      <c r="BT3256" s="4">
        <v>0.41666666666666669</v>
      </c>
      <c r="BU3256" s="2" t="s">
        <v>3040</v>
      </c>
      <c r="BV3256" s="2" t="s">
        <v>85</v>
      </c>
      <c r="BY3256" s="2">
        <v>1200</v>
      </c>
      <c r="CC3256" s="2" t="s">
        <v>174</v>
      </c>
      <c r="CD3256" s="2">
        <v>7580</v>
      </c>
      <c r="CE3256" s="2" t="s">
        <v>120</v>
      </c>
      <c r="CF3256" s="3">
        <v>43096</v>
      </c>
      <c r="CI3256" s="2">
        <v>1</v>
      </c>
      <c r="CJ3256" s="2">
        <v>1</v>
      </c>
      <c r="CK3256" s="2">
        <v>21</v>
      </c>
      <c r="CL3256" s="2" t="s">
        <v>89</v>
      </c>
    </row>
    <row r="3257" spans="1:90">
      <c r="A3257" s="2" t="s">
        <v>71</v>
      </c>
      <c r="B3257" s="2" t="s">
        <v>72</v>
      </c>
      <c r="C3257" s="2" t="s">
        <v>73</v>
      </c>
      <c r="E3257" s="2" t="str">
        <f>"FES1162597529"</f>
        <v>FES1162597529</v>
      </c>
      <c r="F3257" s="3">
        <v>43090</v>
      </c>
      <c r="G3257" s="2">
        <v>201806</v>
      </c>
      <c r="H3257" s="2" t="s">
        <v>74</v>
      </c>
      <c r="I3257" s="2" t="s">
        <v>75</v>
      </c>
      <c r="J3257" s="2" t="s">
        <v>97</v>
      </c>
      <c r="K3257" s="2" t="s">
        <v>77</v>
      </c>
      <c r="L3257" s="2" t="s">
        <v>173</v>
      </c>
      <c r="M3257" s="2" t="s">
        <v>174</v>
      </c>
      <c r="N3257" s="2" t="s">
        <v>175</v>
      </c>
      <c r="O3257" s="2" t="s">
        <v>101</v>
      </c>
      <c r="P3257" s="2" t="str">
        <f>"2170608758                    "</f>
        <v xml:space="preserve">2170608758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6.43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2</v>
      </c>
      <c r="BJ3257" s="2">
        <v>0.2</v>
      </c>
      <c r="BK3257" s="2">
        <v>2</v>
      </c>
      <c r="BL3257" s="2">
        <v>45.93</v>
      </c>
      <c r="BM3257" s="2">
        <v>6.43</v>
      </c>
      <c r="BN3257" s="2">
        <v>52.36</v>
      </c>
      <c r="BO3257" s="2">
        <v>52.36</v>
      </c>
      <c r="BQ3257" s="2" t="s">
        <v>102</v>
      </c>
      <c r="BR3257" s="2" t="s">
        <v>103</v>
      </c>
      <c r="BS3257" s="3">
        <v>43091</v>
      </c>
      <c r="BT3257" s="4">
        <v>0.41666666666666669</v>
      </c>
      <c r="BU3257" s="2" t="s">
        <v>114</v>
      </c>
      <c r="BV3257" s="2" t="s">
        <v>85</v>
      </c>
      <c r="BY3257" s="2">
        <v>1200</v>
      </c>
      <c r="CC3257" s="2" t="s">
        <v>174</v>
      </c>
      <c r="CD3257" s="2">
        <v>7405</v>
      </c>
      <c r="CE3257" s="2" t="s">
        <v>120</v>
      </c>
      <c r="CF3257" s="3">
        <v>43096</v>
      </c>
      <c r="CI3257" s="2">
        <v>1</v>
      </c>
      <c r="CJ3257" s="2">
        <v>1</v>
      </c>
      <c r="CK3257" s="2">
        <v>21</v>
      </c>
      <c r="CL3257" s="2" t="s">
        <v>89</v>
      </c>
    </row>
    <row r="3258" spans="1:90">
      <c r="A3258" s="2" t="s">
        <v>71</v>
      </c>
      <c r="B3258" s="2" t="s">
        <v>72</v>
      </c>
      <c r="C3258" s="2" t="s">
        <v>73</v>
      </c>
      <c r="E3258" s="2" t="str">
        <f>"FES1162597527"</f>
        <v>FES1162597527</v>
      </c>
      <c r="F3258" s="3">
        <v>43090</v>
      </c>
      <c r="G3258" s="2">
        <v>201806</v>
      </c>
      <c r="H3258" s="2" t="s">
        <v>74</v>
      </c>
      <c r="I3258" s="2" t="s">
        <v>75</v>
      </c>
      <c r="J3258" s="2" t="s">
        <v>97</v>
      </c>
      <c r="K3258" s="2" t="s">
        <v>77</v>
      </c>
      <c r="L3258" s="2" t="s">
        <v>136</v>
      </c>
      <c r="M3258" s="2" t="s">
        <v>137</v>
      </c>
      <c r="N3258" s="2" t="s">
        <v>580</v>
      </c>
      <c r="O3258" s="2" t="s">
        <v>101</v>
      </c>
      <c r="P3258" s="2" t="str">
        <f>"2170608756                    "</f>
        <v xml:space="preserve">2170608756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6.43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1</v>
      </c>
      <c r="BJ3258" s="2">
        <v>0.2</v>
      </c>
      <c r="BK3258" s="2">
        <v>1</v>
      </c>
      <c r="BL3258" s="2">
        <v>45.93</v>
      </c>
      <c r="BM3258" s="2">
        <v>6.43</v>
      </c>
      <c r="BN3258" s="2">
        <v>52.36</v>
      </c>
      <c r="BO3258" s="2">
        <v>52.36</v>
      </c>
      <c r="BQ3258" s="2" t="s">
        <v>102</v>
      </c>
      <c r="BR3258" s="2" t="s">
        <v>103</v>
      </c>
      <c r="BS3258" s="3">
        <v>43091</v>
      </c>
      <c r="BT3258" s="4">
        <v>0.4055555555555555</v>
      </c>
      <c r="BU3258" s="2" t="s">
        <v>581</v>
      </c>
      <c r="BV3258" s="2" t="s">
        <v>85</v>
      </c>
      <c r="BY3258" s="2">
        <v>1200</v>
      </c>
      <c r="CA3258" s="2" t="s">
        <v>180</v>
      </c>
      <c r="CC3258" s="2" t="s">
        <v>137</v>
      </c>
      <c r="CD3258" s="2">
        <v>6001</v>
      </c>
      <c r="CE3258" s="2" t="s">
        <v>120</v>
      </c>
      <c r="CF3258" s="3">
        <v>43097</v>
      </c>
      <c r="CI3258" s="2">
        <v>1</v>
      </c>
      <c r="CJ3258" s="2">
        <v>1</v>
      </c>
      <c r="CK3258" s="2">
        <v>21</v>
      </c>
      <c r="CL3258" s="2" t="s">
        <v>89</v>
      </c>
    </row>
    <row r="3259" spans="1:90">
      <c r="A3259" s="2" t="s">
        <v>71</v>
      </c>
      <c r="B3259" s="2" t="s">
        <v>72</v>
      </c>
      <c r="C3259" s="2" t="s">
        <v>73</v>
      </c>
      <c r="E3259" s="2" t="str">
        <f>"FES1162597411"</f>
        <v>FES1162597411</v>
      </c>
      <c r="F3259" s="3">
        <v>43090</v>
      </c>
      <c r="G3259" s="2">
        <v>201806</v>
      </c>
      <c r="H3259" s="2" t="s">
        <v>74</v>
      </c>
      <c r="I3259" s="2" t="s">
        <v>75</v>
      </c>
      <c r="J3259" s="2" t="s">
        <v>97</v>
      </c>
      <c r="K3259" s="2" t="s">
        <v>77</v>
      </c>
      <c r="L3259" s="2" t="s">
        <v>131</v>
      </c>
      <c r="M3259" s="2" t="s">
        <v>132</v>
      </c>
      <c r="N3259" s="2" t="s">
        <v>133</v>
      </c>
      <c r="O3259" s="2" t="s">
        <v>101</v>
      </c>
      <c r="P3259" s="2" t="str">
        <f>"2170605510                    "</f>
        <v xml:space="preserve">2170605510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6.43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1</v>
      </c>
      <c r="BJ3259" s="2">
        <v>0.2</v>
      </c>
      <c r="BK3259" s="2">
        <v>1</v>
      </c>
      <c r="BL3259" s="2">
        <v>45.93</v>
      </c>
      <c r="BM3259" s="2">
        <v>6.43</v>
      </c>
      <c r="BN3259" s="2">
        <v>52.36</v>
      </c>
      <c r="BO3259" s="2">
        <v>52.36</v>
      </c>
      <c r="BQ3259" s="2" t="s">
        <v>102</v>
      </c>
      <c r="BR3259" s="2" t="s">
        <v>103</v>
      </c>
      <c r="BS3259" s="3">
        <v>43091</v>
      </c>
      <c r="BT3259" s="4">
        <v>0.38055555555555554</v>
      </c>
      <c r="BU3259" s="2" t="s">
        <v>3041</v>
      </c>
      <c r="BV3259" s="2" t="s">
        <v>85</v>
      </c>
      <c r="BY3259" s="2">
        <v>1200</v>
      </c>
      <c r="CA3259" s="2" t="s">
        <v>135</v>
      </c>
      <c r="CC3259" s="2" t="s">
        <v>132</v>
      </c>
      <c r="CD3259" s="2">
        <v>4302</v>
      </c>
      <c r="CE3259" s="2" t="s">
        <v>120</v>
      </c>
      <c r="CF3259" s="3">
        <v>43096</v>
      </c>
      <c r="CI3259" s="2">
        <v>1</v>
      </c>
      <c r="CJ3259" s="2">
        <v>1</v>
      </c>
      <c r="CK3259" s="2">
        <v>21</v>
      </c>
      <c r="CL3259" s="2" t="s">
        <v>89</v>
      </c>
    </row>
    <row r="3260" spans="1:90">
      <c r="A3260" s="2" t="s">
        <v>71</v>
      </c>
      <c r="B3260" s="2" t="s">
        <v>72</v>
      </c>
      <c r="C3260" s="2" t="s">
        <v>73</v>
      </c>
      <c r="E3260" s="2" t="str">
        <f>"FES1162597483"</f>
        <v>FES1162597483</v>
      </c>
      <c r="F3260" s="3">
        <v>43090</v>
      </c>
      <c r="G3260" s="2">
        <v>201806</v>
      </c>
      <c r="H3260" s="2" t="s">
        <v>74</v>
      </c>
      <c r="I3260" s="2" t="s">
        <v>75</v>
      </c>
      <c r="J3260" s="2" t="s">
        <v>97</v>
      </c>
      <c r="K3260" s="2" t="s">
        <v>77</v>
      </c>
      <c r="L3260" s="2" t="s">
        <v>121</v>
      </c>
      <c r="M3260" s="2" t="s">
        <v>122</v>
      </c>
      <c r="N3260" s="2" t="s">
        <v>123</v>
      </c>
      <c r="O3260" s="2" t="s">
        <v>101</v>
      </c>
      <c r="P3260" s="2" t="str">
        <f>"2170608702                    "</f>
        <v xml:space="preserve">2170608702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9.0500000000000007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</v>
      </c>
      <c r="BJ3260" s="2">
        <v>0.2</v>
      </c>
      <c r="BK3260" s="2">
        <v>1</v>
      </c>
      <c r="BL3260" s="2">
        <v>64.599999999999994</v>
      </c>
      <c r="BM3260" s="2">
        <v>9.0399999999999991</v>
      </c>
      <c r="BN3260" s="2">
        <v>73.64</v>
      </c>
      <c r="BO3260" s="2">
        <v>73.64</v>
      </c>
      <c r="BQ3260" s="2" t="s">
        <v>102</v>
      </c>
      <c r="BR3260" s="2" t="s">
        <v>103</v>
      </c>
      <c r="BS3260" s="3">
        <v>43091</v>
      </c>
      <c r="BT3260" s="4">
        <v>0.43055555555555558</v>
      </c>
      <c r="BU3260" s="2" t="s">
        <v>2998</v>
      </c>
      <c r="BV3260" s="2" t="s">
        <v>85</v>
      </c>
      <c r="BY3260" s="2">
        <v>1200</v>
      </c>
      <c r="CC3260" s="2" t="s">
        <v>122</v>
      </c>
      <c r="CD3260" s="2">
        <v>2210</v>
      </c>
      <c r="CE3260" s="2" t="s">
        <v>120</v>
      </c>
      <c r="CF3260" s="3">
        <v>43096</v>
      </c>
      <c r="CI3260" s="2">
        <v>1</v>
      </c>
      <c r="CJ3260" s="2">
        <v>1</v>
      </c>
      <c r="CK3260" s="2">
        <v>24</v>
      </c>
      <c r="CL3260" s="2" t="s">
        <v>89</v>
      </c>
    </row>
    <row r="3261" spans="1:90">
      <c r="A3261" s="2" t="s">
        <v>71</v>
      </c>
      <c r="B3261" s="2" t="s">
        <v>72</v>
      </c>
      <c r="C3261" s="2" t="s">
        <v>73</v>
      </c>
      <c r="E3261" s="2" t="str">
        <f>"FES1162597419"</f>
        <v>FES1162597419</v>
      </c>
      <c r="F3261" s="3">
        <v>43090</v>
      </c>
      <c r="G3261" s="2">
        <v>201806</v>
      </c>
      <c r="H3261" s="2" t="s">
        <v>74</v>
      </c>
      <c r="I3261" s="2" t="s">
        <v>75</v>
      </c>
      <c r="J3261" s="2" t="s">
        <v>97</v>
      </c>
      <c r="K3261" s="2" t="s">
        <v>77</v>
      </c>
      <c r="L3261" s="2" t="s">
        <v>74</v>
      </c>
      <c r="M3261" s="2" t="s">
        <v>75</v>
      </c>
      <c r="N3261" s="2" t="s">
        <v>650</v>
      </c>
      <c r="O3261" s="2" t="s">
        <v>101</v>
      </c>
      <c r="P3261" s="2" t="str">
        <f>"2170606163                    "</f>
        <v xml:space="preserve">2170606163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5.03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35.89</v>
      </c>
      <c r="BM3261" s="2">
        <v>5.0199999999999996</v>
      </c>
      <c r="BN3261" s="2">
        <v>40.909999999999997</v>
      </c>
      <c r="BO3261" s="2">
        <v>40.909999999999997</v>
      </c>
      <c r="BR3261" s="2" t="s">
        <v>103</v>
      </c>
      <c r="BS3261" s="3">
        <v>43091</v>
      </c>
      <c r="BT3261" s="4">
        <v>0.4375</v>
      </c>
      <c r="BU3261" s="2" t="s">
        <v>522</v>
      </c>
      <c r="BV3261" s="2" t="s">
        <v>85</v>
      </c>
      <c r="BY3261" s="2">
        <v>1200</v>
      </c>
      <c r="CC3261" s="2" t="s">
        <v>75</v>
      </c>
      <c r="CD3261" s="2">
        <v>1666</v>
      </c>
      <c r="CE3261" s="2" t="s">
        <v>120</v>
      </c>
      <c r="CI3261" s="2">
        <v>1</v>
      </c>
      <c r="CJ3261" s="2">
        <v>1</v>
      </c>
      <c r="CK3261" s="2">
        <v>22</v>
      </c>
      <c r="CL3261" s="2" t="s">
        <v>89</v>
      </c>
    </row>
    <row r="3262" spans="1:90">
      <c r="A3262" s="2" t="s">
        <v>71</v>
      </c>
      <c r="B3262" s="2" t="s">
        <v>72</v>
      </c>
      <c r="C3262" s="2" t="s">
        <v>73</v>
      </c>
      <c r="E3262" s="2" t="str">
        <f>"FES1162597516"</f>
        <v>FES1162597516</v>
      </c>
      <c r="F3262" s="3">
        <v>43090</v>
      </c>
      <c r="G3262" s="2">
        <v>201806</v>
      </c>
      <c r="H3262" s="2" t="s">
        <v>74</v>
      </c>
      <c r="I3262" s="2" t="s">
        <v>75</v>
      </c>
      <c r="J3262" s="2" t="s">
        <v>97</v>
      </c>
      <c r="K3262" s="2" t="s">
        <v>77</v>
      </c>
      <c r="L3262" s="2" t="s">
        <v>173</v>
      </c>
      <c r="M3262" s="2" t="s">
        <v>174</v>
      </c>
      <c r="N3262" s="2" t="s">
        <v>175</v>
      </c>
      <c r="O3262" s="2" t="s">
        <v>101</v>
      </c>
      <c r="P3262" s="2" t="str">
        <f>"2170608754                    "</f>
        <v xml:space="preserve">2170608754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6.43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1.7</v>
      </c>
      <c r="BJ3262" s="2">
        <v>1.4</v>
      </c>
      <c r="BK3262" s="2">
        <v>2</v>
      </c>
      <c r="BL3262" s="2">
        <v>45.93</v>
      </c>
      <c r="BM3262" s="2">
        <v>6.43</v>
      </c>
      <c r="BN3262" s="2">
        <v>52.36</v>
      </c>
      <c r="BO3262" s="2">
        <v>52.36</v>
      </c>
      <c r="BQ3262" s="2" t="s">
        <v>102</v>
      </c>
      <c r="BR3262" s="2" t="s">
        <v>103</v>
      </c>
      <c r="BS3262" s="3">
        <v>43091</v>
      </c>
      <c r="BT3262" s="4">
        <v>0.41666666666666669</v>
      </c>
      <c r="BU3262" s="2" t="s">
        <v>3042</v>
      </c>
      <c r="BV3262" s="2" t="s">
        <v>85</v>
      </c>
      <c r="BY3262" s="2">
        <v>6919.2</v>
      </c>
      <c r="CC3262" s="2" t="s">
        <v>174</v>
      </c>
      <c r="CD3262" s="2">
        <v>7405</v>
      </c>
      <c r="CE3262" s="2" t="s">
        <v>95</v>
      </c>
      <c r="CF3262" s="3">
        <v>43097</v>
      </c>
      <c r="CI3262" s="2">
        <v>1</v>
      </c>
      <c r="CJ3262" s="2">
        <v>1</v>
      </c>
      <c r="CK3262" s="2">
        <v>21</v>
      </c>
      <c r="CL3262" s="2" t="s">
        <v>89</v>
      </c>
    </row>
    <row r="3263" spans="1:90">
      <c r="A3263" s="2" t="s">
        <v>71</v>
      </c>
      <c r="B3263" s="2" t="s">
        <v>72</v>
      </c>
      <c r="C3263" s="2" t="s">
        <v>73</v>
      </c>
      <c r="E3263" s="2" t="str">
        <f>"FES1162597514"</f>
        <v>FES1162597514</v>
      </c>
      <c r="F3263" s="3">
        <v>43090</v>
      </c>
      <c r="G3263" s="2">
        <v>201806</v>
      </c>
      <c r="H3263" s="2" t="s">
        <v>74</v>
      </c>
      <c r="I3263" s="2" t="s">
        <v>75</v>
      </c>
      <c r="J3263" s="2" t="s">
        <v>97</v>
      </c>
      <c r="K3263" s="2" t="s">
        <v>77</v>
      </c>
      <c r="L3263" s="2" t="s">
        <v>422</v>
      </c>
      <c r="M3263" s="2" t="s">
        <v>423</v>
      </c>
      <c r="N3263" s="2" t="s">
        <v>424</v>
      </c>
      <c r="O3263" s="2" t="s">
        <v>101</v>
      </c>
      <c r="P3263" s="2" t="str">
        <f>"2170608744                    "</f>
        <v xml:space="preserve">2170608744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5.03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35.89</v>
      </c>
      <c r="BM3263" s="2">
        <v>5.0199999999999996</v>
      </c>
      <c r="BN3263" s="2">
        <v>40.909999999999997</v>
      </c>
      <c r="BO3263" s="2">
        <v>40.909999999999997</v>
      </c>
      <c r="BQ3263" s="2" t="s">
        <v>102</v>
      </c>
      <c r="BR3263" s="2" t="s">
        <v>103</v>
      </c>
      <c r="BS3263" s="3">
        <v>43091</v>
      </c>
      <c r="BT3263" s="4">
        <v>0.375</v>
      </c>
      <c r="BU3263" s="2" t="s">
        <v>3043</v>
      </c>
      <c r="BV3263" s="2" t="s">
        <v>85</v>
      </c>
      <c r="BY3263" s="2">
        <v>1200</v>
      </c>
      <c r="CC3263" s="2" t="s">
        <v>423</v>
      </c>
      <c r="CD3263" s="2">
        <v>1540</v>
      </c>
      <c r="CE3263" s="2" t="s">
        <v>120</v>
      </c>
      <c r="CI3263" s="2">
        <v>1</v>
      </c>
      <c r="CJ3263" s="2">
        <v>1</v>
      </c>
      <c r="CK3263" s="2">
        <v>22</v>
      </c>
      <c r="CL3263" s="2" t="s">
        <v>89</v>
      </c>
    </row>
    <row r="3264" spans="1:90">
      <c r="A3264" s="2" t="s">
        <v>71</v>
      </c>
      <c r="B3264" s="2" t="s">
        <v>72</v>
      </c>
      <c r="C3264" s="2" t="s">
        <v>73</v>
      </c>
      <c r="E3264" s="2" t="str">
        <f>"FES1162597500"</f>
        <v>FES1162597500</v>
      </c>
      <c r="F3264" s="3">
        <v>43090</v>
      </c>
      <c r="G3264" s="2">
        <v>201806</v>
      </c>
      <c r="H3264" s="2" t="s">
        <v>74</v>
      </c>
      <c r="I3264" s="2" t="s">
        <v>75</v>
      </c>
      <c r="J3264" s="2" t="s">
        <v>97</v>
      </c>
      <c r="K3264" s="2" t="s">
        <v>77</v>
      </c>
      <c r="L3264" s="2" t="s">
        <v>121</v>
      </c>
      <c r="M3264" s="2" t="s">
        <v>122</v>
      </c>
      <c r="N3264" s="2" t="s">
        <v>511</v>
      </c>
      <c r="O3264" s="2" t="s">
        <v>101</v>
      </c>
      <c r="P3264" s="2" t="str">
        <f>"2170608725                    "</f>
        <v xml:space="preserve">2170608725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9.0500000000000007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1</v>
      </c>
      <c r="BJ3264" s="2">
        <v>0.2</v>
      </c>
      <c r="BK3264" s="2">
        <v>1</v>
      </c>
      <c r="BL3264" s="2">
        <v>64.599999999999994</v>
      </c>
      <c r="BM3264" s="2">
        <v>9.0399999999999991</v>
      </c>
      <c r="BN3264" s="2">
        <v>73.64</v>
      </c>
      <c r="BO3264" s="2">
        <v>73.64</v>
      </c>
      <c r="BQ3264" s="2" t="s">
        <v>102</v>
      </c>
      <c r="BR3264" s="2" t="s">
        <v>103</v>
      </c>
      <c r="BS3264" s="3">
        <v>43091</v>
      </c>
      <c r="BT3264" s="4">
        <v>0.43055555555555558</v>
      </c>
      <c r="BU3264" s="2" t="s">
        <v>3044</v>
      </c>
      <c r="BV3264" s="2" t="s">
        <v>85</v>
      </c>
      <c r="BY3264" s="2">
        <v>1200</v>
      </c>
      <c r="CC3264" s="2" t="s">
        <v>122</v>
      </c>
      <c r="CD3264" s="2">
        <v>2200</v>
      </c>
      <c r="CE3264" s="2" t="s">
        <v>120</v>
      </c>
      <c r="CF3264" s="3">
        <v>43096</v>
      </c>
      <c r="CI3264" s="2">
        <v>1</v>
      </c>
      <c r="CJ3264" s="2">
        <v>1</v>
      </c>
      <c r="CK3264" s="2">
        <v>24</v>
      </c>
      <c r="CL3264" s="2" t="s">
        <v>89</v>
      </c>
    </row>
    <row r="3265" spans="1:90">
      <c r="A3265" s="2" t="s">
        <v>71</v>
      </c>
      <c r="B3265" s="2" t="s">
        <v>72</v>
      </c>
      <c r="C3265" s="2" t="s">
        <v>73</v>
      </c>
      <c r="E3265" s="2" t="str">
        <f>"FES1162597515"</f>
        <v>FES1162597515</v>
      </c>
      <c r="F3265" s="3">
        <v>43090</v>
      </c>
      <c r="G3265" s="2">
        <v>201806</v>
      </c>
      <c r="H3265" s="2" t="s">
        <v>74</v>
      </c>
      <c r="I3265" s="2" t="s">
        <v>75</v>
      </c>
      <c r="J3265" s="2" t="s">
        <v>97</v>
      </c>
      <c r="K3265" s="2" t="s">
        <v>77</v>
      </c>
      <c r="L3265" s="2" t="s">
        <v>277</v>
      </c>
      <c r="M3265" s="2" t="s">
        <v>278</v>
      </c>
      <c r="N3265" s="2" t="s">
        <v>920</v>
      </c>
      <c r="O3265" s="2" t="s">
        <v>81</v>
      </c>
      <c r="P3265" s="2" t="str">
        <f>"2170600609                    "</f>
        <v xml:space="preserve">2170600609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12.38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25.9</v>
      </c>
      <c r="BJ3265" s="2">
        <v>14</v>
      </c>
      <c r="BK3265" s="2">
        <v>26</v>
      </c>
      <c r="BL3265" s="2">
        <v>93.39</v>
      </c>
      <c r="BM3265" s="2">
        <v>13.07</v>
      </c>
      <c r="BN3265" s="2">
        <v>106.46</v>
      </c>
      <c r="BO3265" s="2">
        <v>106.46</v>
      </c>
      <c r="BQ3265" s="2" t="s">
        <v>128</v>
      </c>
      <c r="BR3265" s="2" t="s">
        <v>103</v>
      </c>
      <c r="BS3265" s="3">
        <v>43091</v>
      </c>
      <c r="BT3265" s="4">
        <v>0.52152777777777781</v>
      </c>
      <c r="BU3265" s="2" t="s">
        <v>3045</v>
      </c>
      <c r="BV3265" s="2" t="s">
        <v>85</v>
      </c>
      <c r="BY3265" s="2">
        <v>70057.87</v>
      </c>
      <c r="CA3265" s="2" t="s">
        <v>2615</v>
      </c>
      <c r="CC3265" s="2" t="s">
        <v>278</v>
      </c>
      <c r="CD3265" s="2">
        <v>2162</v>
      </c>
      <c r="CE3265" s="2" t="s">
        <v>87</v>
      </c>
      <c r="CF3265" s="3">
        <v>43097</v>
      </c>
      <c r="CI3265" s="2">
        <v>1</v>
      </c>
      <c r="CJ3265" s="2">
        <v>1</v>
      </c>
      <c r="CK3265" s="2" t="s">
        <v>96</v>
      </c>
      <c r="CL3265" s="2" t="s">
        <v>89</v>
      </c>
    </row>
    <row r="3266" spans="1:90">
      <c r="A3266" s="2" t="s">
        <v>71</v>
      </c>
      <c r="B3266" s="2" t="s">
        <v>72</v>
      </c>
      <c r="C3266" s="2" t="s">
        <v>73</v>
      </c>
      <c r="E3266" s="2" t="str">
        <f>"FES1162597174"</f>
        <v>FES1162597174</v>
      </c>
      <c r="F3266" s="3">
        <v>43090</v>
      </c>
      <c r="G3266" s="2">
        <v>201806</v>
      </c>
      <c r="H3266" s="2" t="s">
        <v>74</v>
      </c>
      <c r="I3266" s="2" t="s">
        <v>75</v>
      </c>
      <c r="J3266" s="2" t="s">
        <v>97</v>
      </c>
      <c r="K3266" s="2" t="s">
        <v>77</v>
      </c>
      <c r="L3266" s="2" t="s">
        <v>285</v>
      </c>
      <c r="M3266" s="2" t="s">
        <v>159</v>
      </c>
      <c r="N3266" s="2" t="s">
        <v>2423</v>
      </c>
      <c r="O3266" s="2" t="s">
        <v>81</v>
      </c>
      <c r="P3266" s="2" t="str">
        <f>"2170604482                    "</f>
        <v xml:space="preserve">2170604482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13.8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22.7</v>
      </c>
      <c r="BJ3266" s="2">
        <v>17.7</v>
      </c>
      <c r="BK3266" s="2">
        <v>23</v>
      </c>
      <c r="BL3266" s="2">
        <v>103.49</v>
      </c>
      <c r="BM3266" s="2">
        <v>14.49</v>
      </c>
      <c r="BN3266" s="2">
        <v>117.98</v>
      </c>
      <c r="BO3266" s="2">
        <v>117.98</v>
      </c>
      <c r="BQ3266" s="2" t="s">
        <v>102</v>
      </c>
      <c r="BR3266" s="2" t="s">
        <v>103</v>
      </c>
      <c r="BS3266" s="2" t="s">
        <v>185</v>
      </c>
      <c r="BY3266" s="2">
        <v>88596</v>
      </c>
      <c r="CC3266" s="2" t="s">
        <v>159</v>
      </c>
      <c r="CD3266" s="2">
        <v>186</v>
      </c>
      <c r="CE3266" s="2" t="s">
        <v>95</v>
      </c>
      <c r="CI3266" s="2">
        <v>0</v>
      </c>
      <c r="CJ3266" s="2">
        <v>0</v>
      </c>
      <c r="CK3266" s="2" t="s">
        <v>289</v>
      </c>
      <c r="CL3266" s="2" t="s">
        <v>89</v>
      </c>
    </row>
    <row r="3267" spans="1:90">
      <c r="A3267" s="2" t="s">
        <v>71</v>
      </c>
      <c r="B3267" s="2" t="s">
        <v>72</v>
      </c>
      <c r="C3267" s="2" t="s">
        <v>73</v>
      </c>
      <c r="E3267" s="2" t="str">
        <f>"FES1162597506"</f>
        <v>FES1162597506</v>
      </c>
      <c r="F3267" s="3">
        <v>43090</v>
      </c>
      <c r="G3267" s="2">
        <v>201806</v>
      </c>
      <c r="H3267" s="2" t="s">
        <v>74</v>
      </c>
      <c r="I3267" s="2" t="s">
        <v>75</v>
      </c>
      <c r="J3267" s="2" t="s">
        <v>97</v>
      </c>
      <c r="K3267" s="2" t="s">
        <v>77</v>
      </c>
      <c r="L3267" s="2" t="s">
        <v>136</v>
      </c>
      <c r="M3267" s="2" t="s">
        <v>137</v>
      </c>
      <c r="N3267" s="2" t="s">
        <v>258</v>
      </c>
      <c r="O3267" s="2" t="s">
        <v>81</v>
      </c>
      <c r="P3267" s="2" t="str">
        <f>"2170608736                    "</f>
        <v xml:space="preserve">2170608736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62.21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3</v>
      </c>
      <c r="BI3267" s="2">
        <v>50.4</v>
      </c>
      <c r="BJ3267" s="2">
        <v>101.2</v>
      </c>
      <c r="BK3267" s="2">
        <v>102</v>
      </c>
      <c r="BL3267" s="2">
        <v>449.09</v>
      </c>
      <c r="BM3267" s="2">
        <v>62.87</v>
      </c>
      <c r="BN3267" s="2">
        <v>511.96</v>
      </c>
      <c r="BO3267" s="2">
        <v>511.96</v>
      </c>
      <c r="BQ3267" s="2" t="s">
        <v>102</v>
      </c>
      <c r="BR3267" s="2" t="s">
        <v>103</v>
      </c>
      <c r="BS3267" s="3">
        <v>43096</v>
      </c>
      <c r="BT3267" s="4">
        <v>0.39583333333333331</v>
      </c>
      <c r="BU3267" s="2" t="s">
        <v>3046</v>
      </c>
      <c r="BV3267" s="2" t="s">
        <v>89</v>
      </c>
      <c r="BW3267" s="2" t="s">
        <v>313</v>
      </c>
      <c r="BX3267" s="2" t="s">
        <v>314</v>
      </c>
      <c r="BY3267" s="2">
        <v>506243.87</v>
      </c>
      <c r="CA3267" s="2" t="s">
        <v>315</v>
      </c>
      <c r="CC3267" s="2" t="s">
        <v>137</v>
      </c>
      <c r="CD3267" s="2">
        <v>6001</v>
      </c>
      <c r="CE3267" s="2" t="s">
        <v>95</v>
      </c>
      <c r="CF3267" s="3">
        <v>43097</v>
      </c>
      <c r="CI3267" s="2">
        <v>2</v>
      </c>
      <c r="CJ3267" s="2">
        <v>4</v>
      </c>
      <c r="CK3267" s="2" t="s">
        <v>271</v>
      </c>
      <c r="CL3267" s="2" t="s">
        <v>89</v>
      </c>
    </row>
    <row r="3268" spans="1:90">
      <c r="A3268" s="2" t="s">
        <v>71</v>
      </c>
      <c r="B3268" s="2" t="s">
        <v>72</v>
      </c>
      <c r="C3268" s="2" t="s">
        <v>73</v>
      </c>
      <c r="E3268" s="2" t="str">
        <f>"FES1162597539"</f>
        <v>FES1162597539</v>
      </c>
      <c r="F3268" s="3">
        <v>43090</v>
      </c>
      <c r="G3268" s="2">
        <v>201806</v>
      </c>
      <c r="H3268" s="2" t="s">
        <v>74</v>
      </c>
      <c r="I3268" s="2" t="s">
        <v>75</v>
      </c>
      <c r="J3268" s="2" t="s">
        <v>97</v>
      </c>
      <c r="K3268" s="2" t="s">
        <v>77</v>
      </c>
      <c r="L3268" s="2" t="s">
        <v>162</v>
      </c>
      <c r="M3268" s="2" t="s">
        <v>163</v>
      </c>
      <c r="N3268" s="2" t="s">
        <v>1515</v>
      </c>
      <c r="O3268" s="2" t="s">
        <v>81</v>
      </c>
      <c r="P3268" s="2" t="str">
        <f>"2170608772                    "</f>
        <v xml:space="preserve">2170608772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23.9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2</v>
      </c>
      <c r="BI3268" s="2">
        <v>36.9</v>
      </c>
      <c r="BJ3268" s="2">
        <v>63.2</v>
      </c>
      <c r="BK3268" s="2">
        <v>64</v>
      </c>
      <c r="BL3268" s="2">
        <v>175.59</v>
      </c>
      <c r="BM3268" s="2">
        <v>24.58</v>
      </c>
      <c r="BN3268" s="2">
        <v>200.17</v>
      </c>
      <c r="BO3268" s="2">
        <v>200.17</v>
      </c>
      <c r="BQ3268" s="2" t="s">
        <v>1866</v>
      </c>
      <c r="BR3268" s="2" t="s">
        <v>103</v>
      </c>
      <c r="BS3268" s="2" t="s">
        <v>185</v>
      </c>
      <c r="BY3268" s="2">
        <v>330998.17</v>
      </c>
      <c r="CC3268" s="2" t="s">
        <v>163</v>
      </c>
      <c r="CD3268" s="2">
        <v>1451</v>
      </c>
      <c r="CE3268" s="2" t="s">
        <v>95</v>
      </c>
      <c r="CI3268" s="2">
        <v>1</v>
      </c>
      <c r="CJ3268" s="2" t="s">
        <v>185</v>
      </c>
      <c r="CK3268" s="2" t="s">
        <v>96</v>
      </c>
      <c r="CL3268" s="2" t="s">
        <v>89</v>
      </c>
    </row>
    <row r="3269" spans="1:90">
      <c r="A3269" s="2" t="s">
        <v>71</v>
      </c>
      <c r="B3269" s="2" t="s">
        <v>72</v>
      </c>
      <c r="C3269" s="2" t="s">
        <v>73</v>
      </c>
      <c r="E3269" s="2" t="str">
        <f>"FES1162597552"</f>
        <v>FES1162597552</v>
      </c>
      <c r="F3269" s="3">
        <v>43090</v>
      </c>
      <c r="G3269" s="2">
        <v>201806</v>
      </c>
      <c r="H3269" s="2" t="s">
        <v>74</v>
      </c>
      <c r="I3269" s="2" t="s">
        <v>75</v>
      </c>
      <c r="J3269" s="2" t="s">
        <v>97</v>
      </c>
      <c r="K3269" s="2" t="s">
        <v>77</v>
      </c>
      <c r="L3269" s="2" t="s">
        <v>285</v>
      </c>
      <c r="M3269" s="2" t="s">
        <v>159</v>
      </c>
      <c r="N3269" s="2" t="s">
        <v>588</v>
      </c>
      <c r="O3269" s="2" t="s">
        <v>81</v>
      </c>
      <c r="P3269" s="2" t="str">
        <f>"2170600404                    "</f>
        <v xml:space="preserve">2170600404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11.06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5.4</v>
      </c>
      <c r="BJ3269" s="2">
        <v>4.0999999999999996</v>
      </c>
      <c r="BK3269" s="2">
        <v>5</v>
      </c>
      <c r="BL3269" s="2">
        <v>83.95</v>
      </c>
      <c r="BM3269" s="2">
        <v>11.75</v>
      </c>
      <c r="BN3269" s="2">
        <v>95.7</v>
      </c>
      <c r="BO3269" s="2">
        <v>95.7</v>
      </c>
      <c r="BQ3269" s="2" t="s">
        <v>102</v>
      </c>
      <c r="BR3269" s="2" t="s">
        <v>103</v>
      </c>
      <c r="BS3269" s="2" t="s">
        <v>185</v>
      </c>
      <c r="BY3269" s="2">
        <v>19565.95</v>
      </c>
      <c r="CC3269" s="2" t="s">
        <v>159</v>
      </c>
      <c r="CD3269" s="2">
        <v>40</v>
      </c>
      <c r="CE3269" s="2" t="s">
        <v>95</v>
      </c>
      <c r="CI3269" s="2">
        <v>0</v>
      </c>
      <c r="CJ3269" s="2">
        <v>0</v>
      </c>
      <c r="CK3269" s="2" t="s">
        <v>289</v>
      </c>
      <c r="CL3269" s="2" t="s">
        <v>89</v>
      </c>
    </row>
    <row r="3270" spans="1:90">
      <c r="A3270" s="2" t="s">
        <v>71</v>
      </c>
      <c r="B3270" s="2" t="s">
        <v>72</v>
      </c>
      <c r="C3270" s="2" t="s">
        <v>73</v>
      </c>
      <c r="E3270" s="2" t="str">
        <f>"RFES1162596235"</f>
        <v>RFES1162596235</v>
      </c>
      <c r="F3270" s="3">
        <v>43090</v>
      </c>
      <c r="G3270" s="2">
        <v>201806</v>
      </c>
      <c r="H3270" s="2" t="s">
        <v>325</v>
      </c>
      <c r="I3270" s="2" t="s">
        <v>326</v>
      </c>
      <c r="J3270" s="2" t="s">
        <v>1129</v>
      </c>
      <c r="K3270" s="2" t="s">
        <v>77</v>
      </c>
      <c r="L3270" s="2" t="s">
        <v>74</v>
      </c>
      <c r="M3270" s="2" t="s">
        <v>75</v>
      </c>
      <c r="N3270" s="2" t="s">
        <v>97</v>
      </c>
      <c r="O3270" s="2" t="s">
        <v>81</v>
      </c>
      <c r="P3270" s="2" t="str">
        <f>"2170607211                    "</f>
        <v xml:space="preserve">2170607211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9.0500000000000007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</v>
      </c>
      <c r="BJ3270" s="2">
        <v>0.2</v>
      </c>
      <c r="BK3270" s="2">
        <v>1</v>
      </c>
      <c r="BL3270" s="2">
        <v>69.599999999999994</v>
      </c>
      <c r="BM3270" s="2">
        <v>9.74</v>
      </c>
      <c r="BN3270" s="2">
        <v>79.34</v>
      </c>
      <c r="BO3270" s="2">
        <v>79.34</v>
      </c>
      <c r="BQ3270" s="2" t="s">
        <v>103</v>
      </c>
      <c r="BR3270" s="2" t="s">
        <v>102</v>
      </c>
      <c r="BS3270" s="2" t="s">
        <v>185</v>
      </c>
      <c r="BY3270" s="2">
        <v>1200</v>
      </c>
      <c r="CC3270" s="2" t="s">
        <v>75</v>
      </c>
      <c r="CD3270" s="2">
        <v>1600</v>
      </c>
      <c r="CE3270" s="2" t="s">
        <v>1737</v>
      </c>
      <c r="CI3270" s="2">
        <v>1</v>
      </c>
      <c r="CJ3270" s="2" t="s">
        <v>185</v>
      </c>
      <c r="CK3270" s="2" t="s">
        <v>1902</v>
      </c>
      <c r="CL3270" s="2" t="s">
        <v>89</v>
      </c>
    </row>
    <row r="3271" spans="1:90">
      <c r="A3271" s="2" t="s">
        <v>71</v>
      </c>
      <c r="B3271" s="2" t="s">
        <v>72</v>
      </c>
      <c r="C3271" s="2" t="s">
        <v>73</v>
      </c>
      <c r="E3271" s="2" t="str">
        <f>"FES1162597350"</f>
        <v>FES1162597350</v>
      </c>
      <c r="F3271" s="3">
        <v>43090</v>
      </c>
      <c r="G3271" s="2">
        <v>201806</v>
      </c>
      <c r="H3271" s="2" t="s">
        <v>74</v>
      </c>
      <c r="I3271" s="2" t="s">
        <v>75</v>
      </c>
      <c r="J3271" s="2" t="s">
        <v>97</v>
      </c>
      <c r="K3271" s="2" t="s">
        <v>77</v>
      </c>
      <c r="L3271" s="2" t="s">
        <v>285</v>
      </c>
      <c r="M3271" s="2" t="s">
        <v>159</v>
      </c>
      <c r="N3271" s="2" t="s">
        <v>564</v>
      </c>
      <c r="O3271" s="2" t="s">
        <v>81</v>
      </c>
      <c r="P3271" s="2" t="str">
        <f>"21706094404                   "</f>
        <v xml:space="preserve">21706094404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14.82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25.8</v>
      </c>
      <c r="BJ3271" s="2">
        <v>18.2</v>
      </c>
      <c r="BK3271" s="2">
        <v>26</v>
      </c>
      <c r="BL3271" s="2">
        <v>110.81</v>
      </c>
      <c r="BM3271" s="2">
        <v>15.51</v>
      </c>
      <c r="BN3271" s="2">
        <v>126.32</v>
      </c>
      <c r="BO3271" s="2">
        <v>126.32</v>
      </c>
      <c r="BQ3271" s="2" t="s">
        <v>128</v>
      </c>
      <c r="BR3271" s="2" t="s">
        <v>103</v>
      </c>
      <c r="BS3271" s="2" t="s">
        <v>185</v>
      </c>
      <c r="BY3271" s="2">
        <v>91073.32</v>
      </c>
      <c r="CC3271" s="2" t="s">
        <v>159</v>
      </c>
      <c r="CD3271" s="2">
        <v>200</v>
      </c>
      <c r="CE3271" s="2" t="s">
        <v>95</v>
      </c>
      <c r="CI3271" s="2">
        <v>0</v>
      </c>
      <c r="CJ3271" s="2">
        <v>0</v>
      </c>
      <c r="CK3271" s="2" t="s">
        <v>289</v>
      </c>
      <c r="CL3271" s="2" t="s">
        <v>89</v>
      </c>
    </row>
    <row r="3272" spans="1:90">
      <c r="A3272" s="2" t="s">
        <v>71</v>
      </c>
      <c r="B3272" s="2" t="s">
        <v>72</v>
      </c>
      <c r="C3272" s="2" t="s">
        <v>73</v>
      </c>
      <c r="E3272" s="2" t="str">
        <f>"FES1162597396"</f>
        <v>FES1162597396</v>
      </c>
      <c r="F3272" s="3">
        <v>43090</v>
      </c>
      <c r="G3272" s="2">
        <v>201806</v>
      </c>
      <c r="H3272" s="2" t="s">
        <v>74</v>
      </c>
      <c r="I3272" s="2" t="s">
        <v>75</v>
      </c>
      <c r="J3272" s="2" t="s">
        <v>97</v>
      </c>
      <c r="K3272" s="2" t="s">
        <v>77</v>
      </c>
      <c r="L3272" s="2" t="s">
        <v>136</v>
      </c>
      <c r="M3272" s="2" t="s">
        <v>137</v>
      </c>
      <c r="N3272" s="2" t="s">
        <v>1652</v>
      </c>
      <c r="O3272" s="2" t="s">
        <v>81</v>
      </c>
      <c r="P3272" s="2" t="str">
        <f>"217060253                     "</f>
        <v xml:space="preserve">217060253 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24.44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4</v>
      </c>
      <c r="BI3272" s="2">
        <v>34.6</v>
      </c>
      <c r="BJ3272" s="2">
        <v>12.9</v>
      </c>
      <c r="BK3272" s="2">
        <v>35</v>
      </c>
      <c r="BL3272" s="2">
        <v>179.5</v>
      </c>
      <c r="BM3272" s="2">
        <v>25.13</v>
      </c>
      <c r="BN3272" s="2">
        <v>204.63</v>
      </c>
      <c r="BO3272" s="2">
        <v>204.63</v>
      </c>
      <c r="BQ3272" s="2" t="s">
        <v>1776</v>
      </c>
      <c r="BR3272" s="2" t="s">
        <v>103</v>
      </c>
      <c r="BS3272" s="3">
        <v>43096</v>
      </c>
      <c r="BT3272" s="4">
        <v>0.4375</v>
      </c>
      <c r="BU3272" s="2" t="s">
        <v>3047</v>
      </c>
      <c r="BV3272" s="2" t="s">
        <v>89</v>
      </c>
      <c r="BW3272" s="2" t="s">
        <v>313</v>
      </c>
      <c r="BX3272" s="2" t="s">
        <v>314</v>
      </c>
      <c r="BY3272" s="2">
        <v>64279.63</v>
      </c>
      <c r="CA3272" s="2" t="s">
        <v>315</v>
      </c>
      <c r="CC3272" s="2" t="s">
        <v>137</v>
      </c>
      <c r="CD3272" s="2">
        <v>6001</v>
      </c>
      <c r="CE3272" s="2" t="s">
        <v>87</v>
      </c>
      <c r="CF3272" s="3">
        <v>43097</v>
      </c>
      <c r="CI3272" s="2">
        <v>2</v>
      </c>
      <c r="CJ3272" s="2">
        <v>4</v>
      </c>
      <c r="CK3272" s="2" t="s">
        <v>271</v>
      </c>
      <c r="CL3272" s="2" t="s">
        <v>89</v>
      </c>
    </row>
    <row r="3273" spans="1:90">
      <c r="A3273" s="2" t="s">
        <v>71</v>
      </c>
      <c r="B3273" s="2" t="s">
        <v>72</v>
      </c>
      <c r="C3273" s="2" t="s">
        <v>73</v>
      </c>
      <c r="E3273" s="2" t="str">
        <f>"019911052964"</f>
        <v>019911052964</v>
      </c>
      <c r="F3273" s="3">
        <v>43090</v>
      </c>
      <c r="G3273" s="2">
        <v>201806</v>
      </c>
      <c r="H3273" s="2" t="s">
        <v>173</v>
      </c>
      <c r="I3273" s="2" t="s">
        <v>174</v>
      </c>
      <c r="J3273" s="2" t="s">
        <v>76</v>
      </c>
      <c r="K3273" s="2" t="s">
        <v>77</v>
      </c>
      <c r="L3273" s="2" t="s">
        <v>125</v>
      </c>
      <c r="M3273" s="2" t="s">
        <v>126</v>
      </c>
      <c r="N3273" s="2" t="s">
        <v>3048</v>
      </c>
      <c r="O3273" s="2" t="s">
        <v>339</v>
      </c>
      <c r="P3273" s="2" t="str">
        <f>"                              "</f>
        <v xml:space="preserve">          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12.06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86.12</v>
      </c>
      <c r="BM3273" s="2">
        <v>12.06</v>
      </c>
      <c r="BN3273" s="2">
        <v>98.18</v>
      </c>
      <c r="BO3273" s="2">
        <v>98.18</v>
      </c>
      <c r="BQ3273" s="2" t="s">
        <v>3049</v>
      </c>
      <c r="BS3273" s="3">
        <v>43091</v>
      </c>
      <c r="BT3273" s="4">
        <v>0.38194444444444442</v>
      </c>
      <c r="BU3273" s="2" t="s">
        <v>973</v>
      </c>
      <c r="BV3273" s="2" t="s">
        <v>85</v>
      </c>
      <c r="BY3273" s="2">
        <v>1200</v>
      </c>
      <c r="BZ3273" s="2" t="s">
        <v>27</v>
      </c>
      <c r="CA3273" s="2" t="s">
        <v>231</v>
      </c>
      <c r="CC3273" s="2" t="s">
        <v>126</v>
      </c>
      <c r="CD3273" s="2">
        <v>4058</v>
      </c>
      <c r="CE3273" s="2" t="s">
        <v>95</v>
      </c>
      <c r="CF3273" s="3">
        <v>43096</v>
      </c>
      <c r="CI3273" s="2">
        <v>1</v>
      </c>
      <c r="CJ3273" s="2">
        <v>1</v>
      </c>
      <c r="CK3273" s="2">
        <v>31</v>
      </c>
      <c r="CL3273" s="2" t="s">
        <v>89</v>
      </c>
    </row>
    <row r="3274" spans="1:90">
      <c r="A3274" s="2" t="s">
        <v>71</v>
      </c>
      <c r="B3274" s="2" t="s">
        <v>72</v>
      </c>
      <c r="C3274" s="2" t="s">
        <v>73</v>
      </c>
      <c r="E3274" s="2" t="str">
        <f>"Rfes1162596899"</f>
        <v>Rfes1162596899</v>
      </c>
      <c r="F3274" s="3">
        <v>43090</v>
      </c>
      <c r="G3274" s="2">
        <v>201806</v>
      </c>
      <c r="H3274" s="2" t="s">
        <v>125</v>
      </c>
      <c r="I3274" s="2" t="s">
        <v>126</v>
      </c>
      <c r="J3274" s="2" t="s">
        <v>1034</v>
      </c>
      <c r="K3274" s="2" t="s">
        <v>77</v>
      </c>
      <c r="L3274" s="2" t="s">
        <v>74</v>
      </c>
      <c r="M3274" s="2" t="s">
        <v>75</v>
      </c>
      <c r="N3274" s="2" t="s">
        <v>97</v>
      </c>
      <c r="O3274" s="2" t="s">
        <v>101</v>
      </c>
      <c r="P3274" s="2" t="str">
        <f>"21706060970                   "</f>
        <v xml:space="preserve">21706060970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6.43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</v>
      </c>
      <c r="BJ3274" s="2">
        <v>0.2</v>
      </c>
      <c r="BK3274" s="2">
        <v>1</v>
      </c>
      <c r="BL3274" s="2">
        <v>45.93</v>
      </c>
      <c r="BM3274" s="2">
        <v>6.43</v>
      </c>
      <c r="BN3274" s="2">
        <v>52.36</v>
      </c>
      <c r="BO3274" s="2">
        <v>52.36</v>
      </c>
      <c r="BQ3274" s="2" t="s">
        <v>103</v>
      </c>
      <c r="BR3274" s="2" t="s">
        <v>128</v>
      </c>
      <c r="BS3274" s="3">
        <v>43091</v>
      </c>
      <c r="BT3274" s="4">
        <v>0.45694444444444443</v>
      </c>
      <c r="BU3274" s="2" t="s">
        <v>3050</v>
      </c>
      <c r="BV3274" s="2" t="s">
        <v>85</v>
      </c>
      <c r="BY3274" s="2">
        <v>1200</v>
      </c>
      <c r="CA3274" s="2" t="s">
        <v>366</v>
      </c>
      <c r="CC3274" s="2" t="s">
        <v>75</v>
      </c>
      <c r="CD3274" s="2">
        <v>1600</v>
      </c>
      <c r="CE3274" s="2" t="s">
        <v>120</v>
      </c>
      <c r="CF3274" s="3">
        <v>43091</v>
      </c>
      <c r="CI3274" s="2">
        <v>1</v>
      </c>
      <c r="CJ3274" s="2">
        <v>1</v>
      </c>
      <c r="CK3274" s="2">
        <v>21</v>
      </c>
      <c r="CL3274" s="2" t="s">
        <v>89</v>
      </c>
    </row>
    <row r="3275" spans="1:90">
      <c r="A3275" s="2" t="s">
        <v>71</v>
      </c>
      <c r="B3275" s="2" t="s">
        <v>72</v>
      </c>
      <c r="C3275" s="2" t="s">
        <v>73</v>
      </c>
      <c r="E3275" s="2" t="str">
        <f>"FES1162597599"</f>
        <v>FES1162597599</v>
      </c>
      <c r="F3275" s="3">
        <v>43091</v>
      </c>
      <c r="G3275" s="2">
        <v>201806</v>
      </c>
      <c r="H3275" s="2" t="s">
        <v>74</v>
      </c>
      <c r="I3275" s="2" t="s">
        <v>75</v>
      </c>
      <c r="J3275" s="2" t="s">
        <v>97</v>
      </c>
      <c r="K3275" s="2" t="s">
        <v>77</v>
      </c>
      <c r="L3275" s="2" t="s">
        <v>1085</v>
      </c>
      <c r="M3275" s="2" t="s">
        <v>174</v>
      </c>
      <c r="N3275" s="2" t="s">
        <v>1229</v>
      </c>
      <c r="O3275" s="2" t="s">
        <v>81</v>
      </c>
      <c r="P3275" s="2" t="str">
        <f>"2170603740                    "</f>
        <v xml:space="preserve">2170603740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31.21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2</v>
      </c>
      <c r="BI3275" s="2">
        <v>46.4</v>
      </c>
      <c r="BJ3275" s="2">
        <v>25.3</v>
      </c>
      <c r="BK3275" s="2">
        <v>47</v>
      </c>
      <c r="BL3275" s="2">
        <v>227.79</v>
      </c>
      <c r="BM3275" s="2">
        <v>31.89</v>
      </c>
      <c r="BN3275" s="2">
        <v>259.68</v>
      </c>
      <c r="BO3275" s="2">
        <v>259.68</v>
      </c>
      <c r="BQ3275" s="2" t="s">
        <v>229</v>
      </c>
      <c r="BR3275" s="2" t="s">
        <v>103</v>
      </c>
      <c r="BS3275" s="3">
        <v>43097</v>
      </c>
      <c r="BT3275" s="4">
        <v>0.33749999999999997</v>
      </c>
      <c r="BU3275" s="2" t="s">
        <v>2681</v>
      </c>
      <c r="BV3275" s="2" t="s">
        <v>89</v>
      </c>
      <c r="BW3275" s="2" t="s">
        <v>156</v>
      </c>
      <c r="BX3275" s="2" t="s">
        <v>839</v>
      </c>
      <c r="BY3275" s="2">
        <v>126655.92</v>
      </c>
      <c r="CA3275" s="2" t="s">
        <v>1389</v>
      </c>
      <c r="CC3275" s="2" t="s">
        <v>174</v>
      </c>
      <c r="CD3275" s="2">
        <v>7460</v>
      </c>
      <c r="CE3275" s="2" t="s">
        <v>95</v>
      </c>
      <c r="CF3275" s="3">
        <v>43097</v>
      </c>
      <c r="CI3275" s="2">
        <v>2</v>
      </c>
      <c r="CJ3275" s="2">
        <v>4</v>
      </c>
      <c r="CK3275" s="2" t="s">
        <v>271</v>
      </c>
      <c r="CL3275" s="2" t="s">
        <v>89</v>
      </c>
    </row>
    <row r="3276" spans="1:90">
      <c r="A3276" s="2" t="s">
        <v>71</v>
      </c>
      <c r="B3276" s="2" t="s">
        <v>72</v>
      </c>
      <c r="C3276" s="2" t="s">
        <v>73</v>
      </c>
      <c r="E3276" s="2" t="str">
        <f>"FES1162597607"</f>
        <v>FES1162597607</v>
      </c>
      <c r="F3276" s="3">
        <v>43091</v>
      </c>
      <c r="G3276" s="2">
        <v>201806</v>
      </c>
      <c r="H3276" s="2" t="s">
        <v>74</v>
      </c>
      <c r="I3276" s="2" t="s">
        <v>75</v>
      </c>
      <c r="J3276" s="2" t="s">
        <v>97</v>
      </c>
      <c r="K3276" s="2" t="s">
        <v>77</v>
      </c>
      <c r="L3276" s="2" t="s">
        <v>238</v>
      </c>
      <c r="M3276" s="2" t="s">
        <v>239</v>
      </c>
      <c r="N3276" s="2" t="s">
        <v>3051</v>
      </c>
      <c r="O3276" s="2" t="s">
        <v>81</v>
      </c>
      <c r="P3276" s="2" t="str">
        <f>"21706088203                   "</f>
        <v xml:space="preserve">21706088203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13.39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17.3</v>
      </c>
      <c r="BJ3276" s="2">
        <v>9.1</v>
      </c>
      <c r="BK3276" s="2">
        <v>18</v>
      </c>
      <c r="BL3276" s="2">
        <v>100.58</v>
      </c>
      <c r="BM3276" s="2">
        <v>14.08</v>
      </c>
      <c r="BN3276" s="2">
        <v>114.66</v>
      </c>
      <c r="BO3276" s="2">
        <v>114.66</v>
      </c>
      <c r="BQ3276" s="2" t="s">
        <v>3052</v>
      </c>
      <c r="BR3276" s="2" t="s">
        <v>103</v>
      </c>
      <c r="BS3276" s="2" t="s">
        <v>185</v>
      </c>
      <c r="BY3276" s="2">
        <v>45422.61</v>
      </c>
      <c r="CC3276" s="2" t="s">
        <v>239</v>
      </c>
      <c r="CD3276" s="2">
        <v>299</v>
      </c>
      <c r="CE3276" s="2" t="s">
        <v>95</v>
      </c>
      <c r="CI3276" s="2">
        <v>1</v>
      </c>
      <c r="CJ3276" s="2" t="s">
        <v>185</v>
      </c>
      <c r="CK3276" s="2" t="s">
        <v>88</v>
      </c>
      <c r="CL3276" s="2" t="s">
        <v>89</v>
      </c>
    </row>
    <row r="3277" spans="1:90">
      <c r="A3277" s="2" t="s">
        <v>71</v>
      </c>
      <c r="B3277" s="2" t="s">
        <v>72</v>
      </c>
      <c r="C3277" s="2" t="s">
        <v>73</v>
      </c>
      <c r="E3277" s="2" t="str">
        <f>"FES1162597633"</f>
        <v>FES1162597633</v>
      </c>
      <c r="F3277" s="3">
        <v>43091</v>
      </c>
      <c r="G3277" s="2">
        <v>201806</v>
      </c>
      <c r="H3277" s="2" t="s">
        <v>74</v>
      </c>
      <c r="I3277" s="2" t="s">
        <v>75</v>
      </c>
      <c r="J3277" s="2" t="s">
        <v>97</v>
      </c>
      <c r="K3277" s="2" t="s">
        <v>77</v>
      </c>
      <c r="L3277" s="2" t="s">
        <v>136</v>
      </c>
      <c r="M3277" s="2" t="s">
        <v>137</v>
      </c>
      <c r="N3277" s="2" t="s">
        <v>258</v>
      </c>
      <c r="O3277" s="2" t="s">
        <v>101</v>
      </c>
      <c r="P3277" s="2" t="str">
        <f>"2170608418                    "</f>
        <v xml:space="preserve">2170608418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57.88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16.7</v>
      </c>
      <c r="BJ3277" s="2">
        <v>18</v>
      </c>
      <c r="BK3277" s="2">
        <v>18</v>
      </c>
      <c r="BL3277" s="2">
        <v>413.22</v>
      </c>
      <c r="BM3277" s="2">
        <v>57.85</v>
      </c>
      <c r="BN3277" s="2">
        <v>471.07</v>
      </c>
      <c r="BO3277" s="2">
        <v>471.07</v>
      </c>
      <c r="BQ3277" s="2" t="s">
        <v>102</v>
      </c>
      <c r="BR3277" s="2" t="s">
        <v>103</v>
      </c>
      <c r="BS3277" s="3">
        <v>43096</v>
      </c>
      <c r="BT3277" s="4">
        <v>0.5</v>
      </c>
      <c r="BU3277" s="2" t="s">
        <v>2583</v>
      </c>
      <c r="BV3277" s="2" t="s">
        <v>89</v>
      </c>
      <c r="BW3277" s="2" t="s">
        <v>313</v>
      </c>
      <c r="BX3277" s="2" t="s">
        <v>314</v>
      </c>
      <c r="BY3277" s="2">
        <v>90230.91</v>
      </c>
      <c r="CC3277" s="2" t="s">
        <v>137</v>
      </c>
      <c r="CD3277" s="2">
        <v>6001</v>
      </c>
      <c r="CE3277" s="2" t="s">
        <v>95</v>
      </c>
      <c r="CF3277" s="3">
        <v>43097</v>
      </c>
      <c r="CI3277" s="2">
        <v>1</v>
      </c>
      <c r="CJ3277" s="2">
        <v>3</v>
      </c>
      <c r="CK3277" s="2">
        <v>21</v>
      </c>
      <c r="CL3277" s="2" t="s">
        <v>89</v>
      </c>
    </row>
    <row r="3278" spans="1:90">
      <c r="A3278" s="2" t="s">
        <v>71</v>
      </c>
      <c r="B3278" s="2" t="s">
        <v>72</v>
      </c>
      <c r="C3278" s="2" t="s">
        <v>73</v>
      </c>
      <c r="E3278" s="2" t="str">
        <f>"FES1162597551"</f>
        <v>FES1162597551</v>
      </c>
      <c r="F3278" s="3">
        <v>43091</v>
      </c>
      <c r="G3278" s="2">
        <v>201806</v>
      </c>
      <c r="H3278" s="2" t="s">
        <v>74</v>
      </c>
      <c r="I3278" s="2" t="s">
        <v>75</v>
      </c>
      <c r="J3278" s="2" t="s">
        <v>97</v>
      </c>
      <c r="K3278" s="2" t="s">
        <v>77</v>
      </c>
      <c r="L3278" s="2" t="s">
        <v>125</v>
      </c>
      <c r="M3278" s="2" t="s">
        <v>126</v>
      </c>
      <c r="N3278" s="2" t="s">
        <v>1034</v>
      </c>
      <c r="O3278" s="2" t="s">
        <v>101</v>
      </c>
      <c r="P3278" s="2" t="str">
        <f>"2170608787                    "</f>
        <v xml:space="preserve">2170608787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6.43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1</v>
      </c>
      <c r="BJ3278" s="2">
        <v>0.2</v>
      </c>
      <c r="BK3278" s="2">
        <v>1</v>
      </c>
      <c r="BL3278" s="2">
        <v>45.93</v>
      </c>
      <c r="BM3278" s="2">
        <v>6.43</v>
      </c>
      <c r="BN3278" s="2">
        <v>52.36</v>
      </c>
      <c r="BO3278" s="2">
        <v>52.36</v>
      </c>
      <c r="BQ3278" s="2" t="s">
        <v>128</v>
      </c>
      <c r="BR3278" s="2" t="s">
        <v>103</v>
      </c>
      <c r="BS3278" s="2" t="s">
        <v>185</v>
      </c>
      <c r="BY3278" s="2">
        <v>1200</v>
      </c>
      <c r="CC3278" s="2" t="s">
        <v>126</v>
      </c>
      <c r="CD3278" s="2">
        <v>4001</v>
      </c>
      <c r="CE3278" s="2" t="s">
        <v>120</v>
      </c>
      <c r="CI3278" s="2">
        <v>1</v>
      </c>
      <c r="CJ3278" s="2" t="s">
        <v>185</v>
      </c>
      <c r="CK3278" s="2">
        <v>21</v>
      </c>
      <c r="CL3278" s="2" t="s">
        <v>89</v>
      </c>
    </row>
    <row r="3279" spans="1:90">
      <c r="A3279" s="2" t="s">
        <v>71</v>
      </c>
      <c r="B3279" s="2" t="s">
        <v>72</v>
      </c>
      <c r="C3279" s="2" t="s">
        <v>73</v>
      </c>
      <c r="E3279" s="2" t="str">
        <f>"FES1162597562"</f>
        <v>FES1162597562</v>
      </c>
      <c r="F3279" s="3">
        <v>43091</v>
      </c>
      <c r="G3279" s="2">
        <v>201806</v>
      </c>
      <c r="H3279" s="2" t="s">
        <v>74</v>
      </c>
      <c r="I3279" s="2" t="s">
        <v>75</v>
      </c>
      <c r="J3279" s="2" t="s">
        <v>97</v>
      </c>
      <c r="K3279" s="2" t="s">
        <v>77</v>
      </c>
      <c r="L3279" s="2" t="s">
        <v>125</v>
      </c>
      <c r="M3279" s="2" t="s">
        <v>126</v>
      </c>
      <c r="N3279" s="2" t="s">
        <v>514</v>
      </c>
      <c r="O3279" s="2" t="s">
        <v>101</v>
      </c>
      <c r="P3279" s="2" t="str">
        <f>"217060873                     "</f>
        <v xml:space="preserve">217060873 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12.87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1.6</v>
      </c>
      <c r="BJ3279" s="2">
        <v>3.8</v>
      </c>
      <c r="BK3279" s="2">
        <v>4</v>
      </c>
      <c r="BL3279" s="2">
        <v>91.85</v>
      </c>
      <c r="BM3279" s="2">
        <v>12.86</v>
      </c>
      <c r="BN3279" s="2">
        <v>104.71</v>
      </c>
      <c r="BO3279" s="2">
        <v>104.71</v>
      </c>
      <c r="BQ3279" s="2" t="s">
        <v>515</v>
      </c>
      <c r="BR3279" s="2" t="s">
        <v>103</v>
      </c>
      <c r="BS3279" s="2" t="s">
        <v>185</v>
      </c>
      <c r="BY3279" s="2">
        <v>19098.11</v>
      </c>
      <c r="CC3279" s="2" t="s">
        <v>126</v>
      </c>
      <c r="CD3279" s="2">
        <v>4001</v>
      </c>
      <c r="CE3279" s="2" t="s">
        <v>120</v>
      </c>
      <c r="CI3279" s="2">
        <v>1</v>
      </c>
      <c r="CJ3279" s="2" t="s">
        <v>185</v>
      </c>
      <c r="CK3279" s="2">
        <v>21</v>
      </c>
      <c r="CL3279" s="2" t="s">
        <v>89</v>
      </c>
    </row>
    <row r="3280" spans="1:90">
      <c r="A3280" s="2" t="s">
        <v>71</v>
      </c>
      <c r="B3280" s="2" t="s">
        <v>72</v>
      </c>
      <c r="C3280" s="2" t="s">
        <v>73</v>
      </c>
      <c r="E3280" s="2" t="str">
        <f>"FES1162597583"</f>
        <v>FES1162597583</v>
      </c>
      <c r="F3280" s="3">
        <v>43091</v>
      </c>
      <c r="G3280" s="2">
        <v>201806</v>
      </c>
      <c r="H3280" s="2" t="s">
        <v>74</v>
      </c>
      <c r="I3280" s="2" t="s">
        <v>75</v>
      </c>
      <c r="J3280" s="2" t="s">
        <v>97</v>
      </c>
      <c r="K3280" s="2" t="s">
        <v>77</v>
      </c>
      <c r="L3280" s="2" t="s">
        <v>490</v>
      </c>
      <c r="M3280" s="2" t="s">
        <v>491</v>
      </c>
      <c r="N3280" s="2" t="s">
        <v>2201</v>
      </c>
      <c r="O3280" s="2" t="s">
        <v>101</v>
      </c>
      <c r="P3280" s="2" t="str">
        <f>"21706068618                   "</f>
        <v xml:space="preserve">21706068618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6.43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1</v>
      </c>
      <c r="BJ3280" s="2">
        <v>0.2</v>
      </c>
      <c r="BK3280" s="2">
        <v>1</v>
      </c>
      <c r="BL3280" s="2">
        <v>45.93</v>
      </c>
      <c r="BM3280" s="2">
        <v>6.43</v>
      </c>
      <c r="BN3280" s="2">
        <v>52.36</v>
      </c>
      <c r="BO3280" s="2">
        <v>52.36</v>
      </c>
      <c r="BR3280" s="2" t="s">
        <v>103</v>
      </c>
      <c r="BS3280" s="3">
        <v>43096</v>
      </c>
      <c r="BT3280" s="4">
        <v>0.42083333333333334</v>
      </c>
      <c r="BU3280" s="2" t="s">
        <v>2700</v>
      </c>
      <c r="BV3280" s="2" t="s">
        <v>89</v>
      </c>
      <c r="BW3280" s="2" t="s">
        <v>471</v>
      </c>
      <c r="BX3280" s="2" t="s">
        <v>1390</v>
      </c>
      <c r="BY3280" s="2">
        <v>1200</v>
      </c>
      <c r="CA3280" s="2" t="s">
        <v>2679</v>
      </c>
      <c r="CC3280" s="2" t="s">
        <v>491</v>
      </c>
      <c r="CD3280" s="2">
        <v>3699</v>
      </c>
      <c r="CE3280" s="2" t="s">
        <v>120</v>
      </c>
      <c r="CF3280" s="3">
        <v>43096</v>
      </c>
      <c r="CI3280" s="2">
        <v>1</v>
      </c>
      <c r="CJ3280" s="2">
        <v>3</v>
      </c>
      <c r="CK3280" s="2">
        <v>21</v>
      </c>
      <c r="CL3280" s="2" t="s">
        <v>89</v>
      </c>
    </row>
    <row r="3281" spans="1:90">
      <c r="A3281" s="2" t="s">
        <v>71</v>
      </c>
      <c r="B3281" s="2" t="s">
        <v>72</v>
      </c>
      <c r="C3281" s="2" t="s">
        <v>73</v>
      </c>
      <c r="E3281" s="2" t="str">
        <f>"FES1162597635"</f>
        <v>FES1162597635</v>
      </c>
      <c r="F3281" s="3">
        <v>43091</v>
      </c>
      <c r="G3281" s="2">
        <v>201806</v>
      </c>
      <c r="H3281" s="2" t="s">
        <v>74</v>
      </c>
      <c r="I3281" s="2" t="s">
        <v>75</v>
      </c>
      <c r="J3281" s="2" t="s">
        <v>97</v>
      </c>
      <c r="K3281" s="2" t="s">
        <v>77</v>
      </c>
      <c r="L3281" s="2" t="s">
        <v>136</v>
      </c>
      <c r="M3281" s="2" t="s">
        <v>137</v>
      </c>
      <c r="N3281" s="2" t="s">
        <v>1586</v>
      </c>
      <c r="O3281" s="2" t="s">
        <v>101</v>
      </c>
      <c r="P3281" s="2" t="str">
        <f>"2170608846                    "</f>
        <v xml:space="preserve">2170608846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6.43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1.3</v>
      </c>
      <c r="BJ3281" s="2">
        <v>1.9</v>
      </c>
      <c r="BK3281" s="2">
        <v>2</v>
      </c>
      <c r="BL3281" s="2">
        <v>45.93</v>
      </c>
      <c r="BM3281" s="2">
        <v>6.43</v>
      </c>
      <c r="BN3281" s="2">
        <v>52.36</v>
      </c>
      <c r="BO3281" s="2">
        <v>52.36</v>
      </c>
      <c r="BQ3281" s="2" t="s">
        <v>82</v>
      </c>
      <c r="BR3281" s="2" t="s">
        <v>103</v>
      </c>
      <c r="BS3281" s="3">
        <v>43097</v>
      </c>
      <c r="BT3281" s="4">
        <v>0.4236111111111111</v>
      </c>
      <c r="BU3281" s="2" t="s">
        <v>3053</v>
      </c>
      <c r="BV3281" s="2" t="s">
        <v>89</v>
      </c>
      <c r="BW3281" s="2" t="s">
        <v>313</v>
      </c>
      <c r="BX3281" s="2" t="s">
        <v>314</v>
      </c>
      <c r="BY3281" s="2">
        <v>9480.24</v>
      </c>
      <c r="CA3281" s="2" t="s">
        <v>767</v>
      </c>
      <c r="CC3281" s="2" t="s">
        <v>137</v>
      </c>
      <c r="CD3281" s="2">
        <v>6045</v>
      </c>
      <c r="CE3281" s="2" t="s">
        <v>1004</v>
      </c>
      <c r="CF3281" s="3">
        <v>43097</v>
      </c>
      <c r="CI3281" s="2">
        <v>1</v>
      </c>
      <c r="CJ3281" s="2">
        <v>4</v>
      </c>
      <c r="CK3281" s="2">
        <v>21</v>
      </c>
      <c r="CL3281" s="2" t="s">
        <v>89</v>
      </c>
    </row>
    <row r="3282" spans="1:90">
      <c r="A3282" s="2" t="s">
        <v>71</v>
      </c>
      <c r="B3282" s="2" t="s">
        <v>72</v>
      </c>
      <c r="C3282" s="2" t="s">
        <v>73</v>
      </c>
      <c r="E3282" s="2" t="str">
        <f>"FES1162597630"</f>
        <v>FES1162597630</v>
      </c>
      <c r="F3282" s="3">
        <v>43091</v>
      </c>
      <c r="G3282" s="2">
        <v>201806</v>
      </c>
      <c r="H3282" s="2" t="s">
        <v>74</v>
      </c>
      <c r="I3282" s="2" t="s">
        <v>75</v>
      </c>
      <c r="J3282" s="2" t="s">
        <v>97</v>
      </c>
      <c r="K3282" s="2" t="s">
        <v>77</v>
      </c>
      <c r="L3282" s="2" t="s">
        <v>173</v>
      </c>
      <c r="M3282" s="2" t="s">
        <v>174</v>
      </c>
      <c r="N3282" s="2" t="s">
        <v>175</v>
      </c>
      <c r="O3282" s="2" t="s">
        <v>101</v>
      </c>
      <c r="P3282" s="2" t="str">
        <f>"2170608840                    "</f>
        <v xml:space="preserve">2170608840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6.43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45.93</v>
      </c>
      <c r="BM3282" s="2">
        <v>6.43</v>
      </c>
      <c r="BN3282" s="2">
        <v>52.36</v>
      </c>
      <c r="BO3282" s="2">
        <v>52.36</v>
      </c>
      <c r="BQ3282" s="2" t="s">
        <v>102</v>
      </c>
      <c r="BR3282" s="2" t="s">
        <v>103</v>
      </c>
      <c r="BS3282" s="2" t="s">
        <v>185</v>
      </c>
      <c r="BY3282" s="2">
        <v>1200</v>
      </c>
      <c r="CC3282" s="2" t="s">
        <v>174</v>
      </c>
      <c r="CD3282" s="2">
        <v>7405</v>
      </c>
      <c r="CE3282" s="2" t="s">
        <v>120</v>
      </c>
      <c r="CI3282" s="2">
        <v>1</v>
      </c>
      <c r="CJ3282" s="2" t="s">
        <v>185</v>
      </c>
      <c r="CK3282" s="2">
        <v>21</v>
      </c>
      <c r="CL3282" s="2" t="s">
        <v>89</v>
      </c>
    </row>
    <row r="3283" spans="1:90">
      <c r="A3283" s="2" t="s">
        <v>71</v>
      </c>
      <c r="B3283" s="2" t="s">
        <v>72</v>
      </c>
      <c r="C3283" s="2" t="s">
        <v>73</v>
      </c>
      <c r="E3283" s="2" t="str">
        <f>"FES1162597558"</f>
        <v>FES1162597558</v>
      </c>
      <c r="F3283" s="3">
        <v>43091</v>
      </c>
      <c r="G3283" s="2">
        <v>201806</v>
      </c>
      <c r="H3283" s="2" t="s">
        <v>74</v>
      </c>
      <c r="I3283" s="2" t="s">
        <v>75</v>
      </c>
      <c r="J3283" s="2" t="s">
        <v>97</v>
      </c>
      <c r="K3283" s="2" t="s">
        <v>77</v>
      </c>
      <c r="L3283" s="2" t="s">
        <v>682</v>
      </c>
      <c r="M3283" s="2" t="s">
        <v>683</v>
      </c>
      <c r="N3283" s="2" t="s">
        <v>684</v>
      </c>
      <c r="O3283" s="2" t="s">
        <v>101</v>
      </c>
      <c r="P3283" s="2" t="str">
        <f>"2170608793                    "</f>
        <v xml:space="preserve">2170608793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20.91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0.7</v>
      </c>
      <c r="BJ3283" s="2">
        <v>3.5</v>
      </c>
      <c r="BK3283" s="2">
        <v>3.5</v>
      </c>
      <c r="BL3283" s="2">
        <v>149.28</v>
      </c>
      <c r="BM3283" s="2">
        <v>20.9</v>
      </c>
      <c r="BN3283" s="2">
        <v>170.18</v>
      </c>
      <c r="BO3283" s="2">
        <v>170.18</v>
      </c>
      <c r="BQ3283" s="2" t="s">
        <v>128</v>
      </c>
      <c r="BR3283" s="2" t="s">
        <v>103</v>
      </c>
      <c r="BS3283" s="2" t="s">
        <v>185</v>
      </c>
      <c r="BY3283" s="2">
        <v>17461.43</v>
      </c>
      <c r="CC3283" s="2" t="s">
        <v>683</v>
      </c>
      <c r="CD3283" s="2">
        <v>6300</v>
      </c>
      <c r="CE3283" s="2" t="s">
        <v>120</v>
      </c>
      <c r="CI3283" s="2">
        <v>3</v>
      </c>
      <c r="CJ3283" s="2" t="s">
        <v>185</v>
      </c>
      <c r="CK3283" s="2">
        <v>23</v>
      </c>
      <c r="CL3283" s="2" t="s">
        <v>89</v>
      </c>
    </row>
    <row r="3284" spans="1:90">
      <c r="A3284" s="2" t="s">
        <v>71</v>
      </c>
      <c r="B3284" s="2" t="s">
        <v>72</v>
      </c>
      <c r="C3284" s="2" t="s">
        <v>73</v>
      </c>
      <c r="E3284" s="2" t="str">
        <f>"FES1162597609"</f>
        <v>FES1162597609</v>
      </c>
      <c r="F3284" s="3">
        <v>43091</v>
      </c>
      <c r="G3284" s="2">
        <v>201806</v>
      </c>
      <c r="H3284" s="2" t="s">
        <v>74</v>
      </c>
      <c r="I3284" s="2" t="s">
        <v>75</v>
      </c>
      <c r="J3284" s="2" t="s">
        <v>97</v>
      </c>
      <c r="K3284" s="2" t="s">
        <v>77</v>
      </c>
      <c r="L3284" s="2" t="s">
        <v>759</v>
      </c>
      <c r="M3284" s="2" t="s">
        <v>760</v>
      </c>
      <c r="N3284" s="2" t="s">
        <v>761</v>
      </c>
      <c r="O3284" s="2" t="s">
        <v>101</v>
      </c>
      <c r="P3284" s="2" t="str">
        <f>"2170608768                    "</f>
        <v xml:space="preserve">2170608768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8.0399999999999991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2.1</v>
      </c>
      <c r="BJ3284" s="2">
        <v>1</v>
      </c>
      <c r="BK3284" s="2">
        <v>2.5</v>
      </c>
      <c r="BL3284" s="2">
        <v>57.41</v>
      </c>
      <c r="BM3284" s="2">
        <v>8.0399999999999991</v>
      </c>
      <c r="BN3284" s="2">
        <v>65.45</v>
      </c>
      <c r="BO3284" s="2">
        <v>65.45</v>
      </c>
      <c r="BQ3284" s="2" t="s">
        <v>82</v>
      </c>
      <c r="BR3284" s="2" t="s">
        <v>103</v>
      </c>
      <c r="BS3284" s="3">
        <v>43096</v>
      </c>
      <c r="BT3284" s="4">
        <v>0.32013888888888892</v>
      </c>
      <c r="BU3284" s="2" t="s">
        <v>1284</v>
      </c>
      <c r="BV3284" s="2" t="s">
        <v>89</v>
      </c>
      <c r="BY3284" s="2">
        <v>5201.28</v>
      </c>
      <c r="CA3284" s="2" t="s">
        <v>578</v>
      </c>
      <c r="CC3284" s="2" t="s">
        <v>760</v>
      </c>
      <c r="CD3284" s="2">
        <v>4026</v>
      </c>
      <c r="CE3284" s="2" t="s">
        <v>1004</v>
      </c>
      <c r="CF3284" s="3">
        <v>43097</v>
      </c>
      <c r="CI3284" s="2">
        <v>1</v>
      </c>
      <c r="CJ3284" s="2">
        <v>3</v>
      </c>
      <c r="CK3284" s="2">
        <v>21</v>
      </c>
      <c r="CL3284" s="2" t="s">
        <v>89</v>
      </c>
    </row>
    <row r="3285" spans="1:90">
      <c r="A3285" s="2" t="s">
        <v>71</v>
      </c>
      <c r="B3285" s="2" t="s">
        <v>72</v>
      </c>
      <c r="C3285" s="2" t="s">
        <v>73</v>
      </c>
      <c r="E3285" s="2" t="str">
        <f>"FES1162597565"</f>
        <v>FES1162597565</v>
      </c>
      <c r="F3285" s="3">
        <v>43091</v>
      </c>
      <c r="G3285" s="2">
        <v>201806</v>
      </c>
      <c r="H3285" s="2" t="s">
        <v>74</v>
      </c>
      <c r="I3285" s="2" t="s">
        <v>75</v>
      </c>
      <c r="J3285" s="2" t="s">
        <v>97</v>
      </c>
      <c r="K3285" s="2" t="s">
        <v>77</v>
      </c>
      <c r="L3285" s="2" t="s">
        <v>74</v>
      </c>
      <c r="M3285" s="2" t="s">
        <v>75</v>
      </c>
      <c r="N3285" s="2" t="s">
        <v>3054</v>
      </c>
      <c r="O3285" s="2" t="s">
        <v>101</v>
      </c>
      <c r="P3285" s="2" t="str">
        <f>"2170606017                    "</f>
        <v xml:space="preserve">2170606017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5.03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</v>
      </c>
      <c r="BJ3285" s="2">
        <v>0.2</v>
      </c>
      <c r="BK3285" s="2">
        <v>1</v>
      </c>
      <c r="BL3285" s="2">
        <v>35.89</v>
      </c>
      <c r="BM3285" s="2">
        <v>5.0199999999999996</v>
      </c>
      <c r="BN3285" s="2">
        <v>40.909999999999997</v>
      </c>
      <c r="BO3285" s="2">
        <v>40.909999999999997</v>
      </c>
      <c r="BQ3285" s="2" t="s">
        <v>3055</v>
      </c>
      <c r="BR3285" s="2" t="s">
        <v>103</v>
      </c>
      <c r="BS3285" s="3">
        <v>43096</v>
      </c>
      <c r="BT3285" s="4">
        <v>0.41388888888888892</v>
      </c>
      <c r="BU3285" s="2" t="s">
        <v>3056</v>
      </c>
      <c r="BV3285" s="2" t="s">
        <v>89</v>
      </c>
      <c r="BW3285" s="2" t="s">
        <v>149</v>
      </c>
      <c r="BX3285" s="2" t="s">
        <v>157</v>
      </c>
      <c r="BY3285" s="2">
        <v>1200</v>
      </c>
      <c r="CA3285" s="2" t="s">
        <v>366</v>
      </c>
      <c r="CC3285" s="2" t="s">
        <v>75</v>
      </c>
      <c r="CD3285" s="2">
        <v>1601</v>
      </c>
      <c r="CE3285" s="2" t="s">
        <v>120</v>
      </c>
      <c r="CF3285" s="3">
        <v>43098</v>
      </c>
      <c r="CI3285" s="2">
        <v>1</v>
      </c>
      <c r="CJ3285" s="2">
        <v>3</v>
      </c>
      <c r="CK3285" s="2">
        <v>22</v>
      </c>
      <c r="CL3285" s="2" t="s">
        <v>89</v>
      </c>
    </row>
    <row r="3286" spans="1:90">
      <c r="A3286" s="2" t="s">
        <v>71</v>
      </c>
      <c r="B3286" s="2" t="s">
        <v>72</v>
      </c>
      <c r="C3286" s="2" t="s">
        <v>73</v>
      </c>
      <c r="E3286" s="2" t="str">
        <f>"FES1162597620"</f>
        <v>FES1162597620</v>
      </c>
      <c r="F3286" s="3">
        <v>43091</v>
      </c>
      <c r="G3286" s="2">
        <v>201806</v>
      </c>
      <c r="H3286" s="2" t="s">
        <v>74</v>
      </c>
      <c r="I3286" s="2" t="s">
        <v>75</v>
      </c>
      <c r="J3286" s="2" t="s">
        <v>97</v>
      </c>
      <c r="K3286" s="2" t="s">
        <v>77</v>
      </c>
      <c r="L3286" s="2" t="s">
        <v>125</v>
      </c>
      <c r="M3286" s="2" t="s">
        <v>126</v>
      </c>
      <c r="N3286" s="2" t="s">
        <v>1034</v>
      </c>
      <c r="O3286" s="2" t="s">
        <v>101</v>
      </c>
      <c r="P3286" s="2" t="str">
        <f>"2170608830                    "</f>
        <v xml:space="preserve">2170608830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12.87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3.8</v>
      </c>
      <c r="BJ3286" s="2">
        <v>1.4</v>
      </c>
      <c r="BK3286" s="2">
        <v>4</v>
      </c>
      <c r="BL3286" s="2">
        <v>91.85</v>
      </c>
      <c r="BM3286" s="2">
        <v>12.86</v>
      </c>
      <c r="BN3286" s="2">
        <v>104.71</v>
      </c>
      <c r="BO3286" s="2">
        <v>104.71</v>
      </c>
      <c r="BQ3286" s="2" t="s">
        <v>128</v>
      </c>
      <c r="BR3286" s="2" t="s">
        <v>103</v>
      </c>
      <c r="BS3286" s="2" t="s">
        <v>185</v>
      </c>
      <c r="BY3286" s="2">
        <v>7148.98</v>
      </c>
      <c r="CC3286" s="2" t="s">
        <v>126</v>
      </c>
      <c r="CD3286" s="2">
        <v>4001</v>
      </c>
      <c r="CE3286" s="2" t="s">
        <v>95</v>
      </c>
      <c r="CI3286" s="2">
        <v>1</v>
      </c>
      <c r="CJ3286" s="2" t="s">
        <v>185</v>
      </c>
      <c r="CK3286" s="2">
        <v>21</v>
      </c>
      <c r="CL3286" s="2" t="s">
        <v>89</v>
      </c>
    </row>
    <row r="3287" spans="1:90">
      <c r="A3287" s="2" t="s">
        <v>71</v>
      </c>
      <c r="B3287" s="2" t="s">
        <v>72</v>
      </c>
      <c r="C3287" s="2" t="s">
        <v>73</v>
      </c>
      <c r="E3287" s="2" t="str">
        <f>"FES1162597617"</f>
        <v>FES1162597617</v>
      </c>
      <c r="F3287" s="3">
        <v>43091</v>
      </c>
      <c r="G3287" s="2">
        <v>201806</v>
      </c>
      <c r="H3287" s="2" t="s">
        <v>74</v>
      </c>
      <c r="I3287" s="2" t="s">
        <v>75</v>
      </c>
      <c r="J3287" s="2" t="s">
        <v>97</v>
      </c>
      <c r="K3287" s="2" t="s">
        <v>77</v>
      </c>
      <c r="L3287" s="2" t="s">
        <v>131</v>
      </c>
      <c r="M3287" s="2" t="s">
        <v>132</v>
      </c>
      <c r="N3287" s="2" t="s">
        <v>228</v>
      </c>
      <c r="O3287" s="2" t="s">
        <v>101</v>
      </c>
      <c r="P3287" s="2" t="str">
        <f>"2170608829                    "</f>
        <v xml:space="preserve">2170608829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41.81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2</v>
      </c>
      <c r="BI3287" s="2">
        <v>11</v>
      </c>
      <c r="BJ3287" s="2">
        <v>12.8</v>
      </c>
      <c r="BK3287" s="2">
        <v>13</v>
      </c>
      <c r="BL3287" s="2">
        <v>298.45</v>
      </c>
      <c r="BM3287" s="2">
        <v>41.78</v>
      </c>
      <c r="BN3287" s="2">
        <v>340.23</v>
      </c>
      <c r="BO3287" s="2">
        <v>340.23</v>
      </c>
      <c r="BQ3287" s="2" t="s">
        <v>229</v>
      </c>
      <c r="BR3287" s="2" t="s">
        <v>103</v>
      </c>
      <c r="BS3287" s="2" t="s">
        <v>185</v>
      </c>
      <c r="BY3287" s="2">
        <v>64185.24</v>
      </c>
      <c r="CC3287" s="2" t="s">
        <v>132</v>
      </c>
      <c r="CD3287" s="2">
        <v>4300</v>
      </c>
      <c r="CE3287" s="2" t="s">
        <v>95</v>
      </c>
      <c r="CI3287" s="2">
        <v>1</v>
      </c>
      <c r="CJ3287" s="2" t="s">
        <v>185</v>
      </c>
      <c r="CK3287" s="2">
        <v>21</v>
      </c>
      <c r="CL3287" s="2" t="s">
        <v>89</v>
      </c>
    </row>
    <row r="3288" spans="1:90">
      <c r="A3288" s="2" t="s">
        <v>71</v>
      </c>
      <c r="B3288" s="2" t="s">
        <v>72</v>
      </c>
      <c r="C3288" s="2" t="s">
        <v>73</v>
      </c>
      <c r="E3288" s="2" t="str">
        <f>"FES1162597631"</f>
        <v>FES1162597631</v>
      </c>
      <c r="F3288" s="3">
        <v>43091</v>
      </c>
      <c r="G3288" s="2">
        <v>201806</v>
      </c>
      <c r="H3288" s="2" t="s">
        <v>74</v>
      </c>
      <c r="I3288" s="2" t="s">
        <v>75</v>
      </c>
      <c r="J3288" s="2" t="s">
        <v>97</v>
      </c>
      <c r="K3288" s="2" t="s">
        <v>77</v>
      </c>
      <c r="L3288" s="2" t="s">
        <v>173</v>
      </c>
      <c r="M3288" s="2" t="s">
        <v>174</v>
      </c>
      <c r="N3288" s="2" t="s">
        <v>175</v>
      </c>
      <c r="O3288" s="2" t="s">
        <v>101</v>
      </c>
      <c r="P3288" s="2" t="str">
        <f>"2170608842                    "</f>
        <v xml:space="preserve">2170608842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6.43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1.2</v>
      </c>
      <c r="BJ3288" s="2">
        <v>1.6</v>
      </c>
      <c r="BK3288" s="2">
        <v>2</v>
      </c>
      <c r="BL3288" s="2">
        <v>45.93</v>
      </c>
      <c r="BM3288" s="2">
        <v>6.43</v>
      </c>
      <c r="BN3288" s="2">
        <v>52.36</v>
      </c>
      <c r="BO3288" s="2">
        <v>52.36</v>
      </c>
      <c r="BQ3288" s="2" t="s">
        <v>102</v>
      </c>
      <c r="BR3288" s="2" t="s">
        <v>103</v>
      </c>
      <c r="BS3288" s="2" t="s">
        <v>185</v>
      </c>
      <c r="BY3288" s="2">
        <v>8044.53</v>
      </c>
      <c r="CC3288" s="2" t="s">
        <v>174</v>
      </c>
      <c r="CD3288" s="2">
        <v>7405</v>
      </c>
      <c r="CE3288" s="2" t="s">
        <v>95</v>
      </c>
      <c r="CI3288" s="2">
        <v>1</v>
      </c>
      <c r="CJ3288" s="2" t="s">
        <v>185</v>
      </c>
      <c r="CK3288" s="2">
        <v>21</v>
      </c>
      <c r="CL3288" s="2" t="s">
        <v>89</v>
      </c>
    </row>
    <row r="3289" spans="1:90">
      <c r="A3289" s="2" t="s">
        <v>71</v>
      </c>
      <c r="B3289" s="2" t="s">
        <v>72</v>
      </c>
      <c r="C3289" s="2" t="s">
        <v>73</v>
      </c>
      <c r="E3289" s="2" t="str">
        <f>"FES1162597627"</f>
        <v>FES1162597627</v>
      </c>
      <c r="F3289" s="3">
        <v>43091</v>
      </c>
      <c r="G3289" s="2">
        <v>201806</v>
      </c>
      <c r="H3289" s="2" t="s">
        <v>74</v>
      </c>
      <c r="I3289" s="2" t="s">
        <v>75</v>
      </c>
      <c r="J3289" s="2" t="s">
        <v>97</v>
      </c>
      <c r="K3289" s="2" t="s">
        <v>77</v>
      </c>
      <c r="L3289" s="2" t="s">
        <v>136</v>
      </c>
      <c r="M3289" s="2" t="s">
        <v>137</v>
      </c>
      <c r="N3289" s="2" t="s">
        <v>1586</v>
      </c>
      <c r="O3289" s="2" t="s">
        <v>101</v>
      </c>
      <c r="P3289" s="2" t="str">
        <f>"2170608838                    "</f>
        <v xml:space="preserve">2170608838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6.43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1.3</v>
      </c>
      <c r="BJ3289" s="2">
        <v>1.8</v>
      </c>
      <c r="BK3289" s="2">
        <v>2</v>
      </c>
      <c r="BL3289" s="2">
        <v>45.93</v>
      </c>
      <c r="BM3289" s="2">
        <v>6.43</v>
      </c>
      <c r="BN3289" s="2">
        <v>52.36</v>
      </c>
      <c r="BO3289" s="2">
        <v>52.36</v>
      </c>
      <c r="BQ3289" s="2" t="s">
        <v>82</v>
      </c>
      <c r="BR3289" s="2" t="s">
        <v>103</v>
      </c>
      <c r="BS3289" s="3">
        <v>43097</v>
      </c>
      <c r="BT3289" s="4">
        <v>0.4375</v>
      </c>
      <c r="BU3289" s="2" t="s">
        <v>3053</v>
      </c>
      <c r="BV3289" s="2" t="s">
        <v>89</v>
      </c>
      <c r="BW3289" s="2" t="s">
        <v>313</v>
      </c>
      <c r="BX3289" s="2" t="s">
        <v>314</v>
      </c>
      <c r="BY3289" s="2">
        <v>9069.06</v>
      </c>
      <c r="CA3289" s="2" t="s">
        <v>767</v>
      </c>
      <c r="CC3289" s="2" t="s">
        <v>137</v>
      </c>
      <c r="CD3289" s="2">
        <v>6045</v>
      </c>
      <c r="CE3289" s="2" t="s">
        <v>1004</v>
      </c>
      <c r="CF3289" s="3">
        <v>43097</v>
      </c>
      <c r="CI3289" s="2">
        <v>1</v>
      </c>
      <c r="CJ3289" s="2">
        <v>4</v>
      </c>
      <c r="CK3289" s="2">
        <v>21</v>
      </c>
      <c r="CL3289" s="2" t="s">
        <v>89</v>
      </c>
    </row>
    <row r="3290" spans="1:90">
      <c r="A3290" s="2" t="s">
        <v>71</v>
      </c>
      <c r="B3290" s="2" t="s">
        <v>72</v>
      </c>
      <c r="C3290" s="2" t="s">
        <v>73</v>
      </c>
      <c r="E3290" s="2" t="str">
        <f>"FES1162597564"</f>
        <v>FES1162597564</v>
      </c>
      <c r="F3290" s="3">
        <v>43091</v>
      </c>
      <c r="G3290" s="2">
        <v>201806</v>
      </c>
      <c r="H3290" s="2" t="s">
        <v>74</v>
      </c>
      <c r="I3290" s="2" t="s">
        <v>75</v>
      </c>
      <c r="J3290" s="2" t="s">
        <v>97</v>
      </c>
      <c r="K3290" s="2" t="s">
        <v>77</v>
      </c>
      <c r="L3290" s="2" t="s">
        <v>74</v>
      </c>
      <c r="M3290" s="2" t="s">
        <v>75</v>
      </c>
      <c r="N3290" s="2" t="s">
        <v>3054</v>
      </c>
      <c r="O3290" s="2" t="s">
        <v>101</v>
      </c>
      <c r="P3290" s="2" t="str">
        <f>"21706015                      "</f>
        <v xml:space="preserve">21706015  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5.03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35.89</v>
      </c>
      <c r="BM3290" s="2">
        <v>5.0199999999999996</v>
      </c>
      <c r="BN3290" s="2">
        <v>40.909999999999997</v>
      </c>
      <c r="BO3290" s="2">
        <v>40.909999999999997</v>
      </c>
      <c r="BQ3290" s="2" t="s">
        <v>3055</v>
      </c>
      <c r="BR3290" s="2" t="s">
        <v>103</v>
      </c>
      <c r="BS3290" s="3">
        <v>43096</v>
      </c>
      <c r="BT3290" s="4">
        <v>0.41388888888888892</v>
      </c>
      <c r="BU3290" s="2" t="s">
        <v>3056</v>
      </c>
      <c r="BV3290" s="2" t="s">
        <v>89</v>
      </c>
      <c r="BW3290" s="2" t="s">
        <v>149</v>
      </c>
      <c r="BX3290" s="2" t="s">
        <v>157</v>
      </c>
      <c r="BY3290" s="2">
        <v>1200</v>
      </c>
      <c r="CA3290" s="2" t="s">
        <v>366</v>
      </c>
      <c r="CC3290" s="2" t="s">
        <v>75</v>
      </c>
      <c r="CD3290" s="2">
        <v>1601</v>
      </c>
      <c r="CE3290" s="2" t="s">
        <v>120</v>
      </c>
      <c r="CF3290" s="3">
        <v>43098</v>
      </c>
      <c r="CI3290" s="2">
        <v>1</v>
      </c>
      <c r="CJ3290" s="2">
        <v>3</v>
      </c>
      <c r="CK3290" s="2">
        <v>22</v>
      </c>
      <c r="CL3290" s="2" t="s">
        <v>89</v>
      </c>
    </row>
    <row r="3291" spans="1:90">
      <c r="A3291" s="2" t="s">
        <v>71</v>
      </c>
      <c r="B3291" s="2" t="s">
        <v>72</v>
      </c>
      <c r="C3291" s="2" t="s">
        <v>73</v>
      </c>
      <c r="E3291" s="2" t="str">
        <f>"FES1162597588"</f>
        <v>FES1162597588</v>
      </c>
      <c r="F3291" s="3">
        <v>43091</v>
      </c>
      <c r="G3291" s="2">
        <v>201806</v>
      </c>
      <c r="H3291" s="2" t="s">
        <v>74</v>
      </c>
      <c r="I3291" s="2" t="s">
        <v>75</v>
      </c>
      <c r="J3291" s="2" t="s">
        <v>97</v>
      </c>
      <c r="K3291" s="2" t="s">
        <v>77</v>
      </c>
      <c r="L3291" s="2" t="s">
        <v>136</v>
      </c>
      <c r="M3291" s="2" t="s">
        <v>137</v>
      </c>
      <c r="N3291" s="2" t="s">
        <v>258</v>
      </c>
      <c r="O3291" s="2" t="s">
        <v>101</v>
      </c>
      <c r="P3291" s="2" t="str">
        <f>"2170608735                    "</f>
        <v xml:space="preserve">2170608735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8.0399999999999991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2.2000000000000002</v>
      </c>
      <c r="BJ3291" s="2">
        <v>2.2999999999999998</v>
      </c>
      <c r="BK3291" s="2">
        <v>2.5</v>
      </c>
      <c r="BL3291" s="2">
        <v>57.41</v>
      </c>
      <c r="BM3291" s="2">
        <v>8.0399999999999991</v>
      </c>
      <c r="BN3291" s="2">
        <v>65.45</v>
      </c>
      <c r="BO3291" s="2">
        <v>65.45</v>
      </c>
      <c r="BQ3291" s="2" t="s">
        <v>102</v>
      </c>
      <c r="BR3291" s="2" t="s">
        <v>103</v>
      </c>
      <c r="BS3291" s="3">
        <v>43096</v>
      </c>
      <c r="BT3291" s="4">
        <v>0.5</v>
      </c>
      <c r="BU3291" s="2" t="s">
        <v>2583</v>
      </c>
      <c r="BV3291" s="2" t="s">
        <v>89</v>
      </c>
      <c r="BW3291" s="2" t="s">
        <v>313</v>
      </c>
      <c r="BX3291" s="2" t="s">
        <v>314</v>
      </c>
      <c r="BY3291" s="2">
        <v>11400.48</v>
      </c>
      <c r="CC3291" s="2" t="s">
        <v>137</v>
      </c>
      <c r="CD3291" s="2">
        <v>6001</v>
      </c>
      <c r="CE3291" s="2" t="s">
        <v>120</v>
      </c>
      <c r="CF3291" s="3">
        <v>43097</v>
      </c>
      <c r="CI3291" s="2">
        <v>1</v>
      </c>
      <c r="CJ3291" s="2">
        <v>3</v>
      </c>
      <c r="CK3291" s="2">
        <v>21</v>
      </c>
      <c r="CL3291" s="2" t="s">
        <v>89</v>
      </c>
    </row>
    <row r="3292" spans="1:90">
      <c r="A3292" s="2" t="s">
        <v>71</v>
      </c>
      <c r="B3292" s="2" t="s">
        <v>72</v>
      </c>
      <c r="C3292" s="2" t="s">
        <v>73</v>
      </c>
      <c r="E3292" s="2" t="str">
        <f>"FES1162597622"</f>
        <v>FES1162597622</v>
      </c>
      <c r="F3292" s="3">
        <v>43091</v>
      </c>
      <c r="G3292" s="2">
        <v>201806</v>
      </c>
      <c r="H3292" s="2" t="s">
        <v>74</v>
      </c>
      <c r="I3292" s="2" t="s">
        <v>75</v>
      </c>
      <c r="J3292" s="2" t="s">
        <v>97</v>
      </c>
      <c r="K3292" s="2" t="s">
        <v>77</v>
      </c>
      <c r="L3292" s="2" t="s">
        <v>173</v>
      </c>
      <c r="M3292" s="2" t="s">
        <v>174</v>
      </c>
      <c r="N3292" s="2" t="s">
        <v>1622</v>
      </c>
      <c r="O3292" s="2" t="s">
        <v>101</v>
      </c>
      <c r="P3292" s="2" t="str">
        <f>"2170608832                    "</f>
        <v xml:space="preserve">2170608832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6.43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0.5</v>
      </c>
      <c r="BJ3292" s="2">
        <v>0.2</v>
      </c>
      <c r="BK3292" s="2">
        <v>0.5</v>
      </c>
      <c r="BL3292" s="2">
        <v>45.93</v>
      </c>
      <c r="BM3292" s="2">
        <v>6.43</v>
      </c>
      <c r="BN3292" s="2">
        <v>52.36</v>
      </c>
      <c r="BO3292" s="2">
        <v>52.36</v>
      </c>
      <c r="BR3292" s="2" t="s">
        <v>103</v>
      </c>
      <c r="BS3292" s="2" t="s">
        <v>185</v>
      </c>
      <c r="BY3292" s="2">
        <v>1200</v>
      </c>
      <c r="CC3292" s="2" t="s">
        <v>174</v>
      </c>
      <c r="CD3292" s="2">
        <v>7530</v>
      </c>
      <c r="CE3292" s="2" t="s">
        <v>120</v>
      </c>
      <c r="CI3292" s="2">
        <v>1</v>
      </c>
      <c r="CJ3292" s="2" t="s">
        <v>185</v>
      </c>
      <c r="CK3292" s="2">
        <v>21</v>
      </c>
      <c r="CL3292" s="2" t="s">
        <v>89</v>
      </c>
    </row>
    <row r="3293" spans="1:90">
      <c r="A3293" s="2" t="s">
        <v>71</v>
      </c>
      <c r="B3293" s="2" t="s">
        <v>72</v>
      </c>
      <c r="C3293" s="2" t="s">
        <v>73</v>
      </c>
      <c r="E3293" s="2" t="str">
        <f>"FES1162597595"</f>
        <v>FES1162597595</v>
      </c>
      <c r="F3293" s="3">
        <v>43091</v>
      </c>
      <c r="G3293" s="2">
        <v>201806</v>
      </c>
      <c r="H3293" s="2" t="s">
        <v>74</v>
      </c>
      <c r="I3293" s="2" t="s">
        <v>75</v>
      </c>
      <c r="J3293" s="2" t="s">
        <v>97</v>
      </c>
      <c r="K3293" s="2" t="s">
        <v>77</v>
      </c>
      <c r="L3293" s="2" t="s">
        <v>3057</v>
      </c>
      <c r="M3293" s="2" t="s">
        <v>3058</v>
      </c>
      <c r="N3293" s="2" t="s">
        <v>3059</v>
      </c>
      <c r="O3293" s="2" t="s">
        <v>101</v>
      </c>
      <c r="P3293" s="2" t="str">
        <f>"2170608805                    "</f>
        <v xml:space="preserve">2170608805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6.43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1.1000000000000001</v>
      </c>
      <c r="BJ3293" s="2">
        <v>1.5</v>
      </c>
      <c r="BK3293" s="2">
        <v>1.5</v>
      </c>
      <c r="BL3293" s="2">
        <v>45.93</v>
      </c>
      <c r="BM3293" s="2">
        <v>6.43</v>
      </c>
      <c r="BN3293" s="2">
        <v>52.36</v>
      </c>
      <c r="BO3293" s="2">
        <v>52.36</v>
      </c>
      <c r="BQ3293" s="2" t="s">
        <v>3060</v>
      </c>
      <c r="BR3293" s="2" t="s">
        <v>103</v>
      </c>
      <c r="BS3293" s="2" t="s">
        <v>185</v>
      </c>
      <c r="BY3293" s="2">
        <v>7465.86</v>
      </c>
      <c r="CC3293" s="2" t="s">
        <v>3058</v>
      </c>
      <c r="CD3293" s="2">
        <v>3900</v>
      </c>
      <c r="CE3293" s="2" t="s">
        <v>120</v>
      </c>
      <c r="CI3293" s="2">
        <v>1</v>
      </c>
      <c r="CJ3293" s="2" t="s">
        <v>185</v>
      </c>
      <c r="CK3293" s="2">
        <v>21</v>
      </c>
      <c r="CL3293" s="2" t="s">
        <v>89</v>
      </c>
    </row>
    <row r="3294" spans="1:90">
      <c r="A3294" s="2" t="s">
        <v>71</v>
      </c>
      <c r="B3294" s="2" t="s">
        <v>72</v>
      </c>
      <c r="C3294" s="2" t="s">
        <v>73</v>
      </c>
      <c r="E3294" s="2" t="str">
        <f>"FES1162597585"</f>
        <v>FES1162597585</v>
      </c>
      <c r="F3294" s="3">
        <v>43091</v>
      </c>
      <c r="G3294" s="2">
        <v>201806</v>
      </c>
      <c r="H3294" s="2" t="s">
        <v>74</v>
      </c>
      <c r="I3294" s="2" t="s">
        <v>75</v>
      </c>
      <c r="J3294" s="2" t="s">
        <v>97</v>
      </c>
      <c r="K3294" s="2" t="s">
        <v>77</v>
      </c>
      <c r="L3294" s="2" t="s">
        <v>106</v>
      </c>
      <c r="M3294" s="2" t="s">
        <v>107</v>
      </c>
      <c r="N3294" s="2" t="s">
        <v>108</v>
      </c>
      <c r="O3294" s="2" t="s">
        <v>101</v>
      </c>
      <c r="P3294" s="2" t="str">
        <f>"2170608795                    "</f>
        <v xml:space="preserve">2170608795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5.03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1.7</v>
      </c>
      <c r="BJ3294" s="2">
        <v>1.5</v>
      </c>
      <c r="BK3294" s="2">
        <v>2</v>
      </c>
      <c r="BL3294" s="2">
        <v>35.89</v>
      </c>
      <c r="BM3294" s="2">
        <v>5.0199999999999996</v>
      </c>
      <c r="BN3294" s="2">
        <v>40.909999999999997</v>
      </c>
      <c r="BO3294" s="2">
        <v>40.909999999999997</v>
      </c>
      <c r="BQ3294" s="2" t="s">
        <v>82</v>
      </c>
      <c r="BR3294" s="2" t="s">
        <v>103</v>
      </c>
      <c r="BS3294" s="3">
        <v>43096</v>
      </c>
      <c r="BT3294" s="4">
        <v>0.36041666666666666</v>
      </c>
      <c r="BU3294" s="2" t="s">
        <v>563</v>
      </c>
      <c r="BV3294" s="2" t="s">
        <v>89</v>
      </c>
      <c r="BW3294" s="2" t="s">
        <v>149</v>
      </c>
      <c r="BX3294" s="2" t="s">
        <v>157</v>
      </c>
      <c r="BY3294" s="2">
        <v>7590.69</v>
      </c>
      <c r="CA3294" s="2" t="s">
        <v>110</v>
      </c>
      <c r="CC3294" s="2" t="s">
        <v>107</v>
      </c>
      <c r="CD3294" s="2">
        <v>2094</v>
      </c>
      <c r="CE3294" s="2" t="s">
        <v>120</v>
      </c>
      <c r="CF3294" s="3">
        <v>43098</v>
      </c>
      <c r="CI3294" s="2">
        <v>1</v>
      </c>
      <c r="CJ3294" s="2">
        <v>3</v>
      </c>
      <c r="CK3294" s="2">
        <v>22</v>
      </c>
      <c r="CL3294" s="2" t="s">
        <v>89</v>
      </c>
    </row>
    <row r="3295" spans="1:90">
      <c r="A3295" s="2" t="s">
        <v>71</v>
      </c>
      <c r="B3295" s="2" t="s">
        <v>72</v>
      </c>
      <c r="C3295" s="2" t="s">
        <v>73</v>
      </c>
      <c r="E3295" s="2" t="str">
        <f>"FES1162597574"</f>
        <v>FES1162597574</v>
      </c>
      <c r="F3295" s="3">
        <v>43091</v>
      </c>
      <c r="G3295" s="2">
        <v>201806</v>
      </c>
      <c r="H3295" s="2" t="s">
        <v>74</v>
      </c>
      <c r="I3295" s="2" t="s">
        <v>75</v>
      </c>
      <c r="J3295" s="2" t="s">
        <v>97</v>
      </c>
      <c r="K3295" s="2" t="s">
        <v>77</v>
      </c>
      <c r="L3295" s="2" t="s">
        <v>3061</v>
      </c>
      <c r="M3295" s="2" t="s">
        <v>3062</v>
      </c>
      <c r="N3295" s="2" t="s">
        <v>164</v>
      </c>
      <c r="O3295" s="2" t="s">
        <v>101</v>
      </c>
      <c r="P3295" s="2" t="str">
        <f>"2170607626                    "</f>
        <v xml:space="preserve">2170607626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6.43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1</v>
      </c>
      <c r="BJ3295" s="2">
        <v>0.2</v>
      </c>
      <c r="BK3295" s="2">
        <v>1</v>
      </c>
      <c r="BL3295" s="2">
        <v>45.93</v>
      </c>
      <c r="BM3295" s="2">
        <v>6.43</v>
      </c>
      <c r="BN3295" s="2">
        <v>52.36</v>
      </c>
      <c r="BO3295" s="2">
        <v>52.36</v>
      </c>
      <c r="BR3295" s="2" t="s">
        <v>103</v>
      </c>
      <c r="BS3295" s="3">
        <v>43096</v>
      </c>
      <c r="BT3295" s="4">
        <v>0.41666666666666669</v>
      </c>
      <c r="BU3295" s="2" t="s">
        <v>3063</v>
      </c>
      <c r="BV3295" s="2" t="s">
        <v>89</v>
      </c>
      <c r="BW3295" s="2" t="s">
        <v>313</v>
      </c>
      <c r="BX3295" s="2" t="s">
        <v>3064</v>
      </c>
      <c r="BY3295" s="2">
        <v>1200</v>
      </c>
      <c r="CC3295" s="2" t="s">
        <v>3062</v>
      </c>
      <c r="CD3295" s="2">
        <v>700</v>
      </c>
      <c r="CE3295" s="2" t="s">
        <v>120</v>
      </c>
      <c r="CF3295" s="3">
        <v>43096</v>
      </c>
      <c r="CI3295" s="2">
        <v>1</v>
      </c>
      <c r="CJ3295" s="2">
        <v>3</v>
      </c>
      <c r="CK3295" s="2">
        <v>21</v>
      </c>
      <c r="CL3295" s="2" t="s">
        <v>89</v>
      </c>
    </row>
    <row r="3296" spans="1:90">
      <c r="A3296" s="2" t="s">
        <v>71</v>
      </c>
      <c r="B3296" s="2" t="s">
        <v>72</v>
      </c>
      <c r="C3296" s="2" t="s">
        <v>73</v>
      </c>
      <c r="E3296" s="2" t="str">
        <f>"FES1162597623"</f>
        <v>FES1162597623</v>
      </c>
      <c r="F3296" s="3">
        <v>43091</v>
      </c>
      <c r="G3296" s="2">
        <v>201806</v>
      </c>
      <c r="H3296" s="2" t="s">
        <v>74</v>
      </c>
      <c r="I3296" s="2" t="s">
        <v>75</v>
      </c>
      <c r="J3296" s="2" t="s">
        <v>97</v>
      </c>
      <c r="K3296" s="2" t="s">
        <v>77</v>
      </c>
      <c r="L3296" s="2" t="s">
        <v>145</v>
      </c>
      <c r="M3296" s="2" t="s">
        <v>146</v>
      </c>
      <c r="N3296" s="2" t="s">
        <v>753</v>
      </c>
      <c r="O3296" s="2" t="s">
        <v>101</v>
      </c>
      <c r="P3296" s="2" t="str">
        <f>"2170608833                    "</f>
        <v xml:space="preserve">2170608833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6.43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45.93</v>
      </c>
      <c r="BM3296" s="2">
        <v>6.43</v>
      </c>
      <c r="BN3296" s="2">
        <v>52.36</v>
      </c>
      <c r="BO3296" s="2">
        <v>52.36</v>
      </c>
      <c r="BQ3296" s="2" t="s">
        <v>82</v>
      </c>
      <c r="BR3296" s="2" t="s">
        <v>103</v>
      </c>
      <c r="BS3296" s="2" t="s">
        <v>185</v>
      </c>
      <c r="BY3296" s="2">
        <v>1200</v>
      </c>
      <c r="CC3296" s="2" t="s">
        <v>146</v>
      </c>
      <c r="CD3296" s="2">
        <v>5201</v>
      </c>
      <c r="CE3296" s="2" t="s">
        <v>120</v>
      </c>
      <c r="CI3296" s="2">
        <v>1</v>
      </c>
      <c r="CJ3296" s="2" t="s">
        <v>185</v>
      </c>
      <c r="CK3296" s="2">
        <v>21</v>
      </c>
      <c r="CL3296" s="2" t="s">
        <v>89</v>
      </c>
    </row>
    <row r="3297" spans="1:90">
      <c r="A3297" s="2" t="s">
        <v>71</v>
      </c>
      <c r="B3297" s="2" t="s">
        <v>72</v>
      </c>
      <c r="C3297" s="2" t="s">
        <v>73</v>
      </c>
      <c r="E3297" s="2" t="str">
        <f>"FES1162597616"</f>
        <v>FES1162597616</v>
      </c>
      <c r="F3297" s="3">
        <v>43091</v>
      </c>
      <c r="G3297" s="2">
        <v>201806</v>
      </c>
      <c r="H3297" s="2" t="s">
        <v>74</v>
      </c>
      <c r="I3297" s="2" t="s">
        <v>75</v>
      </c>
      <c r="J3297" s="2" t="s">
        <v>97</v>
      </c>
      <c r="K3297" s="2" t="s">
        <v>77</v>
      </c>
      <c r="L3297" s="2" t="s">
        <v>125</v>
      </c>
      <c r="M3297" s="2" t="s">
        <v>126</v>
      </c>
      <c r="N3297" s="2" t="s">
        <v>2194</v>
      </c>
      <c r="O3297" s="2" t="s">
        <v>101</v>
      </c>
      <c r="P3297" s="2" t="str">
        <f>"2170608826                    "</f>
        <v xml:space="preserve">2170608826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30.55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5.4</v>
      </c>
      <c r="BJ3297" s="2">
        <v>9.1</v>
      </c>
      <c r="BK3297" s="2">
        <v>9.5</v>
      </c>
      <c r="BL3297" s="2">
        <v>218.1</v>
      </c>
      <c r="BM3297" s="2">
        <v>30.53</v>
      </c>
      <c r="BN3297" s="2">
        <v>248.63</v>
      </c>
      <c r="BO3297" s="2">
        <v>248.63</v>
      </c>
      <c r="BQ3297" s="2" t="s">
        <v>82</v>
      </c>
      <c r="BR3297" s="2" t="s">
        <v>103</v>
      </c>
      <c r="BS3297" s="3">
        <v>43096</v>
      </c>
      <c r="BT3297" s="4">
        <v>0.34722222222222227</v>
      </c>
      <c r="BU3297" s="2" t="s">
        <v>3065</v>
      </c>
      <c r="BV3297" s="2" t="s">
        <v>89</v>
      </c>
      <c r="BW3297" s="2" t="s">
        <v>2433</v>
      </c>
      <c r="BX3297" s="2" t="s">
        <v>219</v>
      </c>
      <c r="BY3297" s="2">
        <v>45741.32</v>
      </c>
      <c r="CA3297" s="2" t="s">
        <v>2073</v>
      </c>
      <c r="CC3297" s="2" t="s">
        <v>126</v>
      </c>
      <c r="CD3297" s="2">
        <v>4052</v>
      </c>
      <c r="CE3297" s="2" t="s">
        <v>95</v>
      </c>
      <c r="CF3297" s="3">
        <v>43097</v>
      </c>
      <c r="CI3297" s="2">
        <v>1</v>
      </c>
      <c r="CJ3297" s="2">
        <v>3</v>
      </c>
      <c r="CK3297" s="2">
        <v>21</v>
      </c>
      <c r="CL3297" s="2" t="s">
        <v>89</v>
      </c>
    </row>
    <row r="3298" spans="1:90">
      <c r="A3298" s="2" t="s">
        <v>71</v>
      </c>
      <c r="B3298" s="2" t="s">
        <v>72</v>
      </c>
      <c r="C3298" s="2" t="s">
        <v>73</v>
      </c>
      <c r="E3298" s="2" t="str">
        <f>"FES1162597613"</f>
        <v>FES1162597613</v>
      </c>
      <c r="F3298" s="3">
        <v>43091</v>
      </c>
      <c r="G3298" s="2">
        <v>201806</v>
      </c>
      <c r="H3298" s="2" t="s">
        <v>74</v>
      </c>
      <c r="I3298" s="2" t="s">
        <v>75</v>
      </c>
      <c r="J3298" s="2" t="s">
        <v>97</v>
      </c>
      <c r="K3298" s="2" t="s">
        <v>77</v>
      </c>
      <c r="L3298" s="2" t="s">
        <v>158</v>
      </c>
      <c r="M3298" s="2" t="s">
        <v>159</v>
      </c>
      <c r="N3298" s="2" t="s">
        <v>976</v>
      </c>
      <c r="O3298" s="2" t="s">
        <v>101</v>
      </c>
      <c r="P3298" s="2" t="str">
        <f>"2170605915                    "</f>
        <v xml:space="preserve">2170605915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6.43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1</v>
      </c>
      <c r="BJ3298" s="2">
        <v>0.2</v>
      </c>
      <c r="BK3298" s="2">
        <v>1</v>
      </c>
      <c r="BL3298" s="2">
        <v>45.93</v>
      </c>
      <c r="BM3298" s="2">
        <v>6.43</v>
      </c>
      <c r="BN3298" s="2">
        <v>52.36</v>
      </c>
      <c r="BO3298" s="2">
        <v>52.36</v>
      </c>
      <c r="BQ3298" s="2" t="s">
        <v>82</v>
      </c>
      <c r="BR3298" s="2" t="s">
        <v>103</v>
      </c>
      <c r="BS3298" s="2" t="s">
        <v>185</v>
      </c>
      <c r="BY3298" s="2">
        <v>1200</v>
      </c>
      <c r="CC3298" s="2" t="s">
        <v>159</v>
      </c>
      <c r="CD3298" s="2">
        <v>200</v>
      </c>
      <c r="CE3298" s="2" t="s">
        <v>120</v>
      </c>
      <c r="CI3298" s="2">
        <v>1</v>
      </c>
      <c r="CJ3298" s="2" t="s">
        <v>185</v>
      </c>
      <c r="CK3298" s="2">
        <v>21</v>
      </c>
      <c r="CL3298" s="2" t="s">
        <v>89</v>
      </c>
    </row>
    <row r="3299" spans="1:90">
      <c r="A3299" s="2" t="s">
        <v>71</v>
      </c>
      <c r="B3299" s="2" t="s">
        <v>72</v>
      </c>
      <c r="C3299" s="2" t="s">
        <v>73</v>
      </c>
      <c r="E3299" s="2" t="str">
        <f>"FES1162597612"</f>
        <v>FES1162597612</v>
      </c>
      <c r="F3299" s="3">
        <v>43091</v>
      </c>
      <c r="G3299" s="2">
        <v>201806</v>
      </c>
      <c r="H3299" s="2" t="s">
        <v>74</v>
      </c>
      <c r="I3299" s="2" t="s">
        <v>75</v>
      </c>
      <c r="J3299" s="2" t="s">
        <v>97</v>
      </c>
      <c r="K3299" s="2" t="s">
        <v>77</v>
      </c>
      <c r="L3299" s="2" t="s">
        <v>98</v>
      </c>
      <c r="M3299" s="2" t="s">
        <v>99</v>
      </c>
      <c r="N3299" s="2" t="s">
        <v>1365</v>
      </c>
      <c r="O3299" s="2" t="s">
        <v>101</v>
      </c>
      <c r="P3299" s="2" t="str">
        <f>"2170608823                    "</f>
        <v xml:space="preserve">2170608823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6.43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1</v>
      </c>
      <c r="BJ3299" s="2">
        <v>0.2</v>
      </c>
      <c r="BK3299" s="2">
        <v>1</v>
      </c>
      <c r="BL3299" s="2">
        <v>45.93</v>
      </c>
      <c r="BM3299" s="2">
        <v>6.43</v>
      </c>
      <c r="BN3299" s="2">
        <v>52.36</v>
      </c>
      <c r="BO3299" s="2">
        <v>52.36</v>
      </c>
      <c r="BQ3299" s="2" t="s">
        <v>128</v>
      </c>
      <c r="BR3299" s="2" t="s">
        <v>103</v>
      </c>
      <c r="BS3299" s="3">
        <v>43096</v>
      </c>
      <c r="BT3299" s="4">
        <v>0.3888888888888889</v>
      </c>
      <c r="BU3299" s="2" t="s">
        <v>3066</v>
      </c>
      <c r="BV3299" s="2" t="s">
        <v>89</v>
      </c>
      <c r="BW3299" s="2" t="s">
        <v>2433</v>
      </c>
      <c r="BX3299" s="2" t="s">
        <v>1390</v>
      </c>
      <c r="BY3299" s="2">
        <v>1200</v>
      </c>
      <c r="CA3299" s="2" t="s">
        <v>497</v>
      </c>
      <c r="CC3299" s="2" t="s">
        <v>99</v>
      </c>
      <c r="CD3299" s="2">
        <v>3201</v>
      </c>
      <c r="CE3299" s="2" t="s">
        <v>120</v>
      </c>
      <c r="CF3299" s="3">
        <v>43096</v>
      </c>
      <c r="CI3299" s="2">
        <v>1</v>
      </c>
      <c r="CJ3299" s="2">
        <v>3</v>
      </c>
      <c r="CK3299" s="2">
        <v>21</v>
      </c>
      <c r="CL3299" s="2" t="s">
        <v>89</v>
      </c>
    </row>
    <row r="3300" spans="1:90">
      <c r="A3300" s="2" t="s">
        <v>71</v>
      </c>
      <c r="B3300" s="2" t="s">
        <v>72</v>
      </c>
      <c r="C3300" s="2" t="s">
        <v>73</v>
      </c>
      <c r="E3300" s="2" t="str">
        <f>"FES1162597593"</f>
        <v>FES1162597593</v>
      </c>
      <c r="F3300" s="3">
        <v>43091</v>
      </c>
      <c r="G3300" s="2">
        <v>201806</v>
      </c>
      <c r="H3300" s="2" t="s">
        <v>74</v>
      </c>
      <c r="I3300" s="2" t="s">
        <v>75</v>
      </c>
      <c r="J3300" s="2" t="s">
        <v>97</v>
      </c>
      <c r="K3300" s="2" t="s">
        <v>77</v>
      </c>
      <c r="L3300" s="2" t="s">
        <v>173</v>
      </c>
      <c r="M3300" s="2" t="s">
        <v>174</v>
      </c>
      <c r="N3300" s="2" t="s">
        <v>175</v>
      </c>
      <c r="O3300" s="2" t="s">
        <v>101</v>
      </c>
      <c r="P3300" s="2" t="str">
        <f>"2170608802                    "</f>
        <v xml:space="preserve">2170608802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6.43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0.5</v>
      </c>
      <c r="BJ3300" s="2">
        <v>0.2</v>
      </c>
      <c r="BK3300" s="2">
        <v>0.5</v>
      </c>
      <c r="BL3300" s="2">
        <v>45.93</v>
      </c>
      <c r="BM3300" s="2">
        <v>6.43</v>
      </c>
      <c r="BN3300" s="2">
        <v>52.36</v>
      </c>
      <c r="BO3300" s="2">
        <v>52.36</v>
      </c>
      <c r="BQ3300" s="2" t="s">
        <v>102</v>
      </c>
      <c r="BR3300" s="2" t="s">
        <v>103</v>
      </c>
      <c r="BS3300" s="2" t="s">
        <v>185</v>
      </c>
      <c r="BY3300" s="2">
        <v>1200</v>
      </c>
      <c r="CC3300" s="2" t="s">
        <v>174</v>
      </c>
      <c r="CD3300" s="2">
        <v>7405</v>
      </c>
      <c r="CE3300" s="2" t="s">
        <v>120</v>
      </c>
      <c r="CI3300" s="2">
        <v>1</v>
      </c>
      <c r="CJ3300" s="2" t="s">
        <v>185</v>
      </c>
      <c r="CK3300" s="2">
        <v>21</v>
      </c>
      <c r="CL3300" s="2" t="s">
        <v>89</v>
      </c>
    </row>
    <row r="3301" spans="1:90">
      <c r="A3301" s="2" t="s">
        <v>71</v>
      </c>
      <c r="B3301" s="2" t="s">
        <v>72</v>
      </c>
      <c r="C3301" s="2" t="s">
        <v>73</v>
      </c>
      <c r="E3301" s="2" t="str">
        <f>"FES1162597586"</f>
        <v>FES1162597586</v>
      </c>
      <c r="F3301" s="3">
        <v>43091</v>
      </c>
      <c r="G3301" s="2">
        <v>201806</v>
      </c>
      <c r="H3301" s="2" t="s">
        <v>74</v>
      </c>
      <c r="I3301" s="2" t="s">
        <v>75</v>
      </c>
      <c r="J3301" s="2" t="s">
        <v>97</v>
      </c>
      <c r="K3301" s="2" t="s">
        <v>77</v>
      </c>
      <c r="L3301" s="2" t="s">
        <v>106</v>
      </c>
      <c r="M3301" s="2" t="s">
        <v>107</v>
      </c>
      <c r="N3301" s="2" t="s">
        <v>108</v>
      </c>
      <c r="O3301" s="2" t="s">
        <v>101</v>
      </c>
      <c r="P3301" s="2" t="str">
        <f>"2170608796                    "</f>
        <v xml:space="preserve">2170608796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5.03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1.2</v>
      </c>
      <c r="BJ3301" s="2">
        <v>2.4</v>
      </c>
      <c r="BK3301" s="2">
        <v>3</v>
      </c>
      <c r="BL3301" s="2">
        <v>35.89</v>
      </c>
      <c r="BM3301" s="2">
        <v>5.0199999999999996</v>
      </c>
      <c r="BN3301" s="2">
        <v>40.909999999999997</v>
      </c>
      <c r="BO3301" s="2">
        <v>40.909999999999997</v>
      </c>
      <c r="BQ3301" s="2" t="s">
        <v>82</v>
      </c>
      <c r="BR3301" s="2" t="s">
        <v>103</v>
      </c>
      <c r="BS3301" s="3">
        <v>43096</v>
      </c>
      <c r="BT3301" s="4">
        <v>0.3611111111111111</v>
      </c>
      <c r="BU3301" s="2" t="s">
        <v>563</v>
      </c>
      <c r="BV3301" s="2" t="s">
        <v>89</v>
      </c>
      <c r="BW3301" s="2" t="s">
        <v>149</v>
      </c>
      <c r="BX3301" s="2" t="s">
        <v>157</v>
      </c>
      <c r="BY3301" s="2">
        <v>12131.06</v>
      </c>
      <c r="CA3301" s="2" t="s">
        <v>110</v>
      </c>
      <c r="CC3301" s="2" t="s">
        <v>107</v>
      </c>
      <c r="CD3301" s="2">
        <v>2094</v>
      </c>
      <c r="CE3301" s="2" t="s">
        <v>120</v>
      </c>
      <c r="CF3301" s="3">
        <v>43098</v>
      </c>
      <c r="CI3301" s="2">
        <v>1</v>
      </c>
      <c r="CJ3301" s="2">
        <v>3</v>
      </c>
      <c r="CK3301" s="2">
        <v>22</v>
      </c>
      <c r="CL3301" s="2" t="s">
        <v>89</v>
      </c>
    </row>
    <row r="3302" spans="1:90">
      <c r="A3302" s="2" t="s">
        <v>71</v>
      </c>
      <c r="B3302" s="2" t="s">
        <v>72</v>
      </c>
      <c r="C3302" s="2" t="s">
        <v>73</v>
      </c>
      <c r="E3302" s="2" t="str">
        <f>"FES1162597580"</f>
        <v>FES1162597580</v>
      </c>
      <c r="F3302" s="3">
        <v>43091</v>
      </c>
      <c r="G3302" s="2">
        <v>201806</v>
      </c>
      <c r="H3302" s="2" t="s">
        <v>74</v>
      </c>
      <c r="I3302" s="2" t="s">
        <v>75</v>
      </c>
      <c r="J3302" s="2" t="s">
        <v>97</v>
      </c>
      <c r="K3302" s="2" t="s">
        <v>77</v>
      </c>
      <c r="L3302" s="2" t="s">
        <v>526</v>
      </c>
      <c r="M3302" s="2" t="s">
        <v>527</v>
      </c>
      <c r="N3302" s="2" t="s">
        <v>3067</v>
      </c>
      <c r="O3302" s="2" t="s">
        <v>101</v>
      </c>
      <c r="P3302" s="2" t="str">
        <f>"2170608478                    "</f>
        <v xml:space="preserve">2170608478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6.43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1.8</v>
      </c>
      <c r="BJ3302" s="2">
        <v>0.8</v>
      </c>
      <c r="BK3302" s="2">
        <v>2</v>
      </c>
      <c r="BL3302" s="2">
        <v>45.93</v>
      </c>
      <c r="BM3302" s="2">
        <v>6.43</v>
      </c>
      <c r="BN3302" s="2">
        <v>52.36</v>
      </c>
      <c r="BO3302" s="2">
        <v>52.36</v>
      </c>
      <c r="BQ3302" s="2" t="s">
        <v>3068</v>
      </c>
      <c r="BR3302" s="2" t="s">
        <v>103</v>
      </c>
      <c r="BS3302" s="3">
        <v>43096</v>
      </c>
      <c r="BT3302" s="4">
        <v>0.37222222222222223</v>
      </c>
      <c r="BU3302" s="2" t="s">
        <v>3069</v>
      </c>
      <c r="BV3302" s="2" t="s">
        <v>85</v>
      </c>
      <c r="BY3302" s="2">
        <v>3835.42</v>
      </c>
      <c r="CA3302" s="2" t="s">
        <v>530</v>
      </c>
      <c r="CC3302" s="2" t="s">
        <v>527</v>
      </c>
      <c r="CD3302" s="2">
        <v>6850</v>
      </c>
      <c r="CE3302" s="2" t="s">
        <v>95</v>
      </c>
      <c r="CF3302" s="3">
        <v>43097</v>
      </c>
      <c r="CI3302" s="2">
        <v>3</v>
      </c>
      <c r="CJ3302" s="2">
        <v>3</v>
      </c>
      <c r="CK3302" s="2">
        <v>21</v>
      </c>
      <c r="CL3302" s="2" t="s">
        <v>89</v>
      </c>
    </row>
    <row r="3303" spans="1:90">
      <c r="A3303" s="2" t="s">
        <v>71</v>
      </c>
      <c r="B3303" s="2" t="s">
        <v>72</v>
      </c>
      <c r="C3303" s="2" t="s">
        <v>73</v>
      </c>
      <c r="E3303" s="2" t="str">
        <f>"FES1162597584"</f>
        <v>FES1162597584</v>
      </c>
      <c r="F3303" s="3">
        <v>43091</v>
      </c>
      <c r="G3303" s="2">
        <v>201806</v>
      </c>
      <c r="H3303" s="2" t="s">
        <v>74</v>
      </c>
      <c r="I3303" s="2" t="s">
        <v>75</v>
      </c>
      <c r="J3303" s="2" t="s">
        <v>97</v>
      </c>
      <c r="K3303" s="2" t="s">
        <v>77</v>
      </c>
      <c r="L3303" s="2" t="s">
        <v>152</v>
      </c>
      <c r="M3303" s="2" t="s">
        <v>153</v>
      </c>
      <c r="N3303" s="2" t="s">
        <v>3070</v>
      </c>
      <c r="O3303" s="2" t="s">
        <v>101</v>
      </c>
      <c r="P3303" s="2" t="str">
        <f>"2170608773                    "</f>
        <v xml:space="preserve">2170608773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5.03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7.7</v>
      </c>
      <c r="BJ3303" s="2">
        <v>3.5</v>
      </c>
      <c r="BK3303" s="2">
        <v>8</v>
      </c>
      <c r="BL3303" s="2">
        <v>35.89</v>
      </c>
      <c r="BM3303" s="2">
        <v>5.0199999999999996</v>
      </c>
      <c r="BN3303" s="2">
        <v>40.909999999999997</v>
      </c>
      <c r="BO3303" s="2">
        <v>40.909999999999997</v>
      </c>
      <c r="BQ3303" s="2" t="s">
        <v>3071</v>
      </c>
      <c r="BR3303" s="2" t="s">
        <v>103</v>
      </c>
      <c r="BS3303" s="3">
        <v>43096</v>
      </c>
      <c r="BT3303" s="4">
        <v>0.35625000000000001</v>
      </c>
      <c r="BU3303" s="2" t="s">
        <v>3072</v>
      </c>
      <c r="BV3303" s="2" t="s">
        <v>89</v>
      </c>
      <c r="BW3303" s="2" t="s">
        <v>149</v>
      </c>
      <c r="BX3303" s="2" t="s">
        <v>456</v>
      </c>
      <c r="BY3303" s="2">
        <v>17392.77</v>
      </c>
      <c r="CA3303" s="2" t="s">
        <v>439</v>
      </c>
      <c r="CC3303" s="2" t="s">
        <v>153</v>
      </c>
      <c r="CD3303" s="2">
        <v>1422</v>
      </c>
      <c r="CE3303" s="2" t="s">
        <v>95</v>
      </c>
      <c r="CI3303" s="2">
        <v>1</v>
      </c>
      <c r="CJ3303" s="2">
        <v>3</v>
      </c>
      <c r="CK3303" s="2">
        <v>22</v>
      </c>
      <c r="CL3303" s="2" t="s">
        <v>89</v>
      </c>
    </row>
    <row r="3304" spans="1:90">
      <c r="A3304" s="2" t="s">
        <v>71</v>
      </c>
      <c r="B3304" s="2" t="s">
        <v>72</v>
      </c>
      <c r="C3304" s="2" t="s">
        <v>73</v>
      </c>
      <c r="E3304" s="2" t="str">
        <f>"FES1162597614"</f>
        <v>FES1162597614</v>
      </c>
      <c r="F3304" s="3">
        <v>43091</v>
      </c>
      <c r="G3304" s="2">
        <v>201806</v>
      </c>
      <c r="H3304" s="2" t="s">
        <v>74</v>
      </c>
      <c r="I3304" s="2" t="s">
        <v>75</v>
      </c>
      <c r="J3304" s="2" t="s">
        <v>97</v>
      </c>
      <c r="K3304" s="2" t="s">
        <v>77</v>
      </c>
      <c r="L3304" s="2" t="s">
        <v>158</v>
      </c>
      <c r="M3304" s="2" t="s">
        <v>159</v>
      </c>
      <c r="N3304" s="2" t="s">
        <v>976</v>
      </c>
      <c r="O3304" s="2" t="s">
        <v>101</v>
      </c>
      <c r="P3304" s="2" t="str">
        <f>"2170608688                    "</f>
        <v xml:space="preserve">2170608688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6.43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1</v>
      </c>
      <c r="BJ3304" s="2">
        <v>0.5</v>
      </c>
      <c r="BK3304" s="2">
        <v>1</v>
      </c>
      <c r="BL3304" s="2">
        <v>45.93</v>
      </c>
      <c r="BM3304" s="2">
        <v>6.43</v>
      </c>
      <c r="BN3304" s="2">
        <v>52.36</v>
      </c>
      <c r="BO3304" s="2">
        <v>52.36</v>
      </c>
      <c r="BQ3304" s="2" t="s">
        <v>82</v>
      </c>
      <c r="BR3304" s="2" t="s">
        <v>103</v>
      </c>
      <c r="BS3304" s="2" t="s">
        <v>185</v>
      </c>
      <c r="BY3304" s="2">
        <v>2400</v>
      </c>
      <c r="CC3304" s="2" t="s">
        <v>159</v>
      </c>
      <c r="CD3304" s="2">
        <v>200</v>
      </c>
      <c r="CE3304" s="2" t="s">
        <v>120</v>
      </c>
      <c r="CI3304" s="2">
        <v>1</v>
      </c>
      <c r="CJ3304" s="2" t="s">
        <v>185</v>
      </c>
      <c r="CK3304" s="2">
        <v>21</v>
      </c>
      <c r="CL3304" s="2" t="s">
        <v>89</v>
      </c>
    </row>
    <row r="3305" spans="1:90">
      <c r="A3305" s="2" t="s">
        <v>71</v>
      </c>
      <c r="B3305" s="2" t="s">
        <v>72</v>
      </c>
      <c r="C3305" s="2" t="s">
        <v>73</v>
      </c>
      <c r="E3305" s="2" t="str">
        <f>"FES1162597606"</f>
        <v>FES1162597606</v>
      </c>
      <c r="F3305" s="3">
        <v>43091</v>
      </c>
      <c r="G3305" s="2">
        <v>201806</v>
      </c>
      <c r="H3305" s="2" t="s">
        <v>74</v>
      </c>
      <c r="I3305" s="2" t="s">
        <v>75</v>
      </c>
      <c r="J3305" s="2" t="s">
        <v>97</v>
      </c>
      <c r="K3305" s="2" t="s">
        <v>77</v>
      </c>
      <c r="L3305" s="2" t="s">
        <v>131</v>
      </c>
      <c r="M3305" s="2" t="s">
        <v>132</v>
      </c>
      <c r="N3305" s="2" t="s">
        <v>133</v>
      </c>
      <c r="O3305" s="2" t="s">
        <v>101</v>
      </c>
      <c r="P3305" s="2" t="str">
        <f>"2170608819                    "</f>
        <v xml:space="preserve">2170608819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6.43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1</v>
      </c>
      <c r="BJ3305" s="2">
        <v>0.2</v>
      </c>
      <c r="BK3305" s="2">
        <v>1</v>
      </c>
      <c r="BL3305" s="2">
        <v>45.93</v>
      </c>
      <c r="BM3305" s="2">
        <v>6.43</v>
      </c>
      <c r="BN3305" s="2">
        <v>52.36</v>
      </c>
      <c r="BO3305" s="2">
        <v>52.36</v>
      </c>
      <c r="BQ3305" s="2" t="s">
        <v>102</v>
      </c>
      <c r="BR3305" s="2" t="s">
        <v>103</v>
      </c>
      <c r="BS3305" s="2" t="s">
        <v>185</v>
      </c>
      <c r="BY3305" s="2">
        <v>1200</v>
      </c>
      <c r="CC3305" s="2" t="s">
        <v>132</v>
      </c>
      <c r="CD3305" s="2">
        <v>4302</v>
      </c>
      <c r="CE3305" s="2" t="s">
        <v>120</v>
      </c>
      <c r="CI3305" s="2">
        <v>1</v>
      </c>
      <c r="CJ3305" s="2" t="s">
        <v>185</v>
      </c>
      <c r="CK3305" s="2">
        <v>21</v>
      </c>
      <c r="CL3305" s="2" t="s">
        <v>89</v>
      </c>
    </row>
    <row r="3306" spans="1:90">
      <c r="A3306" s="2" t="s">
        <v>71</v>
      </c>
      <c r="B3306" s="2" t="s">
        <v>72</v>
      </c>
      <c r="C3306" s="2" t="s">
        <v>73</v>
      </c>
      <c r="E3306" s="2" t="str">
        <f>"FES1162597604"</f>
        <v>FES1162597604</v>
      </c>
      <c r="F3306" s="3">
        <v>43091</v>
      </c>
      <c r="G3306" s="2">
        <v>201806</v>
      </c>
      <c r="H3306" s="2" t="s">
        <v>74</v>
      </c>
      <c r="I3306" s="2" t="s">
        <v>75</v>
      </c>
      <c r="J3306" s="2" t="s">
        <v>97</v>
      </c>
      <c r="K3306" s="2" t="s">
        <v>77</v>
      </c>
      <c r="L3306" s="2" t="s">
        <v>136</v>
      </c>
      <c r="M3306" s="2" t="s">
        <v>137</v>
      </c>
      <c r="N3306" s="2" t="s">
        <v>258</v>
      </c>
      <c r="O3306" s="2" t="s">
        <v>101</v>
      </c>
      <c r="P3306" s="2" t="str">
        <f>"2170608735                    "</f>
        <v xml:space="preserve">2170608735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6.43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1.9</v>
      </c>
      <c r="BJ3306" s="2">
        <v>1.4</v>
      </c>
      <c r="BK3306" s="2">
        <v>2</v>
      </c>
      <c r="BL3306" s="2">
        <v>45.93</v>
      </c>
      <c r="BM3306" s="2">
        <v>6.43</v>
      </c>
      <c r="BN3306" s="2">
        <v>52.36</v>
      </c>
      <c r="BO3306" s="2">
        <v>52.36</v>
      </c>
      <c r="BQ3306" s="2" t="s">
        <v>102</v>
      </c>
      <c r="BR3306" s="2" t="s">
        <v>103</v>
      </c>
      <c r="BS3306" s="3">
        <v>43096</v>
      </c>
      <c r="BT3306" s="4">
        <v>0.5</v>
      </c>
      <c r="BU3306" s="2" t="s">
        <v>2583</v>
      </c>
      <c r="BV3306" s="2" t="s">
        <v>89</v>
      </c>
      <c r="BW3306" s="2" t="s">
        <v>313</v>
      </c>
      <c r="BX3306" s="2" t="s">
        <v>314</v>
      </c>
      <c r="BY3306" s="2">
        <v>7221.76</v>
      </c>
      <c r="CC3306" s="2" t="s">
        <v>137</v>
      </c>
      <c r="CD3306" s="2">
        <v>6001</v>
      </c>
      <c r="CE3306" s="2" t="s">
        <v>95</v>
      </c>
      <c r="CF3306" s="3">
        <v>43097</v>
      </c>
      <c r="CI3306" s="2">
        <v>1</v>
      </c>
      <c r="CJ3306" s="2">
        <v>3</v>
      </c>
      <c r="CK3306" s="2">
        <v>21</v>
      </c>
      <c r="CL3306" s="2" t="s">
        <v>89</v>
      </c>
    </row>
    <row r="3307" spans="1:90">
      <c r="A3307" s="2" t="s">
        <v>71</v>
      </c>
      <c r="B3307" s="2" t="s">
        <v>72</v>
      </c>
      <c r="C3307" s="2" t="s">
        <v>73</v>
      </c>
      <c r="E3307" s="2" t="str">
        <f>"FES1162597601"</f>
        <v>FES1162597601</v>
      </c>
      <c r="F3307" s="3">
        <v>43091</v>
      </c>
      <c r="G3307" s="2">
        <v>201806</v>
      </c>
      <c r="H3307" s="2" t="s">
        <v>74</v>
      </c>
      <c r="I3307" s="2" t="s">
        <v>75</v>
      </c>
      <c r="J3307" s="2" t="s">
        <v>97</v>
      </c>
      <c r="K3307" s="2" t="s">
        <v>77</v>
      </c>
      <c r="L3307" s="2" t="s">
        <v>173</v>
      </c>
      <c r="M3307" s="2" t="s">
        <v>174</v>
      </c>
      <c r="N3307" s="2" t="s">
        <v>741</v>
      </c>
      <c r="O3307" s="2" t="s">
        <v>101</v>
      </c>
      <c r="P3307" s="2" t="str">
        <f>"2170608808                    "</f>
        <v xml:space="preserve">2170608808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11.26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0.7</v>
      </c>
      <c r="BJ3307" s="2">
        <v>3.1</v>
      </c>
      <c r="BK3307" s="2">
        <v>3.5</v>
      </c>
      <c r="BL3307" s="2">
        <v>80.37</v>
      </c>
      <c r="BM3307" s="2">
        <v>11.25</v>
      </c>
      <c r="BN3307" s="2">
        <v>91.62</v>
      </c>
      <c r="BO3307" s="2">
        <v>91.62</v>
      </c>
      <c r="BR3307" s="2" t="s">
        <v>103</v>
      </c>
      <c r="BS3307" s="2" t="s">
        <v>185</v>
      </c>
      <c r="BY3307" s="2">
        <v>15704.93</v>
      </c>
      <c r="CC3307" s="2" t="s">
        <v>174</v>
      </c>
      <c r="CD3307" s="2">
        <v>7405</v>
      </c>
      <c r="CE3307" s="2" t="s">
        <v>120</v>
      </c>
      <c r="CI3307" s="2">
        <v>1</v>
      </c>
      <c r="CJ3307" s="2" t="s">
        <v>185</v>
      </c>
      <c r="CK3307" s="2">
        <v>21</v>
      </c>
      <c r="CL3307" s="2" t="s">
        <v>89</v>
      </c>
    </row>
    <row r="3308" spans="1:90">
      <c r="A3308" s="2" t="s">
        <v>71</v>
      </c>
      <c r="B3308" s="2" t="s">
        <v>72</v>
      </c>
      <c r="C3308" s="2" t="s">
        <v>73</v>
      </c>
      <c r="E3308" s="2" t="str">
        <f>"FES1162597571"</f>
        <v>FES1162597571</v>
      </c>
      <c r="F3308" s="3">
        <v>43091</v>
      </c>
      <c r="G3308" s="2">
        <v>201806</v>
      </c>
      <c r="H3308" s="2" t="s">
        <v>74</v>
      </c>
      <c r="I3308" s="2" t="s">
        <v>75</v>
      </c>
      <c r="J3308" s="2" t="s">
        <v>97</v>
      </c>
      <c r="K3308" s="2" t="s">
        <v>77</v>
      </c>
      <c r="L3308" s="2" t="s">
        <v>98</v>
      </c>
      <c r="M3308" s="2" t="s">
        <v>99</v>
      </c>
      <c r="N3308" s="2" t="s">
        <v>100</v>
      </c>
      <c r="O3308" s="2" t="s">
        <v>101</v>
      </c>
      <c r="P3308" s="2" t="str">
        <f>"2170607480                    "</f>
        <v xml:space="preserve">2170607480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6.43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1</v>
      </c>
      <c r="BJ3308" s="2">
        <v>0.2</v>
      </c>
      <c r="BK3308" s="2">
        <v>1</v>
      </c>
      <c r="BL3308" s="2">
        <v>45.93</v>
      </c>
      <c r="BM3308" s="2">
        <v>6.43</v>
      </c>
      <c r="BN3308" s="2">
        <v>52.36</v>
      </c>
      <c r="BO3308" s="2">
        <v>52.36</v>
      </c>
      <c r="BQ3308" s="2" t="s">
        <v>102</v>
      </c>
      <c r="BR3308" s="2" t="s">
        <v>103</v>
      </c>
      <c r="BS3308" s="2" t="s">
        <v>185</v>
      </c>
      <c r="BY3308" s="2">
        <v>1200</v>
      </c>
      <c r="CC3308" s="2" t="s">
        <v>99</v>
      </c>
      <c r="CD3308" s="2">
        <v>3201</v>
      </c>
      <c r="CE3308" s="2" t="s">
        <v>120</v>
      </c>
      <c r="CI3308" s="2">
        <v>1</v>
      </c>
      <c r="CJ3308" s="2" t="s">
        <v>185</v>
      </c>
      <c r="CK3308" s="2">
        <v>21</v>
      </c>
      <c r="CL3308" s="2" t="s">
        <v>89</v>
      </c>
    </row>
    <row r="3309" spans="1:90">
      <c r="A3309" s="2" t="s">
        <v>71</v>
      </c>
      <c r="B3309" s="2" t="s">
        <v>72</v>
      </c>
      <c r="C3309" s="2" t="s">
        <v>73</v>
      </c>
      <c r="E3309" s="2" t="str">
        <f>"FES1162597611"</f>
        <v>FES1162597611</v>
      </c>
      <c r="F3309" s="3">
        <v>43091</v>
      </c>
      <c r="G3309" s="2">
        <v>201806</v>
      </c>
      <c r="H3309" s="2" t="s">
        <v>74</v>
      </c>
      <c r="I3309" s="2" t="s">
        <v>75</v>
      </c>
      <c r="J3309" s="2" t="s">
        <v>97</v>
      </c>
      <c r="K3309" s="2" t="s">
        <v>77</v>
      </c>
      <c r="L3309" s="2" t="s">
        <v>526</v>
      </c>
      <c r="M3309" s="2" t="s">
        <v>527</v>
      </c>
      <c r="N3309" s="2" t="s">
        <v>528</v>
      </c>
      <c r="O3309" s="2" t="s">
        <v>101</v>
      </c>
      <c r="P3309" s="2" t="str">
        <f>"2170608821                    "</f>
        <v xml:space="preserve">2170608821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9.65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3</v>
      </c>
      <c r="BJ3309" s="2">
        <v>2.7</v>
      </c>
      <c r="BK3309" s="2">
        <v>3</v>
      </c>
      <c r="BL3309" s="2">
        <v>68.89</v>
      </c>
      <c r="BM3309" s="2">
        <v>9.64</v>
      </c>
      <c r="BN3309" s="2">
        <v>78.53</v>
      </c>
      <c r="BO3309" s="2">
        <v>78.53</v>
      </c>
      <c r="BQ3309" s="2" t="s">
        <v>128</v>
      </c>
      <c r="BR3309" s="2" t="s">
        <v>103</v>
      </c>
      <c r="BS3309" s="3">
        <v>43096</v>
      </c>
      <c r="BT3309" s="4">
        <v>0.37986111111111115</v>
      </c>
      <c r="BU3309" s="2" t="s">
        <v>3073</v>
      </c>
      <c r="BV3309" s="2" t="s">
        <v>85</v>
      </c>
      <c r="BY3309" s="2">
        <v>13454</v>
      </c>
      <c r="CA3309" s="2" t="s">
        <v>530</v>
      </c>
      <c r="CC3309" s="2" t="s">
        <v>527</v>
      </c>
      <c r="CD3309" s="2">
        <v>6850</v>
      </c>
      <c r="CE3309" s="2" t="s">
        <v>87</v>
      </c>
      <c r="CF3309" s="3">
        <v>43097</v>
      </c>
      <c r="CI3309" s="2">
        <v>3</v>
      </c>
      <c r="CJ3309" s="2">
        <v>3</v>
      </c>
      <c r="CK3309" s="2">
        <v>21</v>
      </c>
      <c r="CL3309" s="2" t="s">
        <v>89</v>
      </c>
    </row>
    <row r="3310" spans="1:90">
      <c r="A3310" s="2" t="s">
        <v>71</v>
      </c>
      <c r="B3310" s="2" t="s">
        <v>72</v>
      </c>
      <c r="C3310" s="2" t="s">
        <v>73</v>
      </c>
      <c r="E3310" s="2" t="str">
        <f>"FES1162597605"</f>
        <v>FES1162597605</v>
      </c>
      <c r="F3310" s="3">
        <v>43091</v>
      </c>
      <c r="G3310" s="2">
        <v>201806</v>
      </c>
      <c r="H3310" s="2" t="s">
        <v>74</v>
      </c>
      <c r="I3310" s="2" t="s">
        <v>75</v>
      </c>
      <c r="J3310" s="2" t="s">
        <v>97</v>
      </c>
      <c r="K3310" s="2" t="s">
        <v>77</v>
      </c>
      <c r="L3310" s="2" t="s">
        <v>152</v>
      </c>
      <c r="M3310" s="2" t="s">
        <v>153</v>
      </c>
      <c r="N3310" s="2" t="s">
        <v>1572</v>
      </c>
      <c r="O3310" s="2" t="s">
        <v>101</v>
      </c>
      <c r="P3310" s="2" t="str">
        <f>"2170688188                    "</f>
        <v xml:space="preserve">2170688188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5.03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4</v>
      </c>
      <c r="BJ3310" s="2">
        <v>1.6</v>
      </c>
      <c r="BK3310" s="2">
        <v>4</v>
      </c>
      <c r="BL3310" s="2">
        <v>35.89</v>
      </c>
      <c r="BM3310" s="2">
        <v>5.0199999999999996</v>
      </c>
      <c r="BN3310" s="2">
        <v>40.909999999999997</v>
      </c>
      <c r="BO3310" s="2">
        <v>40.909999999999997</v>
      </c>
      <c r="BR3310" s="2" t="s">
        <v>103</v>
      </c>
      <c r="BS3310" s="3">
        <v>43096</v>
      </c>
      <c r="BT3310" s="4">
        <v>0.375</v>
      </c>
      <c r="BU3310" s="2" t="s">
        <v>1573</v>
      </c>
      <c r="BV3310" s="2" t="s">
        <v>89</v>
      </c>
      <c r="BW3310" s="2" t="s">
        <v>149</v>
      </c>
      <c r="BX3310" s="2" t="s">
        <v>456</v>
      </c>
      <c r="BY3310" s="2">
        <v>7800</v>
      </c>
      <c r="CA3310" s="2" t="s">
        <v>439</v>
      </c>
      <c r="CC3310" s="2" t="s">
        <v>153</v>
      </c>
      <c r="CD3310" s="2">
        <v>1422</v>
      </c>
      <c r="CE3310" s="2" t="s">
        <v>87</v>
      </c>
      <c r="CI3310" s="2">
        <v>1</v>
      </c>
      <c r="CJ3310" s="2">
        <v>3</v>
      </c>
      <c r="CK3310" s="2">
        <v>22</v>
      </c>
      <c r="CL3310" s="2" t="s">
        <v>89</v>
      </c>
    </row>
    <row r="3311" spans="1:90">
      <c r="A3311" s="2" t="s">
        <v>71</v>
      </c>
      <c r="B3311" s="2" t="s">
        <v>72</v>
      </c>
      <c r="C3311" s="2" t="s">
        <v>73</v>
      </c>
      <c r="E3311" s="2" t="str">
        <f>"FES1162597570"</f>
        <v>FES1162597570</v>
      </c>
      <c r="F3311" s="3">
        <v>43091</v>
      </c>
      <c r="G3311" s="2">
        <v>201806</v>
      </c>
      <c r="H3311" s="2" t="s">
        <v>74</v>
      </c>
      <c r="I3311" s="2" t="s">
        <v>75</v>
      </c>
      <c r="J3311" s="2" t="s">
        <v>97</v>
      </c>
      <c r="K3311" s="2" t="s">
        <v>77</v>
      </c>
      <c r="L3311" s="2" t="s">
        <v>115</v>
      </c>
      <c r="M3311" s="2" t="s">
        <v>116</v>
      </c>
      <c r="N3311" s="2" t="s">
        <v>2822</v>
      </c>
      <c r="O3311" s="2" t="s">
        <v>101</v>
      </c>
      <c r="P3311" s="2" t="str">
        <f>"2170607395                    "</f>
        <v xml:space="preserve">2170607395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5.03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35.89</v>
      </c>
      <c r="BM3311" s="2">
        <v>5.0199999999999996</v>
      </c>
      <c r="BN3311" s="2">
        <v>40.909999999999997</v>
      </c>
      <c r="BO3311" s="2">
        <v>40.909999999999997</v>
      </c>
      <c r="BQ3311" s="2" t="s">
        <v>102</v>
      </c>
      <c r="BR3311" s="2" t="s">
        <v>103</v>
      </c>
      <c r="BS3311" s="3">
        <v>43096</v>
      </c>
      <c r="BT3311" s="4">
        <v>0.4375</v>
      </c>
      <c r="BU3311" s="2" t="s">
        <v>2996</v>
      </c>
      <c r="BV3311" s="2" t="s">
        <v>89</v>
      </c>
      <c r="BW3311" s="2" t="s">
        <v>149</v>
      </c>
      <c r="BX3311" s="2" t="s">
        <v>456</v>
      </c>
      <c r="BY3311" s="2">
        <v>1200</v>
      </c>
      <c r="CC3311" s="2" t="s">
        <v>116</v>
      </c>
      <c r="CD3311" s="2">
        <v>1459</v>
      </c>
      <c r="CE3311" s="2" t="s">
        <v>120</v>
      </c>
      <c r="CI3311" s="2">
        <v>1</v>
      </c>
      <c r="CJ3311" s="2">
        <v>3</v>
      </c>
      <c r="CK3311" s="2">
        <v>22</v>
      </c>
      <c r="CL3311" s="2" t="s">
        <v>89</v>
      </c>
    </row>
    <row r="3312" spans="1:90">
      <c r="A3312" s="2" t="s">
        <v>71</v>
      </c>
      <c r="B3312" s="2" t="s">
        <v>72</v>
      </c>
      <c r="C3312" s="2" t="s">
        <v>73</v>
      </c>
      <c r="E3312" s="2" t="str">
        <f>"FES1162597568"</f>
        <v>FES1162597568</v>
      </c>
      <c r="F3312" s="3">
        <v>43091</v>
      </c>
      <c r="G3312" s="2">
        <v>201806</v>
      </c>
      <c r="H3312" s="2" t="s">
        <v>74</v>
      </c>
      <c r="I3312" s="2" t="s">
        <v>75</v>
      </c>
      <c r="J3312" s="2" t="s">
        <v>97</v>
      </c>
      <c r="K3312" s="2" t="s">
        <v>77</v>
      </c>
      <c r="L3312" s="2" t="s">
        <v>158</v>
      </c>
      <c r="M3312" s="2" t="s">
        <v>159</v>
      </c>
      <c r="N3312" s="2" t="s">
        <v>2744</v>
      </c>
      <c r="O3312" s="2" t="s">
        <v>101</v>
      </c>
      <c r="P3312" s="2" t="str">
        <f>"2170607127                    "</f>
        <v xml:space="preserve">2170607127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6.43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45.93</v>
      </c>
      <c r="BM3312" s="2">
        <v>6.43</v>
      </c>
      <c r="BN3312" s="2">
        <v>52.36</v>
      </c>
      <c r="BO3312" s="2">
        <v>52.36</v>
      </c>
      <c r="BQ3312" s="2" t="s">
        <v>102</v>
      </c>
      <c r="BR3312" s="2" t="s">
        <v>103</v>
      </c>
      <c r="BS3312" s="2" t="s">
        <v>185</v>
      </c>
      <c r="BY3312" s="2">
        <v>1200</v>
      </c>
      <c r="CC3312" s="2" t="s">
        <v>159</v>
      </c>
      <c r="CD3312" s="2">
        <v>1</v>
      </c>
      <c r="CE3312" s="2" t="s">
        <v>120</v>
      </c>
      <c r="CI3312" s="2">
        <v>1</v>
      </c>
      <c r="CJ3312" s="2" t="s">
        <v>185</v>
      </c>
      <c r="CK3312" s="2">
        <v>21</v>
      </c>
      <c r="CL3312" s="2" t="s">
        <v>89</v>
      </c>
    </row>
    <row r="3313" spans="1:90">
      <c r="A3313" s="2" t="s">
        <v>71</v>
      </c>
      <c r="B3313" s="2" t="s">
        <v>72</v>
      </c>
      <c r="C3313" s="2" t="s">
        <v>73</v>
      </c>
      <c r="E3313" s="2" t="str">
        <f>"FES1162597587"</f>
        <v>FES1162597587</v>
      </c>
      <c r="F3313" s="3">
        <v>43091</v>
      </c>
      <c r="G3313" s="2">
        <v>201806</v>
      </c>
      <c r="H3313" s="2" t="s">
        <v>74</v>
      </c>
      <c r="I3313" s="2" t="s">
        <v>75</v>
      </c>
      <c r="J3313" s="2" t="s">
        <v>97</v>
      </c>
      <c r="K3313" s="2" t="s">
        <v>77</v>
      </c>
      <c r="L3313" s="2" t="s">
        <v>145</v>
      </c>
      <c r="M3313" s="2" t="s">
        <v>146</v>
      </c>
      <c r="N3313" s="2" t="s">
        <v>753</v>
      </c>
      <c r="O3313" s="2" t="s">
        <v>101</v>
      </c>
      <c r="P3313" s="2" t="str">
        <f>"2170608797                    "</f>
        <v xml:space="preserve">2170608797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6.43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45.93</v>
      </c>
      <c r="BM3313" s="2">
        <v>6.43</v>
      </c>
      <c r="BN3313" s="2">
        <v>52.36</v>
      </c>
      <c r="BO3313" s="2">
        <v>52.36</v>
      </c>
      <c r="BQ3313" s="2" t="s">
        <v>82</v>
      </c>
      <c r="BR3313" s="2" t="s">
        <v>103</v>
      </c>
      <c r="BS3313" s="2" t="s">
        <v>185</v>
      </c>
      <c r="BY3313" s="2">
        <v>1200</v>
      </c>
      <c r="CC3313" s="2" t="s">
        <v>146</v>
      </c>
      <c r="CD3313" s="2">
        <v>5201</v>
      </c>
      <c r="CE3313" s="2" t="s">
        <v>120</v>
      </c>
      <c r="CI3313" s="2">
        <v>1</v>
      </c>
      <c r="CJ3313" s="2" t="s">
        <v>185</v>
      </c>
      <c r="CK3313" s="2">
        <v>21</v>
      </c>
      <c r="CL3313" s="2" t="s">
        <v>89</v>
      </c>
    </row>
    <row r="3314" spans="1:90">
      <c r="A3314" s="2" t="s">
        <v>71</v>
      </c>
      <c r="B3314" s="2" t="s">
        <v>72</v>
      </c>
      <c r="C3314" s="2" t="s">
        <v>73</v>
      </c>
      <c r="E3314" s="2" t="str">
        <f>"FES1162597553"</f>
        <v>FES1162597553</v>
      </c>
      <c r="F3314" s="3">
        <v>43091</v>
      </c>
      <c r="G3314" s="2">
        <v>201806</v>
      </c>
      <c r="H3314" s="2" t="s">
        <v>74</v>
      </c>
      <c r="I3314" s="2" t="s">
        <v>75</v>
      </c>
      <c r="J3314" s="2" t="s">
        <v>97</v>
      </c>
      <c r="K3314" s="2" t="s">
        <v>77</v>
      </c>
      <c r="L3314" s="2" t="s">
        <v>125</v>
      </c>
      <c r="M3314" s="2" t="s">
        <v>126</v>
      </c>
      <c r="N3314" s="2" t="s">
        <v>3074</v>
      </c>
      <c r="O3314" s="2" t="s">
        <v>101</v>
      </c>
      <c r="P3314" s="2" t="str">
        <f>"217060788                     "</f>
        <v xml:space="preserve">217060788 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30.55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8.4</v>
      </c>
      <c r="BJ3314" s="2">
        <v>9.5</v>
      </c>
      <c r="BK3314" s="2">
        <v>9.5</v>
      </c>
      <c r="BL3314" s="2">
        <v>218.1</v>
      </c>
      <c r="BM3314" s="2">
        <v>30.53</v>
      </c>
      <c r="BN3314" s="2">
        <v>248.63</v>
      </c>
      <c r="BO3314" s="2">
        <v>248.63</v>
      </c>
      <c r="BR3314" s="2" t="s">
        <v>103</v>
      </c>
      <c r="BS3314" s="3">
        <v>43096</v>
      </c>
      <c r="BT3314" s="4">
        <v>0.33333333333333331</v>
      </c>
      <c r="BU3314" s="2" t="s">
        <v>3075</v>
      </c>
      <c r="BV3314" s="2" t="s">
        <v>89</v>
      </c>
      <c r="BW3314" s="2" t="s">
        <v>149</v>
      </c>
      <c r="BX3314" s="2" t="s">
        <v>219</v>
      </c>
      <c r="BY3314" s="2">
        <v>47449.58</v>
      </c>
      <c r="CC3314" s="2" t="s">
        <v>126</v>
      </c>
      <c r="CD3314" s="2">
        <v>4094</v>
      </c>
      <c r="CE3314" s="2" t="s">
        <v>87</v>
      </c>
      <c r="CF3314" s="3">
        <v>43097</v>
      </c>
      <c r="CI3314" s="2">
        <v>1</v>
      </c>
      <c r="CJ3314" s="2">
        <v>3</v>
      </c>
      <c r="CK3314" s="2">
        <v>21</v>
      </c>
      <c r="CL3314" s="2" t="s">
        <v>89</v>
      </c>
    </row>
    <row r="3315" spans="1:90">
      <c r="A3315" s="2" t="s">
        <v>71</v>
      </c>
      <c r="B3315" s="2" t="s">
        <v>72</v>
      </c>
      <c r="C3315" s="2" t="s">
        <v>73</v>
      </c>
      <c r="E3315" s="2" t="str">
        <f>"FES1162597556"</f>
        <v>FES1162597556</v>
      </c>
      <c r="F3315" s="3">
        <v>43091</v>
      </c>
      <c r="G3315" s="2">
        <v>201806</v>
      </c>
      <c r="H3315" s="2" t="s">
        <v>74</v>
      </c>
      <c r="I3315" s="2" t="s">
        <v>75</v>
      </c>
      <c r="J3315" s="2" t="s">
        <v>97</v>
      </c>
      <c r="K3315" s="2" t="s">
        <v>77</v>
      </c>
      <c r="L3315" s="2" t="s">
        <v>136</v>
      </c>
      <c r="M3315" s="2" t="s">
        <v>137</v>
      </c>
      <c r="N3315" s="2" t="s">
        <v>1026</v>
      </c>
      <c r="O3315" s="2" t="s">
        <v>101</v>
      </c>
      <c r="P3315" s="2" t="str">
        <f>"2170607872                    "</f>
        <v xml:space="preserve">2170607872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41.81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193.47</v>
      </c>
      <c r="BF3315" s="2">
        <v>0</v>
      </c>
      <c r="BG3315" s="2">
        <v>0</v>
      </c>
      <c r="BH3315" s="2">
        <v>1</v>
      </c>
      <c r="BI3315" s="2">
        <v>12.9</v>
      </c>
      <c r="BJ3315" s="2">
        <v>3.7</v>
      </c>
      <c r="BK3315" s="2">
        <v>13</v>
      </c>
      <c r="BL3315" s="2">
        <v>491.92</v>
      </c>
      <c r="BM3315" s="2">
        <v>68.87</v>
      </c>
      <c r="BN3315" s="2">
        <v>560.79</v>
      </c>
      <c r="BO3315" s="2">
        <v>560.79</v>
      </c>
      <c r="BP3315" s="2" t="s">
        <v>3076</v>
      </c>
      <c r="BQ3315" s="2" t="s">
        <v>3077</v>
      </c>
      <c r="BR3315" s="2" t="s">
        <v>103</v>
      </c>
      <c r="BS3315" s="3">
        <v>43096</v>
      </c>
      <c r="BT3315" s="4">
        <v>0.3576388888888889</v>
      </c>
      <c r="BU3315" s="2" t="s">
        <v>3078</v>
      </c>
      <c r="BV3315" s="2" t="s">
        <v>89</v>
      </c>
      <c r="BW3315" s="2" t="s">
        <v>3079</v>
      </c>
      <c r="BX3315" s="2" t="s">
        <v>314</v>
      </c>
      <c r="BY3315" s="2">
        <v>18467.25</v>
      </c>
      <c r="BZ3315" s="2" t="s">
        <v>3080</v>
      </c>
      <c r="CC3315" s="2" t="s">
        <v>137</v>
      </c>
      <c r="CD3315" s="2">
        <v>6001</v>
      </c>
      <c r="CE3315" s="2" t="s">
        <v>95</v>
      </c>
      <c r="CF3315" s="3">
        <v>43097</v>
      </c>
      <c r="CI3315" s="2">
        <v>1</v>
      </c>
      <c r="CJ3315" s="2">
        <v>5</v>
      </c>
      <c r="CK3315" s="2">
        <v>21</v>
      </c>
      <c r="CL3315" s="2" t="s">
        <v>89</v>
      </c>
    </row>
    <row r="3316" spans="1:90">
      <c r="A3316" s="2" t="s">
        <v>71</v>
      </c>
      <c r="B3316" s="2" t="s">
        <v>72</v>
      </c>
      <c r="C3316" s="2" t="s">
        <v>73</v>
      </c>
      <c r="E3316" s="2" t="str">
        <f>"FES1162597561"</f>
        <v>FES1162597561</v>
      </c>
      <c r="F3316" s="3">
        <v>43091</v>
      </c>
      <c r="G3316" s="2">
        <v>201806</v>
      </c>
      <c r="H3316" s="2" t="s">
        <v>74</v>
      </c>
      <c r="I3316" s="2" t="s">
        <v>75</v>
      </c>
      <c r="J3316" s="2" t="s">
        <v>97</v>
      </c>
      <c r="K3316" s="2" t="s">
        <v>77</v>
      </c>
      <c r="L3316" s="2" t="s">
        <v>551</v>
      </c>
      <c r="M3316" s="2" t="s">
        <v>552</v>
      </c>
      <c r="N3316" s="2" t="s">
        <v>1002</v>
      </c>
      <c r="O3316" s="2" t="s">
        <v>101</v>
      </c>
      <c r="P3316" s="2" t="str">
        <f>"2170605522                    "</f>
        <v xml:space="preserve">2170605522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6.43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</v>
      </c>
      <c r="BJ3316" s="2">
        <v>0.2</v>
      </c>
      <c r="BK3316" s="2">
        <v>1</v>
      </c>
      <c r="BL3316" s="2">
        <v>45.93</v>
      </c>
      <c r="BM3316" s="2">
        <v>6.43</v>
      </c>
      <c r="BN3316" s="2">
        <v>52.36</v>
      </c>
      <c r="BO3316" s="2">
        <v>52.36</v>
      </c>
      <c r="BQ3316" s="2" t="s">
        <v>102</v>
      </c>
      <c r="BR3316" s="2" t="s">
        <v>103</v>
      </c>
      <c r="BS3316" s="2" t="s">
        <v>185</v>
      </c>
      <c r="BY3316" s="2">
        <v>1200</v>
      </c>
      <c r="CC3316" s="2" t="s">
        <v>552</v>
      </c>
      <c r="CD3316" s="2">
        <v>3310</v>
      </c>
      <c r="CE3316" s="2" t="s">
        <v>120</v>
      </c>
      <c r="CI3316" s="2">
        <v>1</v>
      </c>
      <c r="CJ3316" s="2" t="s">
        <v>185</v>
      </c>
      <c r="CK3316" s="2">
        <v>21</v>
      </c>
      <c r="CL3316" s="2" t="s">
        <v>89</v>
      </c>
    </row>
    <row r="3317" spans="1:90">
      <c r="A3317" s="2" t="s">
        <v>71</v>
      </c>
      <c r="B3317" s="2" t="s">
        <v>72</v>
      </c>
      <c r="C3317" s="2" t="s">
        <v>73</v>
      </c>
      <c r="E3317" s="2" t="str">
        <f>"FES1162597560"</f>
        <v>FES1162597560</v>
      </c>
      <c r="F3317" s="3">
        <v>43091</v>
      </c>
      <c r="G3317" s="2">
        <v>201806</v>
      </c>
      <c r="H3317" s="2" t="s">
        <v>74</v>
      </c>
      <c r="I3317" s="2" t="s">
        <v>75</v>
      </c>
      <c r="J3317" s="2" t="s">
        <v>97</v>
      </c>
      <c r="K3317" s="2" t="s">
        <v>77</v>
      </c>
      <c r="L3317" s="2" t="s">
        <v>158</v>
      </c>
      <c r="M3317" s="2" t="s">
        <v>159</v>
      </c>
      <c r="N3317" s="2" t="s">
        <v>700</v>
      </c>
      <c r="O3317" s="2" t="s">
        <v>101</v>
      </c>
      <c r="P3317" s="2" t="str">
        <f>"2170605009                    "</f>
        <v xml:space="preserve">2170605009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6.43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45.93</v>
      </c>
      <c r="BM3317" s="2">
        <v>6.43</v>
      </c>
      <c r="BN3317" s="2">
        <v>52.36</v>
      </c>
      <c r="BO3317" s="2">
        <v>52.36</v>
      </c>
      <c r="BQ3317" s="2" t="s">
        <v>102</v>
      </c>
      <c r="BR3317" s="2" t="s">
        <v>103</v>
      </c>
      <c r="BS3317" s="2" t="s">
        <v>185</v>
      </c>
      <c r="BY3317" s="2">
        <v>1200</v>
      </c>
      <c r="CC3317" s="2" t="s">
        <v>159</v>
      </c>
      <c r="CD3317" s="2">
        <v>184</v>
      </c>
      <c r="CE3317" s="2" t="s">
        <v>120</v>
      </c>
      <c r="CI3317" s="2">
        <v>1</v>
      </c>
      <c r="CJ3317" s="2" t="s">
        <v>185</v>
      </c>
      <c r="CK3317" s="2">
        <v>21</v>
      </c>
      <c r="CL3317" s="2" t="s">
        <v>89</v>
      </c>
    </row>
    <row r="3318" spans="1:90">
      <c r="A3318" s="2" t="s">
        <v>71</v>
      </c>
      <c r="B3318" s="2" t="s">
        <v>72</v>
      </c>
      <c r="C3318" s="2" t="s">
        <v>73</v>
      </c>
      <c r="E3318" s="2" t="str">
        <f>"FES1162597575"</f>
        <v>FES1162597575</v>
      </c>
      <c r="F3318" s="3">
        <v>43091</v>
      </c>
      <c r="G3318" s="2">
        <v>201806</v>
      </c>
      <c r="H3318" s="2" t="s">
        <v>74</v>
      </c>
      <c r="I3318" s="2" t="s">
        <v>75</v>
      </c>
      <c r="J3318" s="2" t="s">
        <v>97</v>
      </c>
      <c r="K3318" s="2" t="s">
        <v>77</v>
      </c>
      <c r="L3318" s="2" t="s">
        <v>136</v>
      </c>
      <c r="M3318" s="2" t="s">
        <v>137</v>
      </c>
      <c r="N3318" s="2" t="s">
        <v>1586</v>
      </c>
      <c r="O3318" s="2" t="s">
        <v>101</v>
      </c>
      <c r="P3318" s="2" t="str">
        <f>"2170607886                    "</f>
        <v xml:space="preserve">2170607886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6.43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1</v>
      </c>
      <c r="BJ3318" s="2">
        <v>0.2</v>
      </c>
      <c r="BK3318" s="2">
        <v>1</v>
      </c>
      <c r="BL3318" s="2">
        <v>45.93</v>
      </c>
      <c r="BM3318" s="2">
        <v>6.43</v>
      </c>
      <c r="BN3318" s="2">
        <v>52.36</v>
      </c>
      <c r="BO3318" s="2">
        <v>52.36</v>
      </c>
      <c r="BQ3318" s="2" t="s">
        <v>82</v>
      </c>
      <c r="BR3318" s="2" t="s">
        <v>103</v>
      </c>
      <c r="BS3318" s="3">
        <v>43097</v>
      </c>
      <c r="BT3318" s="4">
        <v>0.4375</v>
      </c>
      <c r="BU3318" s="2" t="s">
        <v>3053</v>
      </c>
      <c r="BV3318" s="2" t="s">
        <v>89</v>
      </c>
      <c r="BW3318" s="2" t="s">
        <v>313</v>
      </c>
      <c r="BX3318" s="2" t="s">
        <v>314</v>
      </c>
      <c r="BY3318" s="2">
        <v>1200</v>
      </c>
      <c r="CA3318" s="2" t="s">
        <v>767</v>
      </c>
      <c r="CC3318" s="2" t="s">
        <v>137</v>
      </c>
      <c r="CD3318" s="2">
        <v>6045</v>
      </c>
      <c r="CE3318" s="2" t="s">
        <v>120</v>
      </c>
      <c r="CF3318" s="3">
        <v>43097</v>
      </c>
      <c r="CI3318" s="2">
        <v>1</v>
      </c>
      <c r="CJ3318" s="2">
        <v>4</v>
      </c>
      <c r="CK3318" s="2">
        <v>21</v>
      </c>
      <c r="CL3318" s="2" t="s">
        <v>89</v>
      </c>
    </row>
    <row r="3319" spans="1:90">
      <c r="A3319" s="2" t="s">
        <v>71</v>
      </c>
      <c r="B3319" s="2" t="s">
        <v>72</v>
      </c>
      <c r="C3319" s="2" t="s">
        <v>73</v>
      </c>
      <c r="E3319" s="2" t="str">
        <f>"FES1162597589"</f>
        <v>FES1162597589</v>
      </c>
      <c r="F3319" s="3">
        <v>43091</v>
      </c>
      <c r="G3319" s="2">
        <v>201806</v>
      </c>
      <c r="H3319" s="2" t="s">
        <v>74</v>
      </c>
      <c r="I3319" s="2" t="s">
        <v>75</v>
      </c>
      <c r="J3319" s="2" t="s">
        <v>97</v>
      </c>
      <c r="K3319" s="2" t="s">
        <v>77</v>
      </c>
      <c r="L3319" s="2" t="s">
        <v>136</v>
      </c>
      <c r="M3319" s="2" t="s">
        <v>137</v>
      </c>
      <c r="N3319" s="2" t="s">
        <v>1457</v>
      </c>
      <c r="O3319" s="2" t="s">
        <v>101</v>
      </c>
      <c r="P3319" s="2" t="str">
        <f>"217060799                     "</f>
        <v xml:space="preserve">217060799 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6.43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1</v>
      </c>
      <c r="BJ3319" s="2">
        <v>0.2</v>
      </c>
      <c r="BK3319" s="2">
        <v>1</v>
      </c>
      <c r="BL3319" s="2">
        <v>45.93</v>
      </c>
      <c r="BM3319" s="2">
        <v>6.43</v>
      </c>
      <c r="BN3319" s="2">
        <v>52.36</v>
      </c>
      <c r="BO3319" s="2">
        <v>52.36</v>
      </c>
      <c r="BQ3319" s="2" t="s">
        <v>1458</v>
      </c>
      <c r="BR3319" s="2" t="s">
        <v>103</v>
      </c>
      <c r="BS3319" s="2" t="s">
        <v>185</v>
      </c>
      <c r="BY3319" s="2">
        <v>1200</v>
      </c>
      <c r="CC3319" s="2" t="s">
        <v>137</v>
      </c>
      <c r="CD3319" s="2">
        <v>6001</v>
      </c>
      <c r="CE3319" s="2" t="s">
        <v>120</v>
      </c>
      <c r="CI3319" s="2">
        <v>1</v>
      </c>
      <c r="CJ3319" s="2" t="s">
        <v>185</v>
      </c>
      <c r="CK3319" s="2">
        <v>21</v>
      </c>
      <c r="CL3319" s="2" t="s">
        <v>89</v>
      </c>
    </row>
    <row r="3320" spans="1:90">
      <c r="A3320" s="2" t="s">
        <v>71</v>
      </c>
      <c r="B3320" s="2" t="s">
        <v>72</v>
      </c>
      <c r="C3320" s="2" t="s">
        <v>73</v>
      </c>
      <c r="E3320" s="2" t="str">
        <f>"FES1162597577"</f>
        <v>FES1162597577</v>
      </c>
      <c r="F3320" s="3">
        <v>43091</v>
      </c>
      <c r="G3320" s="2">
        <v>201806</v>
      </c>
      <c r="H3320" s="2" t="s">
        <v>74</v>
      </c>
      <c r="I3320" s="2" t="s">
        <v>75</v>
      </c>
      <c r="J3320" s="2" t="s">
        <v>97</v>
      </c>
      <c r="K3320" s="2" t="s">
        <v>77</v>
      </c>
      <c r="L3320" s="2" t="s">
        <v>526</v>
      </c>
      <c r="M3320" s="2" t="s">
        <v>527</v>
      </c>
      <c r="N3320" s="2" t="s">
        <v>3067</v>
      </c>
      <c r="O3320" s="2" t="s">
        <v>101</v>
      </c>
      <c r="P3320" s="2" t="str">
        <f>"2170608012                    "</f>
        <v xml:space="preserve">2170608012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6.43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0.5</v>
      </c>
      <c r="BJ3320" s="2">
        <v>0.2</v>
      </c>
      <c r="BK3320" s="2">
        <v>0.5</v>
      </c>
      <c r="BL3320" s="2">
        <v>45.93</v>
      </c>
      <c r="BM3320" s="2">
        <v>6.43</v>
      </c>
      <c r="BN3320" s="2">
        <v>52.36</v>
      </c>
      <c r="BO3320" s="2">
        <v>52.36</v>
      </c>
      <c r="BQ3320" s="2" t="s">
        <v>3068</v>
      </c>
      <c r="BR3320" s="2" t="s">
        <v>103</v>
      </c>
      <c r="BS3320" s="3">
        <v>43096</v>
      </c>
      <c r="BT3320" s="4">
        <v>0.37222222222222223</v>
      </c>
      <c r="BU3320" s="2" t="s">
        <v>3081</v>
      </c>
      <c r="BV3320" s="2" t="s">
        <v>85</v>
      </c>
      <c r="BY3320" s="2">
        <v>1200</v>
      </c>
      <c r="CA3320" s="2" t="s">
        <v>530</v>
      </c>
      <c r="CC3320" s="2" t="s">
        <v>527</v>
      </c>
      <c r="CD3320" s="2">
        <v>6850</v>
      </c>
      <c r="CE3320" s="2" t="s">
        <v>120</v>
      </c>
      <c r="CF3320" s="3">
        <v>43097</v>
      </c>
      <c r="CI3320" s="2">
        <v>3</v>
      </c>
      <c r="CJ3320" s="2">
        <v>3</v>
      </c>
      <c r="CK3320" s="2">
        <v>21</v>
      </c>
      <c r="CL3320" s="2" t="s">
        <v>89</v>
      </c>
    </row>
    <row r="3321" spans="1:90">
      <c r="A3321" s="2" t="s">
        <v>71</v>
      </c>
      <c r="B3321" s="2" t="s">
        <v>72</v>
      </c>
      <c r="C3321" s="2" t="s">
        <v>73</v>
      </c>
      <c r="E3321" s="2" t="str">
        <f>"FES1162597573"</f>
        <v>FES1162597573</v>
      </c>
      <c r="F3321" s="3">
        <v>43091</v>
      </c>
      <c r="G3321" s="2">
        <v>201806</v>
      </c>
      <c r="H3321" s="2" t="s">
        <v>74</v>
      </c>
      <c r="I3321" s="2" t="s">
        <v>75</v>
      </c>
      <c r="J3321" s="2" t="s">
        <v>97</v>
      </c>
      <c r="K3321" s="2" t="s">
        <v>77</v>
      </c>
      <c r="L3321" s="2" t="s">
        <v>173</v>
      </c>
      <c r="M3321" s="2" t="s">
        <v>174</v>
      </c>
      <c r="N3321" s="2" t="s">
        <v>1039</v>
      </c>
      <c r="O3321" s="2" t="s">
        <v>101</v>
      </c>
      <c r="P3321" s="2" t="str">
        <f>"2170607587                    "</f>
        <v xml:space="preserve">2170607587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6.43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45.93</v>
      </c>
      <c r="BM3321" s="2">
        <v>6.43</v>
      </c>
      <c r="BN3321" s="2">
        <v>52.36</v>
      </c>
      <c r="BO3321" s="2">
        <v>52.36</v>
      </c>
      <c r="BQ3321" s="2" t="s">
        <v>1040</v>
      </c>
      <c r="BR3321" s="2" t="s">
        <v>103</v>
      </c>
      <c r="BS3321" s="2" t="s">
        <v>185</v>
      </c>
      <c r="BY3321" s="2">
        <v>1200</v>
      </c>
      <c r="CC3321" s="2" t="s">
        <v>174</v>
      </c>
      <c r="CD3321" s="2">
        <v>7530</v>
      </c>
      <c r="CE3321" s="2" t="s">
        <v>120</v>
      </c>
      <c r="CI3321" s="2">
        <v>1</v>
      </c>
      <c r="CJ3321" s="2" t="s">
        <v>185</v>
      </c>
      <c r="CK3321" s="2">
        <v>21</v>
      </c>
      <c r="CL3321" s="2" t="s">
        <v>89</v>
      </c>
    </row>
    <row r="3322" spans="1:90">
      <c r="A3322" s="2" t="s">
        <v>71</v>
      </c>
      <c r="B3322" s="2" t="s">
        <v>72</v>
      </c>
      <c r="C3322" s="2" t="s">
        <v>73</v>
      </c>
      <c r="E3322" s="2" t="str">
        <f>"FES1162597594"</f>
        <v>FES1162597594</v>
      </c>
      <c r="F3322" s="3">
        <v>43091</v>
      </c>
      <c r="G3322" s="2">
        <v>201806</v>
      </c>
      <c r="H3322" s="2" t="s">
        <v>74</v>
      </c>
      <c r="I3322" s="2" t="s">
        <v>75</v>
      </c>
      <c r="J3322" s="2" t="s">
        <v>97</v>
      </c>
      <c r="K3322" s="2" t="s">
        <v>77</v>
      </c>
      <c r="L3322" s="2" t="s">
        <v>173</v>
      </c>
      <c r="M3322" s="2" t="s">
        <v>174</v>
      </c>
      <c r="N3322" s="2" t="s">
        <v>175</v>
      </c>
      <c r="O3322" s="2" t="s">
        <v>101</v>
      </c>
      <c r="P3322" s="2" t="str">
        <f>"217060884                     "</f>
        <v xml:space="preserve">217060884 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6.43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0.6</v>
      </c>
      <c r="BJ3322" s="2">
        <v>0.9</v>
      </c>
      <c r="BK3322" s="2">
        <v>1</v>
      </c>
      <c r="BL3322" s="2">
        <v>45.93</v>
      </c>
      <c r="BM3322" s="2">
        <v>6.43</v>
      </c>
      <c r="BN3322" s="2">
        <v>52.36</v>
      </c>
      <c r="BO3322" s="2">
        <v>52.36</v>
      </c>
      <c r="BQ3322" s="2" t="s">
        <v>102</v>
      </c>
      <c r="BR3322" s="2" t="s">
        <v>103</v>
      </c>
      <c r="BS3322" s="2" t="s">
        <v>185</v>
      </c>
      <c r="BY3322" s="2">
        <v>4485.38</v>
      </c>
      <c r="CC3322" s="2" t="s">
        <v>174</v>
      </c>
      <c r="CD3322" s="2">
        <v>7405</v>
      </c>
      <c r="CE3322" s="2" t="s">
        <v>120</v>
      </c>
      <c r="CI3322" s="2">
        <v>1</v>
      </c>
      <c r="CJ3322" s="2" t="s">
        <v>185</v>
      </c>
      <c r="CK3322" s="2">
        <v>21</v>
      </c>
      <c r="CL3322" s="2" t="s">
        <v>89</v>
      </c>
    </row>
    <row r="3323" spans="1:90">
      <c r="A3323" s="2" t="s">
        <v>71</v>
      </c>
      <c r="B3323" s="2" t="s">
        <v>72</v>
      </c>
      <c r="C3323" s="2" t="s">
        <v>73</v>
      </c>
      <c r="E3323" s="2" t="str">
        <f>"FES1162597576"</f>
        <v>FES1162597576</v>
      </c>
      <c r="F3323" s="3">
        <v>43091</v>
      </c>
      <c r="G3323" s="2">
        <v>201806</v>
      </c>
      <c r="H3323" s="2" t="s">
        <v>74</v>
      </c>
      <c r="I3323" s="2" t="s">
        <v>75</v>
      </c>
      <c r="J3323" s="2" t="s">
        <v>97</v>
      </c>
      <c r="K3323" s="2" t="s">
        <v>77</v>
      </c>
      <c r="L3323" s="2" t="s">
        <v>158</v>
      </c>
      <c r="M3323" s="2" t="s">
        <v>159</v>
      </c>
      <c r="N3323" s="2" t="s">
        <v>738</v>
      </c>
      <c r="O3323" s="2" t="s">
        <v>101</v>
      </c>
      <c r="P3323" s="2" t="str">
        <f>"2170607934                    "</f>
        <v xml:space="preserve">2170607934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6.43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1</v>
      </c>
      <c r="BJ3323" s="2">
        <v>0.2</v>
      </c>
      <c r="BK3323" s="2">
        <v>1</v>
      </c>
      <c r="BL3323" s="2">
        <v>45.93</v>
      </c>
      <c r="BM3323" s="2">
        <v>6.43</v>
      </c>
      <c r="BN3323" s="2">
        <v>52.36</v>
      </c>
      <c r="BO3323" s="2">
        <v>52.36</v>
      </c>
      <c r="BQ3323" s="2" t="s">
        <v>739</v>
      </c>
      <c r="BR3323" s="2" t="s">
        <v>103</v>
      </c>
      <c r="BS3323" s="3">
        <v>43096</v>
      </c>
      <c r="BT3323" s="4">
        <v>0.41944444444444445</v>
      </c>
      <c r="BU3323" s="2" t="s">
        <v>2022</v>
      </c>
      <c r="BV3323" s="2" t="s">
        <v>89</v>
      </c>
      <c r="BW3323" s="2" t="s">
        <v>149</v>
      </c>
      <c r="BX3323" s="2" t="s">
        <v>668</v>
      </c>
      <c r="BY3323" s="2">
        <v>1200</v>
      </c>
      <c r="CC3323" s="2" t="s">
        <v>159</v>
      </c>
      <c r="CD3323" s="2">
        <v>117</v>
      </c>
      <c r="CE3323" s="2" t="s">
        <v>120</v>
      </c>
      <c r="CI3323" s="2">
        <v>1</v>
      </c>
      <c r="CJ3323" s="2">
        <v>3</v>
      </c>
      <c r="CK3323" s="2">
        <v>21</v>
      </c>
      <c r="CL3323" s="2" t="s">
        <v>89</v>
      </c>
    </row>
    <row r="3324" spans="1:90">
      <c r="A3324" s="2" t="s">
        <v>71</v>
      </c>
      <c r="B3324" s="2" t="s">
        <v>72</v>
      </c>
      <c r="C3324" s="2" t="s">
        <v>73</v>
      </c>
      <c r="E3324" s="2" t="str">
        <f>"FES1162597582"</f>
        <v>FES1162597582</v>
      </c>
      <c r="F3324" s="3">
        <v>43091</v>
      </c>
      <c r="G3324" s="2">
        <v>201806</v>
      </c>
      <c r="H3324" s="2" t="s">
        <v>74</v>
      </c>
      <c r="I3324" s="2" t="s">
        <v>75</v>
      </c>
      <c r="J3324" s="2" t="s">
        <v>97</v>
      </c>
      <c r="K3324" s="2" t="s">
        <v>77</v>
      </c>
      <c r="L3324" s="2" t="s">
        <v>158</v>
      </c>
      <c r="M3324" s="2" t="s">
        <v>159</v>
      </c>
      <c r="N3324" s="2" t="s">
        <v>164</v>
      </c>
      <c r="O3324" s="2" t="s">
        <v>101</v>
      </c>
      <c r="P3324" s="2" t="str">
        <f>"2170608638                    "</f>
        <v xml:space="preserve">2170608638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6.43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0.5</v>
      </c>
      <c r="BJ3324" s="2">
        <v>0.2</v>
      </c>
      <c r="BK3324" s="2">
        <v>0.5</v>
      </c>
      <c r="BL3324" s="2">
        <v>45.93</v>
      </c>
      <c r="BM3324" s="2">
        <v>6.43</v>
      </c>
      <c r="BN3324" s="2">
        <v>52.36</v>
      </c>
      <c r="BO3324" s="2">
        <v>52.36</v>
      </c>
      <c r="BQ3324" s="2" t="s">
        <v>102</v>
      </c>
      <c r="BR3324" s="2" t="s">
        <v>103</v>
      </c>
      <c r="BS3324" s="3">
        <v>43096</v>
      </c>
      <c r="BT3324" s="4">
        <v>0.4236111111111111</v>
      </c>
      <c r="BU3324" s="2" t="s">
        <v>1323</v>
      </c>
      <c r="BV3324" s="2" t="s">
        <v>89</v>
      </c>
      <c r="BW3324" s="2" t="s">
        <v>149</v>
      </c>
      <c r="BX3324" s="2" t="s">
        <v>668</v>
      </c>
      <c r="BY3324" s="2">
        <v>1200</v>
      </c>
      <c r="CC3324" s="2" t="s">
        <v>159</v>
      </c>
      <c r="CD3324" s="2">
        <v>200</v>
      </c>
      <c r="CE3324" s="2" t="s">
        <v>120</v>
      </c>
      <c r="CI3324" s="2">
        <v>1</v>
      </c>
      <c r="CJ3324" s="2">
        <v>3</v>
      </c>
      <c r="CK3324" s="2">
        <v>21</v>
      </c>
      <c r="CL3324" s="2" t="s">
        <v>89</v>
      </c>
    </row>
    <row r="3325" spans="1:90">
      <c r="A3325" s="2" t="s">
        <v>71</v>
      </c>
      <c r="B3325" s="2" t="s">
        <v>72</v>
      </c>
      <c r="C3325" s="2" t="s">
        <v>73</v>
      </c>
      <c r="E3325" s="2" t="str">
        <f>"FES1162597559"</f>
        <v>FES1162597559</v>
      </c>
      <c r="F3325" s="3">
        <v>43091</v>
      </c>
      <c r="G3325" s="2">
        <v>201806</v>
      </c>
      <c r="H3325" s="2" t="s">
        <v>74</v>
      </c>
      <c r="I3325" s="2" t="s">
        <v>75</v>
      </c>
      <c r="J3325" s="2" t="s">
        <v>97</v>
      </c>
      <c r="K3325" s="2" t="s">
        <v>77</v>
      </c>
      <c r="L3325" s="2" t="s">
        <v>158</v>
      </c>
      <c r="M3325" s="2" t="s">
        <v>159</v>
      </c>
      <c r="N3325" s="2" t="s">
        <v>700</v>
      </c>
      <c r="O3325" s="2" t="s">
        <v>101</v>
      </c>
      <c r="P3325" s="2" t="str">
        <f>"2170604769                    "</f>
        <v xml:space="preserve">2170604769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6.43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45.93</v>
      </c>
      <c r="BM3325" s="2">
        <v>6.43</v>
      </c>
      <c r="BN3325" s="2">
        <v>52.36</v>
      </c>
      <c r="BO3325" s="2">
        <v>52.36</v>
      </c>
      <c r="BQ3325" s="2" t="s">
        <v>102</v>
      </c>
      <c r="BR3325" s="2" t="s">
        <v>103</v>
      </c>
      <c r="BS3325" s="2" t="s">
        <v>185</v>
      </c>
      <c r="BY3325" s="2">
        <v>1200</v>
      </c>
      <c r="CC3325" s="2" t="s">
        <v>159</v>
      </c>
      <c r="CD3325" s="2">
        <v>184</v>
      </c>
      <c r="CE3325" s="2" t="s">
        <v>120</v>
      </c>
      <c r="CI3325" s="2">
        <v>1</v>
      </c>
      <c r="CJ3325" s="2" t="s">
        <v>185</v>
      </c>
      <c r="CK3325" s="2">
        <v>21</v>
      </c>
      <c r="CL3325" s="2" t="s">
        <v>89</v>
      </c>
    </row>
    <row r="3326" spans="1:90">
      <c r="A3326" s="2" t="s">
        <v>71</v>
      </c>
      <c r="B3326" s="2" t="s">
        <v>72</v>
      </c>
      <c r="C3326" s="2" t="s">
        <v>73</v>
      </c>
      <c r="E3326" s="2" t="str">
        <f>"FES1162597563"</f>
        <v>FES1162597563</v>
      </c>
      <c r="F3326" s="3">
        <v>43091</v>
      </c>
      <c r="G3326" s="2">
        <v>201806</v>
      </c>
      <c r="H3326" s="2" t="s">
        <v>74</v>
      </c>
      <c r="I3326" s="2" t="s">
        <v>75</v>
      </c>
      <c r="J3326" s="2" t="s">
        <v>97</v>
      </c>
      <c r="K3326" s="2" t="s">
        <v>77</v>
      </c>
      <c r="L3326" s="2" t="s">
        <v>74</v>
      </c>
      <c r="M3326" s="2" t="s">
        <v>75</v>
      </c>
      <c r="N3326" s="2" t="s">
        <v>3054</v>
      </c>
      <c r="O3326" s="2" t="s">
        <v>101</v>
      </c>
      <c r="P3326" s="2" t="str">
        <f>"2170606001                    "</f>
        <v xml:space="preserve">2170606001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5.03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35.89</v>
      </c>
      <c r="BM3326" s="2">
        <v>5.0199999999999996</v>
      </c>
      <c r="BN3326" s="2">
        <v>40.909999999999997</v>
      </c>
      <c r="BO3326" s="2">
        <v>40.909999999999997</v>
      </c>
      <c r="BQ3326" s="2" t="s">
        <v>3055</v>
      </c>
      <c r="BR3326" s="2" t="s">
        <v>103</v>
      </c>
      <c r="BS3326" s="3">
        <v>43096</v>
      </c>
      <c r="BT3326" s="4">
        <v>0.41319444444444442</v>
      </c>
      <c r="BU3326" s="2" t="s">
        <v>3082</v>
      </c>
      <c r="BV3326" s="2" t="s">
        <v>89</v>
      </c>
      <c r="BW3326" s="2" t="s">
        <v>149</v>
      </c>
      <c r="BX3326" s="2" t="s">
        <v>157</v>
      </c>
      <c r="BY3326" s="2">
        <v>1200</v>
      </c>
      <c r="CA3326" s="2" t="s">
        <v>366</v>
      </c>
      <c r="CC3326" s="2" t="s">
        <v>75</v>
      </c>
      <c r="CD3326" s="2">
        <v>1601</v>
      </c>
      <c r="CE3326" s="2" t="s">
        <v>120</v>
      </c>
      <c r="CF3326" s="3">
        <v>43098</v>
      </c>
      <c r="CI3326" s="2">
        <v>1</v>
      </c>
      <c r="CJ3326" s="2">
        <v>3</v>
      </c>
      <c r="CK3326" s="2">
        <v>22</v>
      </c>
      <c r="CL3326" s="2" t="s">
        <v>89</v>
      </c>
    </row>
    <row r="3327" spans="1:90">
      <c r="A3327" s="2" t="s">
        <v>71</v>
      </c>
      <c r="B3327" s="2" t="s">
        <v>72</v>
      </c>
      <c r="C3327" s="2" t="s">
        <v>73</v>
      </c>
      <c r="E3327" s="2" t="str">
        <f>"FES1162597569"</f>
        <v>FES1162597569</v>
      </c>
      <c r="F3327" s="3">
        <v>43091</v>
      </c>
      <c r="G3327" s="2">
        <v>201806</v>
      </c>
      <c r="H3327" s="2" t="s">
        <v>74</v>
      </c>
      <c r="I3327" s="2" t="s">
        <v>75</v>
      </c>
      <c r="J3327" s="2" t="s">
        <v>97</v>
      </c>
      <c r="K3327" s="2" t="s">
        <v>77</v>
      </c>
      <c r="L3327" s="2" t="s">
        <v>325</v>
      </c>
      <c r="M3327" s="2" t="s">
        <v>326</v>
      </c>
      <c r="N3327" s="2" t="s">
        <v>1129</v>
      </c>
      <c r="O3327" s="2" t="s">
        <v>101</v>
      </c>
      <c r="P3327" s="2" t="str">
        <f>"2170607211                    "</f>
        <v xml:space="preserve">2170607211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6.43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1</v>
      </c>
      <c r="BJ3327" s="2">
        <v>0.2</v>
      </c>
      <c r="BK3327" s="2">
        <v>1</v>
      </c>
      <c r="BL3327" s="2">
        <v>45.93</v>
      </c>
      <c r="BM3327" s="2">
        <v>6.43</v>
      </c>
      <c r="BN3327" s="2">
        <v>52.36</v>
      </c>
      <c r="BO3327" s="2">
        <v>52.36</v>
      </c>
      <c r="BQ3327" s="2" t="s">
        <v>102</v>
      </c>
      <c r="BR3327" s="2" t="s">
        <v>103</v>
      </c>
      <c r="BS3327" s="2" t="s">
        <v>185</v>
      </c>
      <c r="BY3327" s="2">
        <v>1200</v>
      </c>
      <c r="CC3327" s="2" t="s">
        <v>326</v>
      </c>
      <c r="CD3327" s="2">
        <v>1939</v>
      </c>
      <c r="CE3327" s="2" t="s">
        <v>120</v>
      </c>
      <c r="CI3327" s="2">
        <v>1</v>
      </c>
      <c r="CJ3327" s="2" t="s">
        <v>185</v>
      </c>
      <c r="CK3327" s="2">
        <v>21</v>
      </c>
      <c r="CL3327" s="2" t="s">
        <v>89</v>
      </c>
    </row>
    <row r="3328" spans="1:90">
      <c r="A3328" s="2" t="s">
        <v>71</v>
      </c>
      <c r="B3328" s="2" t="s">
        <v>72</v>
      </c>
      <c r="C3328" s="2" t="s">
        <v>73</v>
      </c>
      <c r="E3328" s="2" t="str">
        <f>"FES1162592111"</f>
        <v>FES1162592111</v>
      </c>
      <c r="F3328" s="3">
        <v>43067</v>
      </c>
      <c r="G3328" s="2">
        <v>201806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136</v>
      </c>
      <c r="M3328" s="2" t="s">
        <v>137</v>
      </c>
      <c r="N3328" s="2" t="s">
        <v>138</v>
      </c>
      <c r="O3328" s="2" t="s">
        <v>81</v>
      </c>
      <c r="P3328" s="2" t="str">
        <f>"2170593633                    "</f>
        <v xml:space="preserve">2170593633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11.56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3</v>
      </c>
      <c r="BI3328" s="2">
        <v>9.3000000000000007</v>
      </c>
      <c r="BJ3328" s="2">
        <v>14.5</v>
      </c>
      <c r="BK3328" s="2">
        <v>15</v>
      </c>
      <c r="BL3328" s="2">
        <v>97.42</v>
      </c>
      <c r="BM3328" s="2">
        <v>13.64</v>
      </c>
      <c r="BN3328" s="2">
        <v>111.06</v>
      </c>
      <c r="BO3328" s="2">
        <v>111.06</v>
      </c>
      <c r="BQ3328" s="2" t="s">
        <v>82</v>
      </c>
      <c r="BR3328" s="2" t="s">
        <v>83</v>
      </c>
      <c r="BS3328" s="3">
        <v>43068</v>
      </c>
      <c r="BT3328" s="4">
        <v>0.33333333333333331</v>
      </c>
      <c r="BU3328" s="2" t="s">
        <v>139</v>
      </c>
      <c r="BV3328" s="2" t="s">
        <v>85</v>
      </c>
      <c r="BY3328" s="2">
        <v>72497.22</v>
      </c>
      <c r="CA3328" s="2" t="s">
        <v>140</v>
      </c>
      <c r="CC3328" s="2" t="s">
        <v>137</v>
      </c>
      <c r="CD3328" s="2">
        <v>6001</v>
      </c>
      <c r="CE3328" s="2" t="s">
        <v>316</v>
      </c>
      <c r="CF3328" s="3">
        <v>43069</v>
      </c>
      <c r="CI3328" s="2">
        <v>2</v>
      </c>
      <c r="CJ3328" s="2">
        <v>1</v>
      </c>
      <c r="CK3328" s="2" t="s">
        <v>271</v>
      </c>
      <c r="CL3328" s="2" t="s">
        <v>89</v>
      </c>
    </row>
    <row r="3329" spans="1:90">
      <c r="A3329" s="2" t="s">
        <v>71</v>
      </c>
      <c r="B3329" s="2" t="s">
        <v>72</v>
      </c>
      <c r="C3329" s="2" t="s">
        <v>73</v>
      </c>
      <c r="E3329" s="2" t="str">
        <f>"009935903240"</f>
        <v>009935903240</v>
      </c>
      <c r="F3329" s="3">
        <v>43073</v>
      </c>
      <c r="G3329" s="2">
        <v>201806</v>
      </c>
      <c r="H3329" s="2" t="s">
        <v>98</v>
      </c>
      <c r="I3329" s="2" t="s">
        <v>99</v>
      </c>
      <c r="J3329" s="2" t="s">
        <v>3083</v>
      </c>
      <c r="K3329" s="2" t="s">
        <v>77</v>
      </c>
      <c r="L3329" s="2" t="s">
        <v>74</v>
      </c>
      <c r="M3329" s="2" t="s">
        <v>75</v>
      </c>
      <c r="N3329" s="2" t="s">
        <v>1684</v>
      </c>
      <c r="O3329" s="2" t="s">
        <v>101</v>
      </c>
      <c r="P3329" s="2" t="str">
        <f>"                              "</f>
        <v xml:space="preserve">          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5.65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1</v>
      </c>
      <c r="BJ3329" s="2">
        <v>0.2</v>
      </c>
      <c r="BK3329" s="2">
        <v>1</v>
      </c>
      <c r="BL3329" s="2">
        <v>45.15</v>
      </c>
      <c r="BM3329" s="2">
        <v>6.32</v>
      </c>
      <c r="BN3329" s="2">
        <v>51.47</v>
      </c>
      <c r="BO3329" s="2">
        <v>51.47</v>
      </c>
      <c r="BR3329" s="2" t="s">
        <v>3084</v>
      </c>
      <c r="BS3329" s="3">
        <v>43074</v>
      </c>
      <c r="BT3329" s="4">
        <v>0.38194444444444442</v>
      </c>
      <c r="BU3329" s="2" t="s">
        <v>365</v>
      </c>
      <c r="BV3329" s="2" t="s">
        <v>85</v>
      </c>
      <c r="BY3329" s="2">
        <v>1200</v>
      </c>
      <c r="BZ3329" s="2" t="s">
        <v>27</v>
      </c>
      <c r="CA3329" s="2" t="s">
        <v>366</v>
      </c>
      <c r="CC3329" s="2" t="s">
        <v>75</v>
      </c>
      <c r="CD3329" s="2">
        <v>1600</v>
      </c>
      <c r="CE3329" s="2" t="s">
        <v>95</v>
      </c>
      <c r="CF3329" s="3">
        <v>43077</v>
      </c>
      <c r="CI3329" s="2">
        <v>1</v>
      </c>
      <c r="CJ3329" s="2">
        <v>1</v>
      </c>
      <c r="CK3329" s="2">
        <v>21</v>
      </c>
      <c r="CL3329" s="2" t="s">
        <v>89</v>
      </c>
    </row>
    <row r="3330" spans="1:90">
      <c r="A3330" s="2" t="s">
        <v>71</v>
      </c>
      <c r="B3330" s="2" t="s">
        <v>72</v>
      </c>
      <c r="C3330" s="2" t="s">
        <v>73</v>
      </c>
      <c r="E3330" s="2" t="str">
        <f>"FES1162597628"</f>
        <v>FES1162597628</v>
      </c>
      <c r="F3330" s="3">
        <v>43091</v>
      </c>
      <c r="G3330" s="2">
        <v>201806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566</v>
      </c>
      <c r="M3330" s="2" t="s">
        <v>567</v>
      </c>
      <c r="N3330" s="2" t="s">
        <v>787</v>
      </c>
      <c r="O3330" s="2" t="s">
        <v>339</v>
      </c>
      <c r="P3330" s="2" t="str">
        <f>"2170604551                    "</f>
        <v xml:space="preserve">2170604551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17.2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6.6</v>
      </c>
      <c r="BJ3330" s="2">
        <v>3.2</v>
      </c>
      <c r="BK3330" s="2">
        <v>7</v>
      </c>
      <c r="BL3330" s="2">
        <v>122.76</v>
      </c>
      <c r="BM3330" s="2">
        <v>17.190000000000001</v>
      </c>
      <c r="BN3330" s="2">
        <v>139.94999999999999</v>
      </c>
      <c r="BO3330" s="2">
        <v>139.94999999999999</v>
      </c>
      <c r="BQ3330" s="2" t="s">
        <v>82</v>
      </c>
      <c r="BR3330" s="2" t="s">
        <v>83</v>
      </c>
      <c r="BS3330" s="2" t="s">
        <v>185</v>
      </c>
      <c r="BY3330" s="2">
        <v>16244.69</v>
      </c>
      <c r="BZ3330" s="2" t="s">
        <v>27</v>
      </c>
      <c r="CC3330" s="2" t="s">
        <v>567</v>
      </c>
      <c r="CD3330" s="2">
        <v>1740</v>
      </c>
      <c r="CE3330" s="2" t="s">
        <v>95</v>
      </c>
      <c r="CI3330" s="2">
        <v>1</v>
      </c>
      <c r="CJ3330" s="2" t="s">
        <v>185</v>
      </c>
      <c r="CK3330" s="2">
        <v>34</v>
      </c>
      <c r="CL3330" s="2" t="s">
        <v>89</v>
      </c>
    </row>
    <row r="3331" spans="1:90">
      <c r="A3331" s="2" t="s">
        <v>71</v>
      </c>
      <c r="B3331" s="2" t="s">
        <v>72</v>
      </c>
      <c r="C3331" s="2" t="s">
        <v>73</v>
      </c>
      <c r="E3331" s="2" t="str">
        <f>"FES1162596973"</f>
        <v>FES1162596973</v>
      </c>
      <c r="F3331" s="3">
        <v>43089</v>
      </c>
      <c r="G3331" s="2">
        <v>201806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566</v>
      </c>
      <c r="M3331" s="2" t="s">
        <v>567</v>
      </c>
      <c r="N3331" s="2" t="s">
        <v>2708</v>
      </c>
      <c r="O3331" s="2" t="s">
        <v>339</v>
      </c>
      <c r="P3331" s="2" t="str">
        <f>"2170604711                    "</f>
        <v xml:space="preserve">2170604711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11.76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4.3</v>
      </c>
      <c r="BJ3331" s="2">
        <v>3.1</v>
      </c>
      <c r="BK3331" s="2">
        <v>5</v>
      </c>
      <c r="BL3331" s="2">
        <v>83.98</v>
      </c>
      <c r="BM3331" s="2">
        <v>11.76</v>
      </c>
      <c r="BN3331" s="2">
        <v>95.74</v>
      </c>
      <c r="BO3331" s="2">
        <v>95.74</v>
      </c>
      <c r="BQ3331" s="2" t="s">
        <v>2709</v>
      </c>
      <c r="BR3331" s="2" t="s">
        <v>83</v>
      </c>
      <c r="BS3331" s="2" t="s">
        <v>185</v>
      </c>
      <c r="BY3331" s="2">
        <v>15720</v>
      </c>
      <c r="BZ3331" s="2" t="s">
        <v>27</v>
      </c>
      <c r="CC3331" s="2" t="s">
        <v>567</v>
      </c>
      <c r="CD3331" s="2">
        <v>1754</v>
      </c>
      <c r="CE3331" s="2" t="s">
        <v>87</v>
      </c>
      <c r="CI3331" s="2">
        <v>1</v>
      </c>
      <c r="CJ3331" s="2" t="s">
        <v>185</v>
      </c>
      <c r="CK3331" s="2">
        <v>34</v>
      </c>
      <c r="CL3331" s="2" t="s">
        <v>89</v>
      </c>
    </row>
    <row r="3332" spans="1:90">
      <c r="A3332" s="2" t="s">
        <v>71</v>
      </c>
      <c r="B3332" s="2" t="s">
        <v>72</v>
      </c>
      <c r="C3332" s="2" t="s">
        <v>73</v>
      </c>
      <c r="E3332" s="2" t="str">
        <f>"FES1162597024"</f>
        <v>FES1162597024</v>
      </c>
      <c r="F3332" s="3">
        <v>43089</v>
      </c>
      <c r="G3332" s="2">
        <v>201806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272</v>
      </c>
      <c r="M3332" s="2" t="s">
        <v>272</v>
      </c>
      <c r="N3332" s="2" t="s">
        <v>387</v>
      </c>
      <c r="O3332" s="2" t="s">
        <v>339</v>
      </c>
      <c r="P3332" s="2" t="str">
        <f>"2170608291                    "</f>
        <v xml:space="preserve">2170608291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22.63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9</v>
      </c>
      <c r="BJ3332" s="2">
        <v>3.6</v>
      </c>
      <c r="BK3332" s="2">
        <v>9</v>
      </c>
      <c r="BL3332" s="2">
        <v>161.53</v>
      </c>
      <c r="BM3332" s="2">
        <v>22.61</v>
      </c>
      <c r="BN3332" s="2">
        <v>184.14</v>
      </c>
      <c r="BO3332" s="2">
        <v>184.14</v>
      </c>
      <c r="BR3332" s="2" t="s">
        <v>83</v>
      </c>
      <c r="BS3332" s="3">
        <v>43090</v>
      </c>
      <c r="BT3332" s="4">
        <v>0.4375</v>
      </c>
      <c r="BU3332" s="2" t="s">
        <v>1638</v>
      </c>
      <c r="BV3332" s="2" t="s">
        <v>85</v>
      </c>
      <c r="BY3332" s="2">
        <v>18240</v>
      </c>
      <c r="BZ3332" s="2" t="s">
        <v>27</v>
      </c>
      <c r="CC3332" s="2" t="s">
        <v>272</v>
      </c>
      <c r="CD3332" s="2">
        <v>1491</v>
      </c>
      <c r="CE3332" s="2" t="s">
        <v>87</v>
      </c>
      <c r="CF3332" s="3">
        <v>43091</v>
      </c>
      <c r="CI3332" s="2">
        <v>1</v>
      </c>
      <c r="CJ3332" s="2">
        <v>1</v>
      </c>
      <c r="CK3332" s="2">
        <v>34</v>
      </c>
      <c r="CL3332" s="2" t="s">
        <v>89</v>
      </c>
    </row>
    <row r="3333" spans="1:90">
      <c r="A3333" s="2" t="s">
        <v>71</v>
      </c>
      <c r="B3333" s="2" t="s">
        <v>72</v>
      </c>
      <c r="C3333" s="2" t="s">
        <v>73</v>
      </c>
      <c r="E3333" s="2" t="str">
        <f>"FES1162596681"</f>
        <v>FES1162596681</v>
      </c>
      <c r="F3333" s="3">
        <v>43089</v>
      </c>
      <c r="G3333" s="2">
        <v>201806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325</v>
      </c>
      <c r="M3333" s="2" t="s">
        <v>326</v>
      </c>
      <c r="N3333" s="2" t="s">
        <v>3085</v>
      </c>
      <c r="O3333" s="2" t="s">
        <v>339</v>
      </c>
      <c r="P3333" s="2" t="str">
        <f>"2170607998                    "</f>
        <v xml:space="preserve">2170607998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9.0500000000000007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2.7</v>
      </c>
      <c r="BJ3333" s="2">
        <v>1.8</v>
      </c>
      <c r="BK3333" s="2">
        <v>3</v>
      </c>
      <c r="BL3333" s="2">
        <v>64.599999999999994</v>
      </c>
      <c r="BM3333" s="2">
        <v>9.0399999999999991</v>
      </c>
      <c r="BN3333" s="2">
        <v>73.64</v>
      </c>
      <c r="BO3333" s="2">
        <v>73.64</v>
      </c>
      <c r="BQ3333" s="2" t="s">
        <v>128</v>
      </c>
      <c r="BR3333" s="2" t="s">
        <v>83</v>
      </c>
      <c r="BS3333" s="2" t="s">
        <v>185</v>
      </c>
      <c r="BY3333" s="2">
        <v>8937.7099999999991</v>
      </c>
      <c r="BZ3333" s="2" t="s">
        <v>27</v>
      </c>
      <c r="CC3333" s="2" t="s">
        <v>326</v>
      </c>
      <c r="CD3333" s="2">
        <v>1871</v>
      </c>
      <c r="CE3333" s="2" t="s">
        <v>87</v>
      </c>
      <c r="CI3333" s="2">
        <v>1</v>
      </c>
      <c r="CJ3333" s="2" t="s">
        <v>185</v>
      </c>
      <c r="CK3333" s="2">
        <v>34</v>
      </c>
      <c r="CL3333" s="2" t="s">
        <v>89</v>
      </c>
    </row>
    <row r="3334" spans="1:90">
      <c r="A3334" s="2" t="s">
        <v>71</v>
      </c>
      <c r="B3334" s="2" t="s">
        <v>72</v>
      </c>
      <c r="C3334" s="2" t="s">
        <v>73</v>
      </c>
      <c r="E3334" s="2" t="str">
        <f>"FES1162596553"</f>
        <v>FES1162596553</v>
      </c>
      <c r="F3334" s="3">
        <v>43087</v>
      </c>
      <c r="G3334" s="2">
        <v>201806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106</v>
      </c>
      <c r="M3334" s="2" t="s">
        <v>107</v>
      </c>
      <c r="N3334" s="2" t="s">
        <v>338</v>
      </c>
      <c r="O3334" s="2" t="s">
        <v>339</v>
      </c>
      <c r="P3334" s="2" t="str">
        <f>"2170606029                    "</f>
        <v xml:space="preserve">2170606029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10.1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17</v>
      </c>
      <c r="BJ3334" s="2">
        <v>3.5</v>
      </c>
      <c r="BK3334" s="2">
        <v>17</v>
      </c>
      <c r="BL3334" s="2">
        <v>72.099999999999994</v>
      </c>
      <c r="BM3334" s="2">
        <v>10.09</v>
      </c>
      <c r="BN3334" s="2">
        <v>82.19</v>
      </c>
      <c r="BO3334" s="2">
        <v>82.19</v>
      </c>
      <c r="BQ3334" s="2" t="s">
        <v>1485</v>
      </c>
      <c r="BR3334" s="2" t="s">
        <v>83</v>
      </c>
      <c r="BS3334" s="3">
        <v>43088</v>
      </c>
      <c r="BT3334" s="4">
        <v>0.37361111111111112</v>
      </c>
      <c r="BU3334" s="2" t="s">
        <v>3086</v>
      </c>
      <c r="BV3334" s="2" t="s">
        <v>85</v>
      </c>
      <c r="BY3334" s="2">
        <v>17280</v>
      </c>
      <c r="BZ3334" s="2" t="s">
        <v>27</v>
      </c>
      <c r="CA3334" s="2" t="s">
        <v>110</v>
      </c>
      <c r="CC3334" s="2" t="s">
        <v>107</v>
      </c>
      <c r="CD3334" s="2">
        <v>2001</v>
      </c>
      <c r="CE3334" s="2" t="s">
        <v>87</v>
      </c>
      <c r="CF3334" s="3">
        <v>43089</v>
      </c>
      <c r="CI3334" s="2">
        <v>1</v>
      </c>
      <c r="CJ3334" s="2">
        <v>1</v>
      </c>
      <c r="CK3334" s="2">
        <v>32</v>
      </c>
      <c r="CL3334" s="2" t="s">
        <v>89</v>
      </c>
    </row>
    <row r="3335" spans="1:90">
      <c r="A3335" s="2" t="s">
        <v>71</v>
      </c>
      <c r="B3335" s="2" t="s">
        <v>72</v>
      </c>
      <c r="C3335" s="2" t="s">
        <v>73</v>
      </c>
      <c r="E3335" s="2" t="str">
        <f>"FES1162596204"</f>
        <v>FES1162596204</v>
      </c>
      <c r="F3335" s="3">
        <v>43084</v>
      </c>
      <c r="G3335" s="2">
        <v>201806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121</v>
      </c>
      <c r="M3335" s="2" t="s">
        <v>122</v>
      </c>
      <c r="N3335" s="2" t="s">
        <v>511</v>
      </c>
      <c r="O3335" s="2" t="s">
        <v>339</v>
      </c>
      <c r="P3335" s="2" t="str">
        <f>"2170607945                    "</f>
        <v xml:space="preserve">2170607945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9.0500000000000007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3</v>
      </c>
      <c r="BJ3335" s="2">
        <v>2.7</v>
      </c>
      <c r="BK3335" s="2">
        <v>3</v>
      </c>
      <c r="BL3335" s="2">
        <v>64.599999999999994</v>
      </c>
      <c r="BM3335" s="2">
        <v>9.0399999999999991</v>
      </c>
      <c r="BN3335" s="2">
        <v>73.64</v>
      </c>
      <c r="BO3335" s="2">
        <v>73.64</v>
      </c>
      <c r="BQ3335" s="2" t="s">
        <v>82</v>
      </c>
      <c r="BR3335" s="2" t="s">
        <v>83</v>
      </c>
      <c r="BS3335" s="3">
        <v>43087</v>
      </c>
      <c r="BT3335" s="4">
        <v>0.54166666666666663</v>
      </c>
      <c r="BU3335" s="2" t="s">
        <v>954</v>
      </c>
      <c r="BV3335" s="2" t="s">
        <v>85</v>
      </c>
      <c r="BY3335" s="2">
        <v>13454</v>
      </c>
      <c r="BZ3335" s="2" t="s">
        <v>27</v>
      </c>
      <c r="CC3335" s="2" t="s">
        <v>122</v>
      </c>
      <c r="CD3335" s="2">
        <v>2200</v>
      </c>
      <c r="CE3335" s="2" t="s">
        <v>87</v>
      </c>
      <c r="CF3335" s="3">
        <v>43089</v>
      </c>
      <c r="CI3335" s="2">
        <v>1</v>
      </c>
      <c r="CJ3335" s="2">
        <v>1</v>
      </c>
      <c r="CK3335" s="2">
        <v>34</v>
      </c>
      <c r="CL3335" s="2" t="s">
        <v>89</v>
      </c>
    </row>
    <row r="3336" spans="1:90">
      <c r="A3336" s="2" t="s">
        <v>71</v>
      </c>
      <c r="B3336" s="2" t="s">
        <v>72</v>
      </c>
      <c r="C3336" s="2" t="s">
        <v>73</v>
      </c>
      <c r="E3336" s="2" t="str">
        <f>"FES1162597479"</f>
        <v>FES1162597479</v>
      </c>
      <c r="F3336" s="3">
        <v>43090</v>
      </c>
      <c r="G3336" s="2">
        <v>201806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325</v>
      </c>
      <c r="M3336" s="2" t="s">
        <v>326</v>
      </c>
      <c r="N3336" s="2" t="s">
        <v>1129</v>
      </c>
      <c r="O3336" s="2" t="s">
        <v>339</v>
      </c>
      <c r="P3336" s="2" t="str">
        <f>"2170607445                    "</f>
        <v xml:space="preserve">2170607445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22.63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9</v>
      </c>
      <c r="BJ3336" s="2">
        <v>3.4</v>
      </c>
      <c r="BK3336" s="2">
        <v>9</v>
      </c>
      <c r="BL3336" s="2">
        <v>161.53</v>
      </c>
      <c r="BM3336" s="2">
        <v>22.61</v>
      </c>
      <c r="BN3336" s="2">
        <v>184.14</v>
      </c>
      <c r="BO3336" s="2">
        <v>184.14</v>
      </c>
      <c r="BQ3336" s="2" t="s">
        <v>82</v>
      </c>
      <c r="BR3336" s="2" t="s">
        <v>83</v>
      </c>
      <c r="BS3336" s="2" t="s">
        <v>185</v>
      </c>
      <c r="BY3336" s="2">
        <v>16900</v>
      </c>
      <c r="BZ3336" s="2" t="s">
        <v>27</v>
      </c>
      <c r="CC3336" s="2" t="s">
        <v>326</v>
      </c>
      <c r="CD3336" s="2">
        <v>1939</v>
      </c>
      <c r="CE3336" s="2" t="s">
        <v>87</v>
      </c>
      <c r="CI3336" s="2">
        <v>1</v>
      </c>
      <c r="CJ3336" s="2" t="s">
        <v>185</v>
      </c>
      <c r="CK3336" s="2">
        <v>34</v>
      </c>
      <c r="CL3336" s="2" t="s">
        <v>89</v>
      </c>
    </row>
    <row r="3337" spans="1:90">
      <c r="A3337" s="2" t="s">
        <v>71</v>
      </c>
      <c r="B3337" s="2" t="s">
        <v>72</v>
      </c>
      <c r="C3337" s="2" t="s">
        <v>73</v>
      </c>
      <c r="E3337" s="2" t="str">
        <f>"FES1162596529"</f>
        <v>FES1162596529</v>
      </c>
      <c r="F3337" s="3">
        <v>43088</v>
      </c>
      <c r="G3337" s="2">
        <v>201806</v>
      </c>
      <c r="H3337" s="2" t="s">
        <v>74</v>
      </c>
      <c r="I3337" s="2" t="s">
        <v>75</v>
      </c>
      <c r="J3337" s="2" t="s">
        <v>76</v>
      </c>
      <c r="K3337" s="2" t="s">
        <v>77</v>
      </c>
      <c r="L3337" s="2" t="s">
        <v>651</v>
      </c>
      <c r="M3337" s="2" t="s">
        <v>652</v>
      </c>
      <c r="N3337" s="2" t="s">
        <v>949</v>
      </c>
      <c r="O3337" s="2" t="s">
        <v>339</v>
      </c>
      <c r="P3337" s="2" t="str">
        <f>"2170608232                    "</f>
        <v xml:space="preserve">2170608232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11.76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4.9000000000000004</v>
      </c>
      <c r="BJ3337" s="2">
        <v>3.3</v>
      </c>
      <c r="BK3337" s="2">
        <v>5</v>
      </c>
      <c r="BL3337" s="2">
        <v>83.98</v>
      </c>
      <c r="BM3337" s="2">
        <v>11.76</v>
      </c>
      <c r="BN3337" s="2">
        <v>95.74</v>
      </c>
      <c r="BO3337" s="2">
        <v>95.74</v>
      </c>
      <c r="BQ3337" s="2" t="s">
        <v>82</v>
      </c>
      <c r="BR3337" s="2" t="s">
        <v>83</v>
      </c>
      <c r="BS3337" s="2" t="s">
        <v>185</v>
      </c>
      <c r="BY3337" s="2">
        <v>16299.36</v>
      </c>
      <c r="BZ3337" s="2" t="s">
        <v>27</v>
      </c>
      <c r="CC3337" s="2" t="s">
        <v>652</v>
      </c>
      <c r="CD3337" s="2">
        <v>250</v>
      </c>
      <c r="CE3337" s="2" t="s">
        <v>95</v>
      </c>
      <c r="CI3337" s="2">
        <v>1</v>
      </c>
      <c r="CJ3337" s="2" t="s">
        <v>185</v>
      </c>
      <c r="CK3337" s="2">
        <v>34</v>
      </c>
      <c r="CL3337" s="2" t="s">
        <v>89</v>
      </c>
    </row>
    <row r="3338" spans="1:90">
      <c r="A3338" s="2" t="s">
        <v>71</v>
      </c>
      <c r="B3338" s="2" t="s">
        <v>72</v>
      </c>
      <c r="C3338" s="2" t="s">
        <v>73</v>
      </c>
      <c r="E3338" s="2" t="str">
        <f>"FES1162596545"</f>
        <v>FES1162596545</v>
      </c>
      <c r="F3338" s="3">
        <v>43088</v>
      </c>
      <c r="G3338" s="2">
        <v>201806</v>
      </c>
      <c r="H3338" s="2" t="s">
        <v>74</v>
      </c>
      <c r="I3338" s="2" t="s">
        <v>75</v>
      </c>
      <c r="J3338" s="2" t="s">
        <v>76</v>
      </c>
      <c r="K3338" s="2" t="s">
        <v>77</v>
      </c>
      <c r="L3338" s="2" t="s">
        <v>295</v>
      </c>
      <c r="M3338" s="2" t="s">
        <v>296</v>
      </c>
      <c r="N3338" s="2" t="s">
        <v>969</v>
      </c>
      <c r="O3338" s="2" t="s">
        <v>339</v>
      </c>
      <c r="P3338" s="2" t="str">
        <f>"2170650456629                 "</f>
        <v xml:space="preserve">2170650456629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22.63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2</v>
      </c>
      <c r="BJ3338" s="2">
        <v>8.1999999999999993</v>
      </c>
      <c r="BK3338" s="2">
        <v>9</v>
      </c>
      <c r="BL3338" s="2">
        <v>161.53</v>
      </c>
      <c r="BM3338" s="2">
        <v>22.61</v>
      </c>
      <c r="BN3338" s="2">
        <v>184.14</v>
      </c>
      <c r="BO3338" s="2">
        <v>184.14</v>
      </c>
      <c r="BQ3338" s="2" t="s">
        <v>970</v>
      </c>
      <c r="BR3338" s="2" t="s">
        <v>83</v>
      </c>
      <c r="BS3338" s="3">
        <v>43089</v>
      </c>
      <c r="BT3338" s="4">
        <v>0.43055555555555558</v>
      </c>
      <c r="BU3338" s="2" t="s">
        <v>3087</v>
      </c>
      <c r="BV3338" s="2" t="s">
        <v>85</v>
      </c>
      <c r="BY3338" s="2">
        <v>40960</v>
      </c>
      <c r="BZ3338" s="2" t="s">
        <v>27</v>
      </c>
      <c r="CA3338" s="2" t="s">
        <v>793</v>
      </c>
      <c r="CC3338" s="2" t="s">
        <v>296</v>
      </c>
      <c r="CD3338" s="2">
        <v>407</v>
      </c>
      <c r="CE3338" s="2" t="s">
        <v>87</v>
      </c>
      <c r="CF3338" s="3">
        <v>43089</v>
      </c>
      <c r="CI3338" s="2">
        <v>1</v>
      </c>
      <c r="CJ3338" s="2">
        <v>1</v>
      </c>
      <c r="CK3338" s="2">
        <v>34</v>
      </c>
      <c r="CL3338" s="2" t="s">
        <v>89</v>
      </c>
    </row>
    <row r="3339" spans="1:90">
      <c r="A3339" s="2" t="s">
        <v>71</v>
      </c>
      <c r="B3339" s="2" t="s">
        <v>72</v>
      </c>
      <c r="C3339" s="2" t="s">
        <v>73</v>
      </c>
      <c r="E3339" s="2" t="str">
        <f>"009935903246"</f>
        <v>009935903246</v>
      </c>
      <c r="F3339" s="3">
        <v>43076</v>
      </c>
      <c r="G3339" s="2">
        <v>201806</v>
      </c>
      <c r="H3339" s="2" t="s">
        <v>98</v>
      </c>
      <c r="I3339" s="2" t="s">
        <v>99</v>
      </c>
      <c r="J3339" s="2" t="s">
        <v>3088</v>
      </c>
      <c r="K3339" s="2" t="s">
        <v>77</v>
      </c>
      <c r="L3339" s="2" t="s">
        <v>74</v>
      </c>
      <c r="M3339" s="2" t="s">
        <v>75</v>
      </c>
      <c r="N3339" s="2" t="s">
        <v>1684</v>
      </c>
      <c r="O3339" s="2" t="s">
        <v>101</v>
      </c>
      <c r="P3339" s="2" t="str">
        <f>"                              "</f>
        <v xml:space="preserve">          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6.43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2</v>
      </c>
      <c r="BJ3339" s="2">
        <v>1.1000000000000001</v>
      </c>
      <c r="BK3339" s="2">
        <v>2</v>
      </c>
      <c r="BL3339" s="2">
        <v>45.93</v>
      </c>
      <c r="BM3339" s="2">
        <v>6.43</v>
      </c>
      <c r="BN3339" s="2">
        <v>52.36</v>
      </c>
      <c r="BO3339" s="2">
        <v>52.36</v>
      </c>
      <c r="BR3339" s="2" t="s">
        <v>3084</v>
      </c>
      <c r="BS3339" s="3">
        <v>43080</v>
      </c>
      <c r="BT3339" s="4">
        <v>0.4375</v>
      </c>
      <c r="BU3339" s="2" t="s">
        <v>1724</v>
      </c>
      <c r="BV3339" s="2" t="s">
        <v>89</v>
      </c>
      <c r="BW3339" s="2" t="s">
        <v>437</v>
      </c>
      <c r="BX3339" s="2" t="s">
        <v>1140</v>
      </c>
      <c r="BY3339" s="2">
        <v>5520</v>
      </c>
      <c r="BZ3339" s="2" t="s">
        <v>27</v>
      </c>
      <c r="CC3339" s="2" t="s">
        <v>75</v>
      </c>
      <c r="CD3339" s="2">
        <v>1600</v>
      </c>
      <c r="CF3339" s="3">
        <v>43081</v>
      </c>
      <c r="CI3339" s="2">
        <v>1</v>
      </c>
      <c r="CJ3339" s="2">
        <v>2</v>
      </c>
      <c r="CK3339" s="2">
        <v>21</v>
      </c>
      <c r="CL3339" s="2" t="s">
        <v>89</v>
      </c>
    </row>
    <row r="3340" spans="1:90">
      <c r="A3340" s="2" t="s">
        <v>71</v>
      </c>
      <c r="B3340" s="2" t="s">
        <v>72</v>
      </c>
      <c r="C3340" s="2" t="s">
        <v>73</v>
      </c>
      <c r="E3340" s="2" t="str">
        <f>"FES1162596655"</f>
        <v>FES1162596655</v>
      </c>
      <c r="F3340" s="3">
        <v>43088</v>
      </c>
      <c r="G3340" s="2">
        <v>201806</v>
      </c>
      <c r="H3340" s="2" t="s">
        <v>74</v>
      </c>
      <c r="I3340" s="2" t="s">
        <v>75</v>
      </c>
      <c r="J3340" s="2" t="s">
        <v>76</v>
      </c>
      <c r="K3340" s="2" t="s">
        <v>77</v>
      </c>
      <c r="L3340" s="2" t="s">
        <v>295</v>
      </c>
      <c r="M3340" s="2" t="s">
        <v>296</v>
      </c>
      <c r="N3340" s="2" t="s">
        <v>657</v>
      </c>
      <c r="O3340" s="2" t="s">
        <v>339</v>
      </c>
      <c r="P3340" s="2" t="str">
        <f>"2170608324                    "</f>
        <v xml:space="preserve">2170608324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14.48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1.7</v>
      </c>
      <c r="BJ3340" s="2">
        <v>5.3</v>
      </c>
      <c r="BK3340" s="2">
        <v>6</v>
      </c>
      <c r="BL3340" s="2">
        <v>103.37</v>
      </c>
      <c r="BM3340" s="2">
        <v>14.47</v>
      </c>
      <c r="BN3340" s="2">
        <v>117.84</v>
      </c>
      <c r="BO3340" s="2">
        <v>117.84</v>
      </c>
      <c r="BQ3340" s="2" t="s">
        <v>658</v>
      </c>
      <c r="BR3340" s="2" t="s">
        <v>83</v>
      </c>
      <c r="BS3340" s="2" t="s">
        <v>185</v>
      </c>
      <c r="BY3340" s="2">
        <v>26710.53</v>
      </c>
      <c r="BZ3340" s="2" t="s">
        <v>27</v>
      </c>
      <c r="CC3340" s="2" t="s">
        <v>296</v>
      </c>
      <c r="CD3340" s="2">
        <v>208</v>
      </c>
      <c r="CE3340" s="2" t="s">
        <v>95</v>
      </c>
      <c r="CI3340" s="2">
        <v>1</v>
      </c>
      <c r="CJ3340" s="2" t="s">
        <v>185</v>
      </c>
      <c r="CK3340" s="2">
        <v>34</v>
      </c>
      <c r="CL3340" s="2" t="s">
        <v>89</v>
      </c>
    </row>
    <row r="3341" spans="1:90">
      <c r="A3341" s="2" t="s">
        <v>71</v>
      </c>
      <c r="B3341" s="2" t="s">
        <v>72</v>
      </c>
      <c r="C3341" s="2" t="s">
        <v>73</v>
      </c>
      <c r="E3341" s="2" t="str">
        <f>"009936267758"</f>
        <v>009936267758</v>
      </c>
      <c r="F3341" s="3">
        <v>43087</v>
      </c>
      <c r="G3341" s="2">
        <v>201806</v>
      </c>
      <c r="H3341" s="2" t="s">
        <v>106</v>
      </c>
      <c r="I3341" s="2" t="s">
        <v>107</v>
      </c>
      <c r="J3341" s="2" t="s">
        <v>3089</v>
      </c>
      <c r="K3341" s="2" t="s">
        <v>77</v>
      </c>
      <c r="L3341" s="2" t="s">
        <v>74</v>
      </c>
      <c r="M3341" s="2" t="s">
        <v>75</v>
      </c>
      <c r="N3341" s="2" t="s">
        <v>3090</v>
      </c>
      <c r="O3341" s="2" t="s">
        <v>101</v>
      </c>
      <c r="P3341" s="2" t="str">
        <f>"...                           "</f>
        <v xml:space="preserve">...       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5.03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1</v>
      </c>
      <c r="BJ3341" s="2">
        <v>0.2</v>
      </c>
      <c r="BK3341" s="2">
        <v>1</v>
      </c>
      <c r="BL3341" s="2">
        <v>35.89</v>
      </c>
      <c r="BM3341" s="2">
        <v>5.0199999999999996</v>
      </c>
      <c r="BN3341" s="2">
        <v>40.909999999999997</v>
      </c>
      <c r="BO3341" s="2">
        <v>40.909999999999997</v>
      </c>
      <c r="BQ3341" s="2" t="s">
        <v>3091</v>
      </c>
      <c r="BR3341" s="2" t="s">
        <v>3092</v>
      </c>
      <c r="BS3341" s="3">
        <v>43088</v>
      </c>
      <c r="BT3341" s="4">
        <v>0.3743055555555555</v>
      </c>
      <c r="BU3341" s="2" t="s">
        <v>375</v>
      </c>
      <c r="BV3341" s="2" t="s">
        <v>85</v>
      </c>
      <c r="BY3341" s="2">
        <v>1200</v>
      </c>
      <c r="BZ3341" s="2" t="s">
        <v>27</v>
      </c>
      <c r="CA3341" s="2" t="s">
        <v>366</v>
      </c>
      <c r="CC3341" s="2" t="s">
        <v>75</v>
      </c>
      <c r="CD3341" s="2">
        <v>1600</v>
      </c>
      <c r="CE3341" s="2" t="s">
        <v>95</v>
      </c>
      <c r="CF3341" s="3">
        <v>43089</v>
      </c>
      <c r="CI3341" s="2">
        <v>1</v>
      </c>
      <c r="CJ3341" s="2">
        <v>1</v>
      </c>
      <c r="CK3341" s="2">
        <v>22</v>
      </c>
      <c r="CL3341" s="2" t="s">
        <v>89</v>
      </c>
    </row>
    <row r="3342" spans="1:90">
      <c r="A3342" s="2" t="s">
        <v>71</v>
      </c>
      <c r="B3342" s="2" t="s">
        <v>72</v>
      </c>
      <c r="C3342" s="2" t="s">
        <v>73</v>
      </c>
      <c r="E3342" s="2" t="str">
        <f>"FES1162597115"</f>
        <v>FES1162597115</v>
      </c>
      <c r="F3342" s="3">
        <v>43089</v>
      </c>
      <c r="G3342" s="2">
        <v>201806</v>
      </c>
      <c r="H3342" s="2" t="s">
        <v>74</v>
      </c>
      <c r="I3342" s="2" t="s">
        <v>75</v>
      </c>
      <c r="J3342" s="2" t="s">
        <v>76</v>
      </c>
      <c r="K3342" s="2" t="s">
        <v>77</v>
      </c>
      <c r="L3342" s="2" t="s">
        <v>74</v>
      </c>
      <c r="M3342" s="2" t="s">
        <v>75</v>
      </c>
      <c r="N3342" s="2" t="s">
        <v>1719</v>
      </c>
      <c r="O3342" s="2" t="s">
        <v>339</v>
      </c>
      <c r="P3342" s="2" t="str">
        <f>"2170604550                    "</f>
        <v xml:space="preserve">2170604550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8.41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13.4</v>
      </c>
      <c r="BJ3342" s="2">
        <v>13.7</v>
      </c>
      <c r="BK3342" s="2">
        <v>14</v>
      </c>
      <c r="BL3342" s="2">
        <v>60.03</v>
      </c>
      <c r="BM3342" s="2">
        <v>8.4</v>
      </c>
      <c r="BN3342" s="2">
        <v>68.430000000000007</v>
      </c>
      <c r="BO3342" s="2">
        <v>68.430000000000007</v>
      </c>
      <c r="BQ3342" s="2" t="s">
        <v>2828</v>
      </c>
      <c r="BR3342" s="2" t="s">
        <v>83</v>
      </c>
      <c r="BS3342" s="3">
        <v>43090</v>
      </c>
      <c r="BT3342" s="4">
        <v>0.33680555555555558</v>
      </c>
      <c r="BU3342" s="2" t="s">
        <v>3093</v>
      </c>
      <c r="BV3342" s="2" t="s">
        <v>85</v>
      </c>
      <c r="BY3342" s="2">
        <v>68478.12</v>
      </c>
      <c r="BZ3342" s="2" t="s">
        <v>27</v>
      </c>
      <c r="CA3342" s="2" t="s">
        <v>486</v>
      </c>
      <c r="CC3342" s="2" t="s">
        <v>75</v>
      </c>
      <c r="CD3342" s="2">
        <v>1609</v>
      </c>
      <c r="CE3342" s="2" t="s">
        <v>87</v>
      </c>
      <c r="CF3342" s="3">
        <v>43096</v>
      </c>
      <c r="CI3342" s="2">
        <v>1</v>
      </c>
      <c r="CJ3342" s="2">
        <v>1</v>
      </c>
      <c r="CK3342" s="2">
        <v>32</v>
      </c>
      <c r="CL3342" s="2" t="s">
        <v>89</v>
      </c>
    </row>
    <row r="3343" spans="1:90">
      <c r="A3343" s="2" t="s">
        <v>71</v>
      </c>
      <c r="B3343" s="2" t="s">
        <v>72</v>
      </c>
      <c r="C3343" s="2" t="s">
        <v>73</v>
      </c>
      <c r="E3343" s="2" t="str">
        <f>"FES1162597240"</f>
        <v>FES1162597240</v>
      </c>
      <c r="F3343" s="3">
        <v>43089</v>
      </c>
      <c r="G3343" s="2">
        <v>201806</v>
      </c>
      <c r="H3343" s="2" t="s">
        <v>74</v>
      </c>
      <c r="I3343" s="2" t="s">
        <v>75</v>
      </c>
      <c r="J3343" s="2" t="s">
        <v>76</v>
      </c>
      <c r="K3343" s="2" t="s">
        <v>77</v>
      </c>
      <c r="L3343" s="2" t="s">
        <v>325</v>
      </c>
      <c r="M3343" s="2" t="s">
        <v>326</v>
      </c>
      <c r="N3343" s="2" t="s">
        <v>3094</v>
      </c>
      <c r="O3343" s="2" t="s">
        <v>339</v>
      </c>
      <c r="P3343" s="2" t="str">
        <f>"2170608609                    "</f>
        <v xml:space="preserve">2170608609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9.0500000000000007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2.2000000000000002</v>
      </c>
      <c r="BJ3343" s="2">
        <v>3.3</v>
      </c>
      <c r="BK3343" s="2">
        <v>4</v>
      </c>
      <c r="BL3343" s="2">
        <v>64.599999999999994</v>
      </c>
      <c r="BM3343" s="2">
        <v>9.0399999999999991</v>
      </c>
      <c r="BN3343" s="2">
        <v>73.64</v>
      </c>
      <c r="BO3343" s="2">
        <v>73.64</v>
      </c>
      <c r="BQ3343" s="2" t="s">
        <v>142</v>
      </c>
      <c r="BR3343" s="2" t="s">
        <v>83</v>
      </c>
      <c r="BS3343" s="3">
        <v>43090</v>
      </c>
      <c r="BT3343" s="4">
        <v>0.48402777777777778</v>
      </c>
      <c r="BU3343" s="2" t="s">
        <v>3095</v>
      </c>
      <c r="BV3343" s="2" t="s">
        <v>85</v>
      </c>
      <c r="BY3343" s="2">
        <v>16677.740000000002</v>
      </c>
      <c r="BZ3343" s="2" t="s">
        <v>27</v>
      </c>
      <c r="CA3343" s="2" t="s">
        <v>1326</v>
      </c>
      <c r="CC3343" s="2" t="s">
        <v>326</v>
      </c>
      <c r="CD3343" s="2">
        <v>1939</v>
      </c>
      <c r="CE3343" s="2" t="s">
        <v>95</v>
      </c>
      <c r="CF3343" s="3">
        <v>43091</v>
      </c>
      <c r="CI3343" s="2">
        <v>1</v>
      </c>
      <c r="CJ3343" s="2">
        <v>1</v>
      </c>
      <c r="CK3343" s="2">
        <v>34</v>
      </c>
      <c r="CL3343" s="2" t="s">
        <v>89</v>
      </c>
    </row>
    <row r="3344" spans="1:90">
      <c r="A3344" s="2" t="s">
        <v>71</v>
      </c>
      <c r="B3344" s="2" t="s">
        <v>72</v>
      </c>
      <c r="C3344" s="2" t="s">
        <v>73</v>
      </c>
      <c r="E3344" s="2" t="str">
        <f>"FES1162597247"</f>
        <v>FES1162597247</v>
      </c>
      <c r="F3344" s="3">
        <v>43090</v>
      </c>
      <c r="G3344" s="2">
        <v>201806</v>
      </c>
      <c r="H3344" s="2" t="s">
        <v>74</v>
      </c>
      <c r="I3344" s="2" t="s">
        <v>75</v>
      </c>
      <c r="J3344" s="2" t="s">
        <v>76</v>
      </c>
      <c r="K3344" s="2" t="s">
        <v>77</v>
      </c>
      <c r="L3344" s="2" t="s">
        <v>152</v>
      </c>
      <c r="M3344" s="2" t="s">
        <v>153</v>
      </c>
      <c r="N3344" s="2" t="s">
        <v>336</v>
      </c>
      <c r="O3344" s="2" t="s">
        <v>339</v>
      </c>
      <c r="P3344" s="2" t="str">
        <f>"2170606690                    "</f>
        <v xml:space="preserve">2170606690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7.85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7</v>
      </c>
      <c r="BJ3344" s="2">
        <v>13</v>
      </c>
      <c r="BK3344" s="2">
        <v>13</v>
      </c>
      <c r="BL3344" s="2">
        <v>56.01</v>
      </c>
      <c r="BM3344" s="2">
        <v>7.84</v>
      </c>
      <c r="BN3344" s="2">
        <v>63.85</v>
      </c>
      <c r="BO3344" s="2">
        <v>63.85</v>
      </c>
      <c r="BR3344" s="2" t="s">
        <v>83</v>
      </c>
      <c r="BS3344" s="3">
        <v>43096</v>
      </c>
      <c r="BT3344" s="4">
        <v>0.38472222222222219</v>
      </c>
      <c r="BU3344" s="2" t="s">
        <v>3007</v>
      </c>
      <c r="BV3344" s="2" t="s">
        <v>89</v>
      </c>
      <c r="BY3344" s="2">
        <v>65000</v>
      </c>
      <c r="BZ3344" s="2" t="s">
        <v>27</v>
      </c>
      <c r="CA3344" s="2" t="s">
        <v>337</v>
      </c>
      <c r="CC3344" s="2" t="s">
        <v>153</v>
      </c>
      <c r="CD3344" s="2">
        <v>1400</v>
      </c>
      <c r="CE3344" s="2" t="s">
        <v>87</v>
      </c>
      <c r="CI3344" s="2">
        <v>1</v>
      </c>
      <c r="CJ3344" s="2">
        <v>4</v>
      </c>
      <c r="CK3344" s="2">
        <v>32</v>
      </c>
      <c r="CL3344" s="2" t="s">
        <v>89</v>
      </c>
    </row>
    <row r="3345" spans="1:90">
      <c r="A3345" s="2" t="s">
        <v>71</v>
      </c>
      <c r="B3345" s="2" t="s">
        <v>72</v>
      </c>
      <c r="C3345" s="2" t="s">
        <v>73</v>
      </c>
      <c r="E3345" s="2" t="str">
        <f>"FES1162597524"</f>
        <v>FES1162597524</v>
      </c>
      <c r="F3345" s="3">
        <v>43090</v>
      </c>
      <c r="G3345" s="2">
        <v>201806</v>
      </c>
      <c r="H3345" s="2" t="s">
        <v>74</v>
      </c>
      <c r="I3345" s="2" t="s">
        <v>75</v>
      </c>
      <c r="J3345" s="2" t="s">
        <v>76</v>
      </c>
      <c r="K3345" s="2" t="s">
        <v>77</v>
      </c>
      <c r="L3345" s="2" t="s">
        <v>106</v>
      </c>
      <c r="M3345" s="2" t="s">
        <v>107</v>
      </c>
      <c r="N3345" s="2" t="s">
        <v>108</v>
      </c>
      <c r="O3345" s="2" t="s">
        <v>339</v>
      </c>
      <c r="P3345" s="2" t="str">
        <f>"2170608755                    "</f>
        <v xml:space="preserve">2170608755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10.66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12.8</v>
      </c>
      <c r="BJ3345" s="2">
        <v>18</v>
      </c>
      <c r="BK3345" s="2">
        <v>18</v>
      </c>
      <c r="BL3345" s="2">
        <v>76.12</v>
      </c>
      <c r="BM3345" s="2">
        <v>10.66</v>
      </c>
      <c r="BN3345" s="2">
        <v>86.78</v>
      </c>
      <c r="BO3345" s="2">
        <v>86.78</v>
      </c>
      <c r="BQ3345" s="2" t="s">
        <v>82</v>
      </c>
      <c r="BR3345" s="2" t="s">
        <v>83</v>
      </c>
      <c r="BS3345" s="3">
        <v>43091</v>
      </c>
      <c r="BT3345" s="4">
        <v>0.37847222222222227</v>
      </c>
      <c r="BU3345" s="2" t="s">
        <v>328</v>
      </c>
      <c r="BV3345" s="2" t="s">
        <v>85</v>
      </c>
      <c r="BY3345" s="2">
        <v>90075.36</v>
      </c>
      <c r="BZ3345" s="2" t="s">
        <v>27</v>
      </c>
      <c r="CC3345" s="2" t="s">
        <v>107</v>
      </c>
      <c r="CD3345" s="2">
        <v>2094</v>
      </c>
      <c r="CE3345" s="2" t="s">
        <v>95</v>
      </c>
      <c r="CI3345" s="2">
        <v>1</v>
      </c>
      <c r="CJ3345" s="2">
        <v>1</v>
      </c>
      <c r="CK3345" s="2">
        <v>32</v>
      </c>
      <c r="CL3345" s="2" t="s">
        <v>89</v>
      </c>
    </row>
    <row r="3346" spans="1:90">
      <c r="A3346" s="2" t="s">
        <v>71</v>
      </c>
      <c r="B3346" s="2" t="s">
        <v>72</v>
      </c>
      <c r="C3346" s="2" t="s">
        <v>73</v>
      </c>
      <c r="E3346" s="2" t="str">
        <f>"FES1162596454"</f>
        <v>FES1162596454</v>
      </c>
      <c r="F3346" s="3">
        <v>43084</v>
      </c>
      <c r="G3346" s="2">
        <v>201806</v>
      </c>
      <c r="H3346" s="2" t="s">
        <v>74</v>
      </c>
      <c r="I3346" s="2" t="s">
        <v>75</v>
      </c>
      <c r="J3346" s="2" t="s">
        <v>76</v>
      </c>
      <c r="K3346" s="2" t="s">
        <v>77</v>
      </c>
      <c r="L3346" s="2" t="s">
        <v>651</v>
      </c>
      <c r="M3346" s="2" t="s">
        <v>652</v>
      </c>
      <c r="N3346" s="2" t="s">
        <v>949</v>
      </c>
      <c r="O3346" s="2" t="s">
        <v>339</v>
      </c>
      <c r="P3346" s="2" t="str">
        <f>"2170608117                    "</f>
        <v xml:space="preserve">2170608117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9.0500000000000007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3.6</v>
      </c>
      <c r="BJ3346" s="2">
        <v>1.3</v>
      </c>
      <c r="BK3346" s="2">
        <v>4</v>
      </c>
      <c r="BL3346" s="2">
        <v>64.599999999999994</v>
      </c>
      <c r="BM3346" s="2">
        <v>9.0399999999999991</v>
      </c>
      <c r="BN3346" s="2">
        <v>73.64</v>
      </c>
      <c r="BO3346" s="2">
        <v>73.64</v>
      </c>
      <c r="BQ3346" s="2" t="s">
        <v>82</v>
      </c>
      <c r="BR3346" s="2" t="s">
        <v>83</v>
      </c>
      <c r="BS3346" s="2" t="s">
        <v>185</v>
      </c>
      <c r="BY3346" s="2">
        <v>6732.21</v>
      </c>
      <c r="BZ3346" s="2" t="s">
        <v>27</v>
      </c>
      <c r="CC3346" s="2" t="s">
        <v>652</v>
      </c>
      <c r="CD3346" s="2">
        <v>250</v>
      </c>
      <c r="CE3346" s="2" t="s">
        <v>95</v>
      </c>
      <c r="CI3346" s="2">
        <v>1</v>
      </c>
      <c r="CJ3346" s="2" t="s">
        <v>185</v>
      </c>
      <c r="CK3346" s="2">
        <v>34</v>
      </c>
      <c r="CL3346" s="2" t="s">
        <v>89</v>
      </c>
    </row>
    <row r="3347" spans="1:90">
      <c r="A3347" s="2" t="s">
        <v>71</v>
      </c>
      <c r="B3347" s="2" t="s">
        <v>72</v>
      </c>
      <c r="C3347" s="2" t="s">
        <v>73</v>
      </c>
      <c r="E3347" s="2" t="str">
        <f>"rfes1162594146"</f>
        <v>rfes1162594146</v>
      </c>
      <c r="F3347" s="3">
        <v>43080</v>
      </c>
      <c r="G3347" s="2">
        <v>201806</v>
      </c>
      <c r="H3347" s="2" t="s">
        <v>145</v>
      </c>
      <c r="I3347" s="2" t="s">
        <v>146</v>
      </c>
      <c r="J3347" s="2" t="s">
        <v>3096</v>
      </c>
      <c r="K3347" s="2" t="s">
        <v>77</v>
      </c>
      <c r="L3347" s="2" t="s">
        <v>74</v>
      </c>
      <c r="M3347" s="2" t="s">
        <v>75</v>
      </c>
      <c r="N3347" s="2" t="s">
        <v>3097</v>
      </c>
      <c r="O3347" s="2" t="s">
        <v>101</v>
      </c>
      <c r="P3347" s="2" t="str">
        <f>"                              "</f>
        <v xml:space="preserve">          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6.43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</v>
      </c>
      <c r="BJ3347" s="2">
        <v>0.2</v>
      </c>
      <c r="BK3347" s="2">
        <v>1</v>
      </c>
      <c r="BL3347" s="2">
        <v>45.93</v>
      </c>
      <c r="BM3347" s="2">
        <v>6.43</v>
      </c>
      <c r="BN3347" s="2">
        <v>52.36</v>
      </c>
      <c r="BO3347" s="2">
        <v>52.36</v>
      </c>
      <c r="BS3347" s="2" t="s">
        <v>185</v>
      </c>
      <c r="BY3347" s="2">
        <v>1200</v>
      </c>
      <c r="BZ3347" s="2" t="s">
        <v>27</v>
      </c>
      <c r="CC3347" s="2" t="s">
        <v>75</v>
      </c>
      <c r="CD3347" s="2">
        <v>1600</v>
      </c>
      <c r="CE3347" s="2" t="s">
        <v>95</v>
      </c>
      <c r="CF3347" s="3">
        <v>43088</v>
      </c>
      <c r="CI3347" s="2">
        <v>1</v>
      </c>
      <c r="CJ3347" s="2" t="s">
        <v>185</v>
      </c>
      <c r="CK3347" s="2">
        <v>21</v>
      </c>
      <c r="CL3347" s="2" t="s">
        <v>89</v>
      </c>
    </row>
    <row r="3348" spans="1:90">
      <c r="A3348" s="2" t="s">
        <v>71</v>
      </c>
      <c r="B3348" s="2" t="s">
        <v>72</v>
      </c>
      <c r="C3348" s="2" t="s">
        <v>73</v>
      </c>
      <c r="E3348" s="2" t="str">
        <f>"FES1162596236"</f>
        <v>FES1162596236</v>
      </c>
      <c r="F3348" s="3">
        <v>43084</v>
      </c>
      <c r="G3348" s="2">
        <v>201806</v>
      </c>
      <c r="H3348" s="2" t="s">
        <v>74</v>
      </c>
      <c r="I3348" s="2" t="s">
        <v>75</v>
      </c>
      <c r="J3348" s="2" t="s">
        <v>76</v>
      </c>
      <c r="K3348" s="2" t="s">
        <v>77</v>
      </c>
      <c r="L3348" s="2" t="s">
        <v>651</v>
      </c>
      <c r="M3348" s="2" t="s">
        <v>652</v>
      </c>
      <c r="N3348" s="2" t="s">
        <v>953</v>
      </c>
      <c r="O3348" s="2" t="s">
        <v>339</v>
      </c>
      <c r="P3348" s="2" t="str">
        <f>"21706079999                   "</f>
        <v xml:space="preserve">21706079999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9.0500000000000007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3.1</v>
      </c>
      <c r="BJ3348" s="2">
        <v>0.6</v>
      </c>
      <c r="BK3348" s="2">
        <v>4</v>
      </c>
      <c r="BL3348" s="2">
        <v>64.599999999999994</v>
      </c>
      <c r="BM3348" s="2">
        <v>9.0399999999999991</v>
      </c>
      <c r="BN3348" s="2">
        <v>73.64</v>
      </c>
      <c r="BO3348" s="2">
        <v>73.64</v>
      </c>
      <c r="BQ3348" s="2" t="s">
        <v>82</v>
      </c>
      <c r="BR3348" s="2" t="s">
        <v>83</v>
      </c>
      <c r="BS3348" s="2" t="s">
        <v>185</v>
      </c>
      <c r="BY3348" s="2">
        <v>3051.53</v>
      </c>
      <c r="BZ3348" s="2" t="s">
        <v>27</v>
      </c>
      <c r="CC3348" s="2" t="s">
        <v>652</v>
      </c>
      <c r="CD3348" s="2">
        <v>250</v>
      </c>
      <c r="CE3348" s="2" t="s">
        <v>87</v>
      </c>
      <c r="CI3348" s="2">
        <v>1</v>
      </c>
      <c r="CJ3348" s="2" t="s">
        <v>185</v>
      </c>
      <c r="CK3348" s="2">
        <v>34</v>
      </c>
      <c r="CL3348" s="2" t="s">
        <v>89</v>
      </c>
    </row>
    <row r="3349" spans="1:90">
      <c r="A3349" s="2" t="s">
        <v>71</v>
      </c>
      <c r="B3349" s="2" t="s">
        <v>72</v>
      </c>
      <c r="C3349" s="2" t="s">
        <v>73</v>
      </c>
      <c r="E3349" s="2" t="str">
        <f>"FES1162597417"</f>
        <v>FES1162597417</v>
      </c>
      <c r="F3349" s="3">
        <v>43090</v>
      </c>
      <c r="G3349" s="2">
        <v>201806</v>
      </c>
      <c r="H3349" s="2" t="s">
        <v>74</v>
      </c>
      <c r="I3349" s="2" t="s">
        <v>75</v>
      </c>
      <c r="J3349" s="2" t="s">
        <v>76</v>
      </c>
      <c r="K3349" s="2" t="s">
        <v>77</v>
      </c>
      <c r="L3349" s="2" t="s">
        <v>285</v>
      </c>
      <c r="M3349" s="2" t="s">
        <v>159</v>
      </c>
      <c r="N3349" s="2" t="s">
        <v>186</v>
      </c>
      <c r="O3349" s="2" t="s">
        <v>81</v>
      </c>
      <c r="P3349" s="2" t="str">
        <f>"21706095                      "</f>
        <v xml:space="preserve">21706095  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11.06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4</v>
      </c>
      <c r="BJ3349" s="2">
        <v>1.5</v>
      </c>
      <c r="BK3349" s="2">
        <v>4</v>
      </c>
      <c r="BL3349" s="2">
        <v>83.95</v>
      </c>
      <c r="BM3349" s="2">
        <v>11.75</v>
      </c>
      <c r="BN3349" s="2">
        <v>95.7</v>
      </c>
      <c r="BO3349" s="2">
        <v>95.7</v>
      </c>
      <c r="BQ3349" s="2" t="s">
        <v>187</v>
      </c>
      <c r="BR3349" s="2" t="s">
        <v>83</v>
      </c>
      <c r="BS3349" s="3">
        <v>43091</v>
      </c>
      <c r="BT3349" s="4">
        <v>0.4368055555555555</v>
      </c>
      <c r="BU3349" s="2" t="s">
        <v>1132</v>
      </c>
      <c r="BY3349" s="2">
        <v>7680</v>
      </c>
      <c r="CC3349" s="2" t="s">
        <v>159</v>
      </c>
      <c r="CD3349" s="2">
        <v>159</v>
      </c>
      <c r="CE3349" s="2" t="s">
        <v>87</v>
      </c>
      <c r="CF3349" s="3">
        <v>43097</v>
      </c>
      <c r="CI3349" s="2">
        <v>0</v>
      </c>
      <c r="CJ3349" s="2">
        <v>0</v>
      </c>
      <c r="CK3349" s="2" t="s">
        <v>289</v>
      </c>
      <c r="CL3349" s="2" t="s">
        <v>89</v>
      </c>
    </row>
    <row r="3350" spans="1:90">
      <c r="A3350" s="2" t="s">
        <v>71</v>
      </c>
      <c r="B3350" s="2" t="s">
        <v>72</v>
      </c>
      <c r="C3350" s="2" t="s">
        <v>73</v>
      </c>
      <c r="E3350" s="2" t="str">
        <f>"FES1162597349"</f>
        <v>FES1162597349</v>
      </c>
      <c r="F3350" s="3">
        <v>43089</v>
      </c>
      <c r="G3350" s="2">
        <v>201806</v>
      </c>
      <c r="H3350" s="2" t="s">
        <v>74</v>
      </c>
      <c r="I3350" s="2" t="s">
        <v>75</v>
      </c>
      <c r="J3350" s="2" t="s">
        <v>76</v>
      </c>
      <c r="K3350" s="2" t="s">
        <v>77</v>
      </c>
      <c r="L3350" s="2" t="s">
        <v>98</v>
      </c>
      <c r="M3350" s="2" t="s">
        <v>99</v>
      </c>
      <c r="N3350" s="2" t="s">
        <v>2402</v>
      </c>
      <c r="O3350" s="2" t="s">
        <v>81</v>
      </c>
      <c r="P3350" s="2" t="str">
        <f>"2170604384                    "</f>
        <v xml:space="preserve">2170604384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16.73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21.6</v>
      </c>
      <c r="BJ3350" s="2">
        <v>11.9</v>
      </c>
      <c r="BK3350" s="2">
        <v>22</v>
      </c>
      <c r="BL3350" s="2">
        <v>124.43</v>
      </c>
      <c r="BM3350" s="2">
        <v>17.420000000000002</v>
      </c>
      <c r="BN3350" s="2">
        <v>141.85</v>
      </c>
      <c r="BO3350" s="2">
        <v>141.85</v>
      </c>
      <c r="BR3350" s="2" t="s">
        <v>83</v>
      </c>
      <c r="BS3350" s="2" t="s">
        <v>185</v>
      </c>
      <c r="BY3350" s="2">
        <v>59463.65</v>
      </c>
      <c r="CC3350" s="2" t="s">
        <v>99</v>
      </c>
      <c r="CD3350" s="2">
        <v>3201</v>
      </c>
      <c r="CE3350" s="2" t="s">
        <v>87</v>
      </c>
      <c r="CI3350" s="2">
        <v>1</v>
      </c>
      <c r="CJ3350" s="2" t="s">
        <v>185</v>
      </c>
      <c r="CK3350" s="2" t="s">
        <v>2626</v>
      </c>
      <c r="CL3350" s="2" t="s">
        <v>89</v>
      </c>
    </row>
    <row r="3351" spans="1:90">
      <c r="A3351" s="2" t="s">
        <v>71</v>
      </c>
      <c r="B3351" s="2" t="s">
        <v>72</v>
      </c>
      <c r="C3351" s="2" t="s">
        <v>73</v>
      </c>
      <c r="E3351" s="2" t="str">
        <f>"FES1162595749"</f>
        <v>FES1162595749</v>
      </c>
      <c r="F3351" s="3">
        <v>43088</v>
      </c>
      <c r="G3351" s="2">
        <v>201806</v>
      </c>
      <c r="H3351" s="2" t="s">
        <v>74</v>
      </c>
      <c r="I3351" s="2" t="s">
        <v>75</v>
      </c>
      <c r="J3351" s="2" t="s">
        <v>76</v>
      </c>
      <c r="K3351" s="2" t="s">
        <v>77</v>
      </c>
      <c r="L3351" s="2" t="s">
        <v>1085</v>
      </c>
      <c r="M3351" s="2" t="s">
        <v>174</v>
      </c>
      <c r="N3351" s="2" t="s">
        <v>1622</v>
      </c>
      <c r="O3351" s="2" t="s">
        <v>81</v>
      </c>
      <c r="P3351" s="2" t="str">
        <f>"217060754                     "</f>
        <v xml:space="preserve">217060754 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22.75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14.5</v>
      </c>
      <c r="BJ3351" s="2">
        <v>31.6</v>
      </c>
      <c r="BK3351" s="2">
        <v>32</v>
      </c>
      <c r="BL3351" s="2">
        <v>167.43</v>
      </c>
      <c r="BM3351" s="2">
        <v>23.44</v>
      </c>
      <c r="BN3351" s="2">
        <v>190.87</v>
      </c>
      <c r="BO3351" s="2">
        <v>190.87</v>
      </c>
      <c r="BR3351" s="2" t="s">
        <v>83</v>
      </c>
      <c r="BS3351" s="3">
        <v>43089</v>
      </c>
      <c r="BT3351" s="4">
        <v>0.38680555555555557</v>
      </c>
      <c r="BU3351" s="2" t="s">
        <v>267</v>
      </c>
      <c r="BV3351" s="2" t="s">
        <v>85</v>
      </c>
      <c r="BY3351" s="2">
        <v>158205.25</v>
      </c>
      <c r="CA3351" s="2" t="s">
        <v>234</v>
      </c>
      <c r="CC3351" s="2" t="s">
        <v>174</v>
      </c>
      <c r="CD3351" s="2">
        <v>7530</v>
      </c>
      <c r="CE3351" s="2" t="s">
        <v>95</v>
      </c>
      <c r="CF3351" s="3">
        <v>43090</v>
      </c>
      <c r="CI3351" s="2">
        <v>2</v>
      </c>
      <c r="CJ3351" s="2">
        <v>1</v>
      </c>
      <c r="CK3351" s="2" t="s">
        <v>271</v>
      </c>
      <c r="CL3351" s="2" t="s">
        <v>89</v>
      </c>
    </row>
    <row r="3352" spans="1:90">
      <c r="A3352" s="2" t="s">
        <v>71</v>
      </c>
      <c r="B3352" s="2" t="s">
        <v>72</v>
      </c>
      <c r="C3352" s="2" t="s">
        <v>73</v>
      </c>
      <c r="E3352" s="2" t="str">
        <f>"FES1162596730"</f>
        <v>FES1162596730</v>
      </c>
      <c r="F3352" s="3">
        <v>43088</v>
      </c>
      <c r="G3352" s="2">
        <v>201806</v>
      </c>
      <c r="H3352" s="2" t="s">
        <v>74</v>
      </c>
      <c r="I3352" s="2" t="s">
        <v>75</v>
      </c>
      <c r="J3352" s="2" t="s">
        <v>76</v>
      </c>
      <c r="K3352" s="2" t="s">
        <v>77</v>
      </c>
      <c r="L3352" s="2" t="s">
        <v>325</v>
      </c>
      <c r="M3352" s="2" t="s">
        <v>326</v>
      </c>
      <c r="N3352" s="2" t="s">
        <v>1129</v>
      </c>
      <c r="O3352" s="2" t="s">
        <v>81</v>
      </c>
      <c r="P3352" s="2" t="str">
        <f>"2170607211                    "</f>
        <v xml:space="preserve">2170607211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11.06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9.6</v>
      </c>
      <c r="BJ3352" s="2">
        <v>5.7</v>
      </c>
      <c r="BK3352" s="2">
        <v>10</v>
      </c>
      <c r="BL3352" s="2">
        <v>83.95</v>
      </c>
      <c r="BM3352" s="2">
        <v>11.75</v>
      </c>
      <c r="BN3352" s="2">
        <v>95.7</v>
      </c>
      <c r="BO3352" s="2">
        <v>95.7</v>
      </c>
      <c r="BQ3352" s="2" t="s">
        <v>82</v>
      </c>
      <c r="BR3352" s="2" t="s">
        <v>83</v>
      </c>
      <c r="BS3352" s="2" t="s">
        <v>185</v>
      </c>
      <c r="BY3352" s="2">
        <v>28435.68</v>
      </c>
      <c r="CC3352" s="2" t="s">
        <v>326</v>
      </c>
      <c r="CD3352" s="2">
        <v>1939</v>
      </c>
      <c r="CE3352" s="2" t="s">
        <v>87</v>
      </c>
      <c r="CI3352" s="2">
        <v>1</v>
      </c>
      <c r="CJ3352" s="2" t="s">
        <v>185</v>
      </c>
      <c r="CK3352" s="2" t="s">
        <v>289</v>
      </c>
      <c r="CL3352" s="2" t="s">
        <v>89</v>
      </c>
    </row>
    <row r="3353" spans="1:90">
      <c r="A3353" s="2" t="s">
        <v>71</v>
      </c>
      <c r="B3353" s="2" t="s">
        <v>72</v>
      </c>
      <c r="C3353" s="2" t="s">
        <v>73</v>
      </c>
      <c r="E3353" s="2" t="str">
        <f>"FES1162597376"</f>
        <v>FES1162597376</v>
      </c>
      <c r="F3353" s="3">
        <v>43089</v>
      </c>
      <c r="G3353" s="2">
        <v>201806</v>
      </c>
      <c r="H3353" s="2" t="s">
        <v>74</v>
      </c>
      <c r="I3353" s="2" t="s">
        <v>75</v>
      </c>
      <c r="J3353" s="2" t="s">
        <v>76</v>
      </c>
      <c r="K3353" s="2" t="s">
        <v>77</v>
      </c>
      <c r="L3353" s="2" t="s">
        <v>115</v>
      </c>
      <c r="M3353" s="2" t="s">
        <v>116</v>
      </c>
      <c r="N3353" s="2" t="s">
        <v>283</v>
      </c>
      <c r="O3353" s="2" t="s">
        <v>81</v>
      </c>
      <c r="P3353" s="2" t="str">
        <f>"2170606435                    "</f>
        <v xml:space="preserve">2170606435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9.0500000000000007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4</v>
      </c>
      <c r="BJ3353" s="2">
        <v>5.2</v>
      </c>
      <c r="BK3353" s="2">
        <v>6</v>
      </c>
      <c r="BL3353" s="2">
        <v>69.599999999999994</v>
      </c>
      <c r="BM3353" s="2">
        <v>9.74</v>
      </c>
      <c r="BN3353" s="2">
        <v>79.34</v>
      </c>
      <c r="BO3353" s="2">
        <v>79.34</v>
      </c>
      <c r="BQ3353" s="2" t="s">
        <v>82</v>
      </c>
      <c r="BR3353" s="2" t="s">
        <v>83</v>
      </c>
      <c r="BS3353" s="3">
        <v>43090</v>
      </c>
      <c r="BT3353" s="4">
        <v>0.41666666666666669</v>
      </c>
      <c r="BU3353" s="2" t="s">
        <v>205</v>
      </c>
      <c r="BV3353" s="2" t="s">
        <v>85</v>
      </c>
      <c r="BY3353" s="2">
        <v>25920</v>
      </c>
      <c r="CC3353" s="2" t="s">
        <v>116</v>
      </c>
      <c r="CD3353" s="2">
        <v>1459</v>
      </c>
      <c r="CE3353" s="2" t="s">
        <v>87</v>
      </c>
      <c r="CF3353" s="3">
        <v>43091</v>
      </c>
      <c r="CI3353" s="2">
        <v>1</v>
      </c>
      <c r="CJ3353" s="2">
        <v>1</v>
      </c>
      <c r="CK3353" s="2" t="s">
        <v>96</v>
      </c>
      <c r="CL3353" s="2" t="s">
        <v>89</v>
      </c>
    </row>
    <row r="3354" spans="1:90">
      <c r="A3354" s="2" t="s">
        <v>71</v>
      </c>
      <c r="B3354" s="2" t="s">
        <v>72</v>
      </c>
      <c r="C3354" s="2" t="s">
        <v>73</v>
      </c>
      <c r="E3354" s="2" t="str">
        <f>"FES1162596538"</f>
        <v>FES1162596538</v>
      </c>
      <c r="F3354" s="3">
        <v>43087</v>
      </c>
      <c r="G3354" s="2">
        <v>201806</v>
      </c>
      <c r="H3354" s="2" t="s">
        <v>74</v>
      </c>
      <c r="I3354" s="2" t="s">
        <v>75</v>
      </c>
      <c r="J3354" s="2" t="s">
        <v>76</v>
      </c>
      <c r="K3354" s="2" t="s">
        <v>77</v>
      </c>
      <c r="L3354" s="2" t="s">
        <v>285</v>
      </c>
      <c r="M3354" s="2" t="s">
        <v>159</v>
      </c>
      <c r="N3354" s="2" t="s">
        <v>976</v>
      </c>
      <c r="O3354" s="2" t="s">
        <v>81</v>
      </c>
      <c r="P3354" s="2" t="str">
        <f>"2170609593                    "</f>
        <v xml:space="preserve">2170609593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11.06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5</v>
      </c>
      <c r="BJ3354" s="2">
        <v>6.9</v>
      </c>
      <c r="BK3354" s="2">
        <v>7</v>
      </c>
      <c r="BL3354" s="2">
        <v>83.95</v>
      </c>
      <c r="BM3354" s="2">
        <v>11.75</v>
      </c>
      <c r="BN3354" s="2">
        <v>95.7</v>
      </c>
      <c r="BO3354" s="2">
        <v>95.7</v>
      </c>
      <c r="BQ3354" s="2" t="s">
        <v>82</v>
      </c>
      <c r="BR3354" s="2" t="s">
        <v>83</v>
      </c>
      <c r="BS3354" s="3">
        <v>43088</v>
      </c>
      <c r="BT3354" s="4">
        <v>0.42708333333333331</v>
      </c>
      <c r="BU3354" s="2" t="s">
        <v>1342</v>
      </c>
      <c r="BY3354" s="2">
        <v>34560</v>
      </c>
      <c r="CC3354" s="2" t="s">
        <v>159</v>
      </c>
      <c r="CD3354" s="2">
        <v>200</v>
      </c>
      <c r="CE3354" s="2" t="s">
        <v>87</v>
      </c>
      <c r="CF3354" s="3">
        <v>43090</v>
      </c>
      <c r="CI3354" s="2">
        <v>0</v>
      </c>
      <c r="CJ3354" s="2">
        <v>0</v>
      </c>
      <c r="CK3354" s="2" t="s">
        <v>289</v>
      </c>
      <c r="CL3354" s="2" t="s">
        <v>89</v>
      </c>
    </row>
    <row r="3355" spans="1:90">
      <c r="A3355" s="2" t="s">
        <v>71</v>
      </c>
      <c r="B3355" s="2" t="s">
        <v>72</v>
      </c>
      <c r="C3355" s="2" t="s">
        <v>73</v>
      </c>
      <c r="E3355" s="2" t="str">
        <f>"FES1162596786"</f>
        <v>FES1162596786</v>
      </c>
      <c r="F3355" s="3">
        <v>43088</v>
      </c>
      <c r="G3355" s="2">
        <v>201806</v>
      </c>
      <c r="H3355" s="2" t="s">
        <v>74</v>
      </c>
      <c r="I3355" s="2" t="s">
        <v>75</v>
      </c>
      <c r="J3355" s="2" t="s">
        <v>76</v>
      </c>
      <c r="K3355" s="2" t="s">
        <v>77</v>
      </c>
      <c r="L3355" s="2" t="s">
        <v>285</v>
      </c>
      <c r="M3355" s="2" t="s">
        <v>159</v>
      </c>
      <c r="N3355" s="2" t="s">
        <v>1766</v>
      </c>
      <c r="O3355" s="2" t="s">
        <v>81</v>
      </c>
      <c r="P3355" s="2" t="str">
        <f>"2170608121                    "</f>
        <v xml:space="preserve">2170608121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11.06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5</v>
      </c>
      <c r="BJ3355" s="2">
        <v>6.9</v>
      </c>
      <c r="BK3355" s="2">
        <v>7</v>
      </c>
      <c r="BL3355" s="2">
        <v>83.95</v>
      </c>
      <c r="BM3355" s="2">
        <v>11.75</v>
      </c>
      <c r="BN3355" s="2">
        <v>95.7</v>
      </c>
      <c r="BO3355" s="2">
        <v>95.7</v>
      </c>
      <c r="BR3355" s="2" t="s">
        <v>83</v>
      </c>
      <c r="BS3355" s="3">
        <v>43091</v>
      </c>
      <c r="BT3355" s="4">
        <v>0.59722222222222221</v>
      </c>
      <c r="BU3355" s="2" t="s">
        <v>2934</v>
      </c>
      <c r="BY3355" s="2">
        <v>34632</v>
      </c>
      <c r="CA3355" s="2" t="s">
        <v>2935</v>
      </c>
      <c r="CC3355" s="2" t="s">
        <v>159</v>
      </c>
      <c r="CD3355" s="2">
        <v>183</v>
      </c>
      <c r="CE3355" s="2" t="s">
        <v>87</v>
      </c>
      <c r="CF3355" s="3">
        <v>43091</v>
      </c>
      <c r="CI3355" s="2">
        <v>0</v>
      </c>
      <c r="CJ3355" s="2">
        <v>0</v>
      </c>
      <c r="CK3355" s="2" t="s">
        <v>289</v>
      </c>
      <c r="CL3355" s="2" t="s">
        <v>89</v>
      </c>
    </row>
    <row r="3356" spans="1:90">
      <c r="A3356" s="2" t="s">
        <v>71</v>
      </c>
      <c r="B3356" s="2" t="s">
        <v>72</v>
      </c>
      <c r="C3356" s="2" t="s">
        <v>73</v>
      </c>
      <c r="E3356" s="2" t="str">
        <f>"FES1162596584"</f>
        <v>FES1162596584</v>
      </c>
      <c r="F3356" s="3">
        <v>43087</v>
      </c>
      <c r="G3356" s="2">
        <v>201806</v>
      </c>
      <c r="H3356" s="2" t="s">
        <v>74</v>
      </c>
      <c r="I3356" s="2" t="s">
        <v>75</v>
      </c>
      <c r="J3356" s="2" t="s">
        <v>76</v>
      </c>
      <c r="K3356" s="2" t="s">
        <v>77</v>
      </c>
      <c r="L3356" s="2" t="s">
        <v>189</v>
      </c>
      <c r="M3356" s="2" t="s">
        <v>190</v>
      </c>
      <c r="N3356" s="2" t="s">
        <v>199</v>
      </c>
      <c r="O3356" s="2" t="s">
        <v>81</v>
      </c>
      <c r="P3356" s="2" t="str">
        <f>"2170604713                    "</f>
        <v xml:space="preserve">2170604713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11.06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2</v>
      </c>
      <c r="BJ3356" s="2">
        <v>4</v>
      </c>
      <c r="BK3356" s="2">
        <v>4</v>
      </c>
      <c r="BL3356" s="2">
        <v>83.95</v>
      </c>
      <c r="BM3356" s="2">
        <v>11.75</v>
      </c>
      <c r="BN3356" s="2">
        <v>95.7</v>
      </c>
      <c r="BO3356" s="2">
        <v>95.7</v>
      </c>
      <c r="BQ3356" s="2" t="s">
        <v>82</v>
      </c>
      <c r="BR3356" s="2" t="s">
        <v>83</v>
      </c>
      <c r="BS3356" s="3">
        <v>43088</v>
      </c>
      <c r="BT3356" s="4">
        <v>0.47916666666666669</v>
      </c>
      <c r="BU3356" s="2" t="s">
        <v>114</v>
      </c>
      <c r="BW3356" s="2" t="s">
        <v>149</v>
      </c>
      <c r="BX3356" s="2" t="s">
        <v>668</v>
      </c>
      <c r="BY3356" s="2">
        <v>19983.55</v>
      </c>
      <c r="CC3356" s="2" t="s">
        <v>190</v>
      </c>
      <c r="CD3356" s="2">
        <v>157</v>
      </c>
      <c r="CE3356" s="2" t="s">
        <v>95</v>
      </c>
      <c r="CF3356" s="3">
        <v>43090</v>
      </c>
      <c r="CI3356" s="2">
        <v>0</v>
      </c>
      <c r="CJ3356" s="2">
        <v>0</v>
      </c>
      <c r="CK3356" s="2" t="s">
        <v>289</v>
      </c>
      <c r="CL3356" s="2" t="s">
        <v>89</v>
      </c>
    </row>
    <row r="3357" spans="1:90">
      <c r="A3357" s="2" t="s">
        <v>71</v>
      </c>
      <c r="B3357" s="2" t="s">
        <v>72</v>
      </c>
      <c r="C3357" s="2" t="s">
        <v>73</v>
      </c>
      <c r="E3357" s="2" t="str">
        <f>"FES1162597015"</f>
        <v>FES1162597015</v>
      </c>
      <c r="F3357" s="3">
        <v>43089</v>
      </c>
      <c r="G3357" s="2">
        <v>201806</v>
      </c>
      <c r="H3357" s="2" t="s">
        <v>74</v>
      </c>
      <c r="I3357" s="2" t="s">
        <v>75</v>
      </c>
      <c r="J3357" s="2" t="s">
        <v>76</v>
      </c>
      <c r="K3357" s="2" t="s">
        <v>77</v>
      </c>
      <c r="L3357" s="2" t="s">
        <v>152</v>
      </c>
      <c r="M3357" s="2" t="s">
        <v>153</v>
      </c>
      <c r="N3357" s="2" t="s">
        <v>1660</v>
      </c>
      <c r="O3357" s="2" t="s">
        <v>81</v>
      </c>
      <c r="P3357" s="2" t="str">
        <f>"2170600834                    "</f>
        <v xml:space="preserve">2170600834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11.47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2</v>
      </c>
      <c r="BI3357" s="2">
        <v>22.6</v>
      </c>
      <c r="BJ3357" s="2">
        <v>18.5</v>
      </c>
      <c r="BK3357" s="2">
        <v>23</v>
      </c>
      <c r="BL3357" s="2">
        <v>86.9</v>
      </c>
      <c r="BM3357" s="2">
        <v>12.17</v>
      </c>
      <c r="BN3357" s="2">
        <v>99.07</v>
      </c>
      <c r="BO3357" s="2">
        <v>99.07</v>
      </c>
      <c r="BQ3357" s="2" t="s">
        <v>128</v>
      </c>
      <c r="BR3357" s="2" t="s">
        <v>83</v>
      </c>
      <c r="BS3357" s="3">
        <v>43090</v>
      </c>
      <c r="BT3357" s="4">
        <v>0.40625</v>
      </c>
      <c r="BU3357" s="2" t="s">
        <v>428</v>
      </c>
      <c r="BV3357" s="2" t="s">
        <v>85</v>
      </c>
      <c r="BY3357" s="2">
        <v>92574.62</v>
      </c>
      <c r="CC3357" s="2" t="s">
        <v>153</v>
      </c>
      <c r="CD3357" s="2">
        <v>1401</v>
      </c>
      <c r="CE3357" s="2" t="s">
        <v>282</v>
      </c>
      <c r="CF3357" s="3">
        <v>43096</v>
      </c>
      <c r="CI3357" s="2">
        <v>1</v>
      </c>
      <c r="CJ3357" s="2">
        <v>1</v>
      </c>
      <c r="CK3357" s="2" t="s">
        <v>96</v>
      </c>
      <c r="CL3357" s="2" t="s">
        <v>89</v>
      </c>
    </row>
    <row r="3358" spans="1:90">
      <c r="A3358" s="2" t="s">
        <v>71</v>
      </c>
      <c r="B3358" s="2" t="s">
        <v>72</v>
      </c>
      <c r="C3358" s="2" t="s">
        <v>73</v>
      </c>
      <c r="E3358" s="2" t="str">
        <f>"FES1162596960"</f>
        <v>FES1162596960</v>
      </c>
      <c r="F3358" s="3">
        <v>43088</v>
      </c>
      <c r="G3358" s="2">
        <v>201806</v>
      </c>
      <c r="H3358" s="2" t="s">
        <v>74</v>
      </c>
      <c r="I3358" s="2" t="s">
        <v>75</v>
      </c>
      <c r="J3358" s="2" t="s">
        <v>76</v>
      </c>
      <c r="K3358" s="2" t="s">
        <v>77</v>
      </c>
      <c r="L3358" s="2" t="s">
        <v>168</v>
      </c>
      <c r="M3358" s="2" t="s">
        <v>169</v>
      </c>
      <c r="N3358" s="2" t="s">
        <v>170</v>
      </c>
      <c r="O3358" s="2" t="s">
        <v>81</v>
      </c>
      <c r="P3358" s="2" t="str">
        <f>"2170602415                    "</f>
        <v xml:space="preserve">2170602415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11.34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16.2</v>
      </c>
      <c r="BJ3358" s="2">
        <v>20.6</v>
      </c>
      <c r="BK3358" s="2">
        <v>21</v>
      </c>
      <c r="BL3358" s="2">
        <v>85.93</v>
      </c>
      <c r="BM3358" s="2">
        <v>12.03</v>
      </c>
      <c r="BN3358" s="2">
        <v>97.96</v>
      </c>
      <c r="BO3358" s="2">
        <v>97.96</v>
      </c>
      <c r="BQ3358" s="2" t="s">
        <v>128</v>
      </c>
      <c r="BR3358" s="2" t="s">
        <v>83</v>
      </c>
      <c r="BS3358" s="3">
        <v>43089</v>
      </c>
      <c r="BT3358" s="4">
        <v>0.34722222222222227</v>
      </c>
      <c r="BU3358" s="2" t="s">
        <v>171</v>
      </c>
      <c r="BV3358" s="2" t="s">
        <v>85</v>
      </c>
      <c r="BY3358" s="2">
        <v>102804.74</v>
      </c>
      <c r="CA3358" s="2" t="s">
        <v>172</v>
      </c>
      <c r="CC3358" s="2" t="s">
        <v>169</v>
      </c>
      <c r="CD3358" s="2">
        <v>3610</v>
      </c>
      <c r="CE3358" s="2" t="s">
        <v>95</v>
      </c>
      <c r="CF3358" s="3">
        <v>43090</v>
      </c>
      <c r="CI3358" s="2">
        <v>1</v>
      </c>
      <c r="CJ3358" s="2">
        <v>1</v>
      </c>
      <c r="CK3358" s="2" t="s">
        <v>352</v>
      </c>
      <c r="CL3358" s="2" t="s">
        <v>89</v>
      </c>
    </row>
    <row r="3359" spans="1:90">
      <c r="A3359" s="2" t="s">
        <v>71</v>
      </c>
      <c r="B3359" s="2" t="s">
        <v>72</v>
      </c>
      <c r="C3359" s="2" t="s">
        <v>73</v>
      </c>
      <c r="E3359" s="2" t="str">
        <f>"FES1162597378"</f>
        <v>FES1162597378</v>
      </c>
      <c r="F3359" s="3">
        <v>43090</v>
      </c>
      <c r="G3359" s="2">
        <v>201806</v>
      </c>
      <c r="H3359" s="2" t="s">
        <v>74</v>
      </c>
      <c r="I3359" s="2" t="s">
        <v>75</v>
      </c>
      <c r="J3359" s="2" t="s">
        <v>76</v>
      </c>
      <c r="K3359" s="2" t="s">
        <v>77</v>
      </c>
      <c r="L3359" s="2" t="s">
        <v>285</v>
      </c>
      <c r="M3359" s="2" t="s">
        <v>159</v>
      </c>
      <c r="N3359" s="2" t="s">
        <v>2423</v>
      </c>
      <c r="O3359" s="2" t="s">
        <v>81</v>
      </c>
      <c r="P3359" s="2" t="str">
        <f>"21706085169                   "</f>
        <v xml:space="preserve">21706085169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11.06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11.7</v>
      </c>
      <c r="BJ3359" s="2">
        <v>8.9</v>
      </c>
      <c r="BK3359" s="2">
        <v>12</v>
      </c>
      <c r="BL3359" s="2">
        <v>83.95</v>
      </c>
      <c r="BM3359" s="2">
        <v>11.75</v>
      </c>
      <c r="BN3359" s="2">
        <v>95.7</v>
      </c>
      <c r="BO3359" s="2">
        <v>95.7</v>
      </c>
      <c r="BQ3359" s="2" t="s">
        <v>82</v>
      </c>
      <c r="BR3359" s="2" t="s">
        <v>83</v>
      </c>
      <c r="BS3359" s="2" t="s">
        <v>185</v>
      </c>
      <c r="BY3359" s="2">
        <v>44693.760000000002</v>
      </c>
      <c r="CC3359" s="2" t="s">
        <v>159</v>
      </c>
      <c r="CD3359" s="2">
        <v>186</v>
      </c>
      <c r="CE3359" s="2" t="s">
        <v>95</v>
      </c>
      <c r="CI3359" s="2">
        <v>0</v>
      </c>
      <c r="CJ3359" s="2">
        <v>0</v>
      </c>
      <c r="CK3359" s="2" t="s">
        <v>289</v>
      </c>
      <c r="CL3359" s="2" t="s">
        <v>89</v>
      </c>
    </row>
    <row r="3360" spans="1:90">
      <c r="A3360" s="2" t="s">
        <v>71</v>
      </c>
      <c r="B3360" s="2" t="s">
        <v>72</v>
      </c>
      <c r="C3360" s="2" t="s">
        <v>73</v>
      </c>
      <c r="E3360" s="2" t="str">
        <f>"FES1162596969"</f>
        <v>FES1162596969</v>
      </c>
      <c r="F3360" s="3">
        <v>43089</v>
      </c>
      <c r="G3360" s="2">
        <v>201806</v>
      </c>
      <c r="H3360" s="2" t="s">
        <v>74</v>
      </c>
      <c r="I3360" s="2" t="s">
        <v>75</v>
      </c>
      <c r="J3360" s="2" t="s">
        <v>76</v>
      </c>
      <c r="K3360" s="2" t="s">
        <v>77</v>
      </c>
      <c r="L3360" s="2" t="s">
        <v>325</v>
      </c>
      <c r="M3360" s="2" t="s">
        <v>326</v>
      </c>
      <c r="N3360" s="2" t="s">
        <v>1129</v>
      </c>
      <c r="O3360" s="2" t="s">
        <v>81</v>
      </c>
      <c r="P3360" s="2" t="str">
        <f>"2170604189                    "</f>
        <v xml:space="preserve">2170604189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11.06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13</v>
      </c>
      <c r="BJ3360" s="2">
        <v>9.6999999999999993</v>
      </c>
      <c r="BK3360" s="2">
        <v>13</v>
      </c>
      <c r="BL3360" s="2">
        <v>83.95</v>
      </c>
      <c r="BM3360" s="2">
        <v>11.75</v>
      </c>
      <c r="BN3360" s="2">
        <v>95.7</v>
      </c>
      <c r="BO3360" s="2">
        <v>95.7</v>
      </c>
      <c r="BQ3360" s="2" t="s">
        <v>82</v>
      </c>
      <c r="BR3360" s="2" t="s">
        <v>83</v>
      </c>
      <c r="BS3360" s="2" t="s">
        <v>185</v>
      </c>
      <c r="BY3360" s="2">
        <v>48640</v>
      </c>
      <c r="CC3360" s="2" t="s">
        <v>326</v>
      </c>
      <c r="CD3360" s="2">
        <v>1939</v>
      </c>
      <c r="CE3360" s="2" t="s">
        <v>87</v>
      </c>
      <c r="CI3360" s="2">
        <v>1</v>
      </c>
      <c r="CJ3360" s="2" t="s">
        <v>185</v>
      </c>
      <c r="CK3360" s="2" t="s">
        <v>289</v>
      </c>
      <c r="CL3360" s="2" t="s">
        <v>89</v>
      </c>
    </row>
    <row r="3361" spans="1:90">
      <c r="A3361" s="2" t="s">
        <v>71</v>
      </c>
      <c r="B3361" s="2" t="s">
        <v>72</v>
      </c>
      <c r="C3361" s="2" t="s">
        <v>73</v>
      </c>
      <c r="E3361" s="2" t="str">
        <f>"FES1162597038"</f>
        <v>FES1162597038</v>
      </c>
      <c r="F3361" s="3">
        <v>43089</v>
      </c>
      <c r="G3361" s="2">
        <v>201806</v>
      </c>
      <c r="H3361" s="2" t="s">
        <v>74</v>
      </c>
      <c r="I3361" s="2" t="s">
        <v>75</v>
      </c>
      <c r="J3361" s="2" t="s">
        <v>76</v>
      </c>
      <c r="K3361" s="2" t="s">
        <v>77</v>
      </c>
      <c r="L3361" s="2" t="s">
        <v>285</v>
      </c>
      <c r="M3361" s="2" t="s">
        <v>159</v>
      </c>
      <c r="N3361" s="2" t="s">
        <v>186</v>
      </c>
      <c r="O3361" s="2" t="s">
        <v>81</v>
      </c>
      <c r="P3361" s="2" t="str">
        <f>"217068353                     "</f>
        <v xml:space="preserve">217068353 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11.06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5.8</v>
      </c>
      <c r="BJ3361" s="2">
        <v>3.3</v>
      </c>
      <c r="BK3361" s="2">
        <v>6</v>
      </c>
      <c r="BL3361" s="2">
        <v>83.95</v>
      </c>
      <c r="BM3361" s="2">
        <v>11.75</v>
      </c>
      <c r="BN3361" s="2">
        <v>95.7</v>
      </c>
      <c r="BO3361" s="2">
        <v>95.7</v>
      </c>
      <c r="BQ3361" s="2" t="s">
        <v>187</v>
      </c>
      <c r="BR3361" s="2" t="s">
        <v>83</v>
      </c>
      <c r="BS3361" s="3">
        <v>43090</v>
      </c>
      <c r="BT3361" s="4">
        <v>0.43194444444444446</v>
      </c>
      <c r="BU3361" s="2" t="s">
        <v>188</v>
      </c>
      <c r="BY3361" s="2">
        <v>16692.77</v>
      </c>
      <c r="CC3361" s="2" t="s">
        <v>159</v>
      </c>
      <c r="CD3361" s="2">
        <v>159</v>
      </c>
      <c r="CE3361" s="2" t="s">
        <v>95</v>
      </c>
      <c r="CF3361" s="3">
        <v>43091</v>
      </c>
      <c r="CI3361" s="2">
        <v>0</v>
      </c>
      <c r="CJ3361" s="2">
        <v>0</v>
      </c>
      <c r="CK3361" s="2" t="s">
        <v>289</v>
      </c>
      <c r="CL3361" s="2" t="s">
        <v>89</v>
      </c>
    </row>
    <row r="3362" spans="1:90">
      <c r="A3362" s="2" t="s">
        <v>71</v>
      </c>
      <c r="B3362" s="2" t="s">
        <v>72</v>
      </c>
      <c r="C3362" s="2" t="s">
        <v>73</v>
      </c>
      <c r="E3362" s="2" t="str">
        <f>"FES1162596267"</f>
        <v>FES1162596267</v>
      </c>
      <c r="F3362" s="3">
        <v>43084</v>
      </c>
      <c r="G3362" s="2">
        <v>201806</v>
      </c>
      <c r="H3362" s="2" t="s">
        <v>74</v>
      </c>
      <c r="I3362" s="2" t="s">
        <v>75</v>
      </c>
      <c r="J3362" s="2" t="s">
        <v>76</v>
      </c>
      <c r="K3362" s="2" t="s">
        <v>77</v>
      </c>
      <c r="L3362" s="2" t="s">
        <v>106</v>
      </c>
      <c r="M3362" s="2" t="s">
        <v>107</v>
      </c>
      <c r="N3362" s="2" t="s">
        <v>108</v>
      </c>
      <c r="O3362" s="2" t="s">
        <v>81</v>
      </c>
      <c r="P3362" s="2" t="str">
        <f>"2176808023                    "</f>
        <v xml:space="preserve">2176808023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10.26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7.3</v>
      </c>
      <c r="BJ3362" s="2">
        <v>18.2</v>
      </c>
      <c r="BK3362" s="2">
        <v>19</v>
      </c>
      <c r="BL3362" s="2">
        <v>78.25</v>
      </c>
      <c r="BM3362" s="2">
        <v>10.96</v>
      </c>
      <c r="BN3362" s="2">
        <v>89.21</v>
      </c>
      <c r="BO3362" s="2">
        <v>89.21</v>
      </c>
      <c r="BQ3362" s="2" t="s">
        <v>82</v>
      </c>
      <c r="BR3362" s="2" t="s">
        <v>83</v>
      </c>
      <c r="BS3362" s="3">
        <v>43087</v>
      </c>
      <c r="BT3362" s="4">
        <v>0.40416666666666662</v>
      </c>
      <c r="BU3362" s="2" t="s">
        <v>1227</v>
      </c>
      <c r="BV3362" s="2" t="s">
        <v>85</v>
      </c>
      <c r="BY3362" s="2">
        <v>90802.41</v>
      </c>
      <c r="CA3362" s="2" t="s">
        <v>110</v>
      </c>
      <c r="CC3362" s="2" t="s">
        <v>107</v>
      </c>
      <c r="CD3362" s="2">
        <v>2094</v>
      </c>
      <c r="CE3362" s="2" t="s">
        <v>95</v>
      </c>
      <c r="CF3362" s="3">
        <v>43089</v>
      </c>
      <c r="CI3362" s="2">
        <v>1</v>
      </c>
      <c r="CJ3362" s="2">
        <v>1</v>
      </c>
      <c r="CK3362" s="2" t="s">
        <v>96</v>
      </c>
      <c r="CL3362" s="2" t="s">
        <v>89</v>
      </c>
    </row>
    <row r="3363" spans="1:90">
      <c r="A3363" s="2" t="s">
        <v>71</v>
      </c>
      <c r="B3363" s="2" t="s">
        <v>72</v>
      </c>
      <c r="C3363" s="2" t="s">
        <v>73</v>
      </c>
      <c r="E3363" s="2" t="str">
        <f>"FES1162596066"</f>
        <v>FES1162596066</v>
      </c>
      <c r="F3363" s="3">
        <v>43084</v>
      </c>
      <c r="G3363" s="2">
        <v>201806</v>
      </c>
      <c r="H3363" s="2" t="s">
        <v>74</v>
      </c>
      <c r="I3363" s="2" t="s">
        <v>75</v>
      </c>
      <c r="J3363" s="2" t="s">
        <v>76</v>
      </c>
      <c r="K3363" s="2" t="s">
        <v>77</v>
      </c>
      <c r="L3363" s="2" t="s">
        <v>285</v>
      </c>
      <c r="M3363" s="2" t="s">
        <v>159</v>
      </c>
      <c r="N3363" s="2" t="s">
        <v>1320</v>
      </c>
      <c r="O3363" s="2" t="s">
        <v>81</v>
      </c>
      <c r="P3363" s="2" t="str">
        <f>"2170607805                    "</f>
        <v xml:space="preserve">2170607805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11.06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5</v>
      </c>
      <c r="BJ3363" s="2">
        <v>0.4</v>
      </c>
      <c r="BK3363" s="2">
        <v>5</v>
      </c>
      <c r="BL3363" s="2">
        <v>83.95</v>
      </c>
      <c r="BM3363" s="2">
        <v>11.75</v>
      </c>
      <c r="BN3363" s="2">
        <v>95.7</v>
      </c>
      <c r="BO3363" s="2">
        <v>95.7</v>
      </c>
      <c r="BQ3363" s="2" t="s">
        <v>82</v>
      </c>
      <c r="BR3363" s="2" t="s">
        <v>83</v>
      </c>
      <c r="BS3363" s="3">
        <v>43087</v>
      </c>
      <c r="BT3363" s="4">
        <v>0.40972222222222227</v>
      </c>
      <c r="BU3363" s="2" t="s">
        <v>3098</v>
      </c>
      <c r="BY3363" s="2">
        <v>1950</v>
      </c>
      <c r="CC3363" s="2" t="s">
        <v>159</v>
      </c>
      <c r="CD3363" s="2">
        <v>117</v>
      </c>
      <c r="CE3363" s="2" t="s">
        <v>87</v>
      </c>
      <c r="CF3363" s="3">
        <v>43089</v>
      </c>
      <c r="CI3363" s="2">
        <v>0</v>
      </c>
      <c r="CJ3363" s="2">
        <v>0</v>
      </c>
      <c r="CK3363" s="2" t="s">
        <v>289</v>
      </c>
      <c r="CL3363" s="2" t="s">
        <v>89</v>
      </c>
    </row>
    <row r="3364" spans="1:90">
      <c r="A3364" s="2" t="s">
        <v>71</v>
      </c>
      <c r="B3364" s="2" t="s">
        <v>72</v>
      </c>
      <c r="C3364" s="2" t="s">
        <v>73</v>
      </c>
      <c r="E3364" s="2" t="str">
        <f>"FES1162596323"</f>
        <v>FES1162596323</v>
      </c>
      <c r="F3364" s="3">
        <v>43084</v>
      </c>
      <c r="G3364" s="2">
        <v>201806</v>
      </c>
      <c r="H3364" s="2" t="s">
        <v>74</v>
      </c>
      <c r="I3364" s="2" t="s">
        <v>75</v>
      </c>
      <c r="J3364" s="2" t="s">
        <v>76</v>
      </c>
      <c r="K3364" s="2" t="s">
        <v>77</v>
      </c>
      <c r="L3364" s="2" t="s">
        <v>1085</v>
      </c>
      <c r="M3364" s="2" t="s">
        <v>174</v>
      </c>
      <c r="N3364" s="2" t="s">
        <v>747</v>
      </c>
      <c r="O3364" s="2" t="s">
        <v>81</v>
      </c>
      <c r="P3364" s="2" t="str">
        <f>"2170601732                    "</f>
        <v xml:space="preserve">2170601732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22.75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16.5</v>
      </c>
      <c r="BJ3364" s="2">
        <v>31.6</v>
      </c>
      <c r="BK3364" s="2">
        <v>32</v>
      </c>
      <c r="BL3364" s="2">
        <v>167.43</v>
      </c>
      <c r="BM3364" s="2">
        <v>23.44</v>
      </c>
      <c r="BN3364" s="2">
        <v>190.87</v>
      </c>
      <c r="BO3364" s="2">
        <v>190.87</v>
      </c>
      <c r="BQ3364" s="2" t="s">
        <v>142</v>
      </c>
      <c r="BR3364" s="2" t="s">
        <v>83</v>
      </c>
      <c r="BS3364" s="3">
        <v>43087</v>
      </c>
      <c r="BT3364" s="4">
        <v>0.41666666666666669</v>
      </c>
      <c r="BU3364" s="2" t="s">
        <v>3099</v>
      </c>
      <c r="BV3364" s="2" t="s">
        <v>85</v>
      </c>
      <c r="BY3364" s="2">
        <v>158245.70000000001</v>
      </c>
      <c r="CA3364" s="2" t="s">
        <v>1037</v>
      </c>
      <c r="CC3364" s="2" t="s">
        <v>174</v>
      </c>
      <c r="CD3364" s="2">
        <v>7580</v>
      </c>
      <c r="CE3364" s="2" t="s">
        <v>95</v>
      </c>
      <c r="CF3364" s="3">
        <v>43088</v>
      </c>
      <c r="CI3364" s="2">
        <v>2</v>
      </c>
      <c r="CJ3364" s="2">
        <v>1</v>
      </c>
      <c r="CK3364" s="2" t="s">
        <v>271</v>
      </c>
      <c r="CL3364" s="2" t="s">
        <v>89</v>
      </c>
    </row>
    <row r="3365" spans="1:90">
      <c r="A3365" s="2" t="s">
        <v>71</v>
      </c>
      <c r="B3365" s="2" t="s">
        <v>72</v>
      </c>
      <c r="C3365" s="2" t="s">
        <v>73</v>
      </c>
      <c r="E3365" s="2" t="str">
        <f>"FES1162596170"</f>
        <v>FES1162596170</v>
      </c>
      <c r="F3365" s="3">
        <v>43084</v>
      </c>
      <c r="G3365" s="2">
        <v>201806</v>
      </c>
      <c r="H3365" s="2" t="s">
        <v>74</v>
      </c>
      <c r="I3365" s="2" t="s">
        <v>75</v>
      </c>
      <c r="J3365" s="2" t="s">
        <v>76</v>
      </c>
      <c r="K3365" s="2" t="s">
        <v>77</v>
      </c>
      <c r="L3365" s="2" t="s">
        <v>285</v>
      </c>
      <c r="M3365" s="2" t="s">
        <v>159</v>
      </c>
      <c r="N3365" s="2" t="s">
        <v>786</v>
      </c>
      <c r="O3365" s="2" t="s">
        <v>81</v>
      </c>
      <c r="P3365" s="2" t="str">
        <f>"2170607912                    "</f>
        <v xml:space="preserve">2170607912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11.06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5.0999999999999996</v>
      </c>
      <c r="BJ3365" s="2">
        <v>9.5</v>
      </c>
      <c r="BK3365" s="2">
        <v>10</v>
      </c>
      <c r="BL3365" s="2">
        <v>83.95</v>
      </c>
      <c r="BM3365" s="2">
        <v>11.75</v>
      </c>
      <c r="BN3365" s="2">
        <v>95.7</v>
      </c>
      <c r="BO3365" s="2">
        <v>95.7</v>
      </c>
      <c r="BR3365" s="2" t="s">
        <v>83</v>
      </c>
      <c r="BS3365" s="3">
        <v>43087</v>
      </c>
      <c r="BT3365" s="4">
        <v>0.61805555555555558</v>
      </c>
      <c r="BU3365" s="2" t="s">
        <v>3100</v>
      </c>
      <c r="BW3365" s="2" t="s">
        <v>156</v>
      </c>
      <c r="BX3365" s="2" t="s">
        <v>565</v>
      </c>
      <c r="BY3365" s="2">
        <v>47695.78</v>
      </c>
      <c r="CC3365" s="2" t="s">
        <v>159</v>
      </c>
      <c r="CD3365" s="2">
        <v>82</v>
      </c>
      <c r="CE3365" s="2" t="s">
        <v>95</v>
      </c>
      <c r="CF3365" s="3">
        <v>43089</v>
      </c>
      <c r="CI3365" s="2">
        <v>0</v>
      </c>
      <c r="CJ3365" s="2">
        <v>0</v>
      </c>
      <c r="CK3365" s="2" t="s">
        <v>289</v>
      </c>
      <c r="CL3365" s="2" t="s">
        <v>89</v>
      </c>
    </row>
    <row r="3366" spans="1:90">
      <c r="A3366" s="2" t="s">
        <v>71</v>
      </c>
      <c r="B3366" s="2" t="s">
        <v>72</v>
      </c>
      <c r="C3366" s="2" t="s">
        <v>73</v>
      </c>
      <c r="E3366" s="2" t="str">
        <f>"FES1162596106"</f>
        <v>FES1162596106</v>
      </c>
      <c r="F3366" s="3">
        <v>43084</v>
      </c>
      <c r="G3366" s="2">
        <v>201806</v>
      </c>
      <c r="H3366" s="2" t="s">
        <v>74</v>
      </c>
      <c r="I3366" s="2" t="s">
        <v>75</v>
      </c>
      <c r="J3366" s="2" t="s">
        <v>76</v>
      </c>
      <c r="K3366" s="2" t="s">
        <v>77</v>
      </c>
      <c r="L3366" s="2" t="s">
        <v>285</v>
      </c>
      <c r="M3366" s="2" t="s">
        <v>159</v>
      </c>
      <c r="N3366" s="2" t="s">
        <v>1241</v>
      </c>
      <c r="O3366" s="2" t="s">
        <v>81</v>
      </c>
      <c r="P3366" s="2" t="str">
        <f>"2170603655                    "</f>
        <v xml:space="preserve">2170603655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11.06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9</v>
      </c>
      <c r="BJ3366" s="2">
        <v>9.3000000000000007</v>
      </c>
      <c r="BK3366" s="2">
        <v>10</v>
      </c>
      <c r="BL3366" s="2">
        <v>83.95</v>
      </c>
      <c r="BM3366" s="2">
        <v>11.75</v>
      </c>
      <c r="BN3366" s="2">
        <v>95.7</v>
      </c>
      <c r="BO3366" s="2">
        <v>95.7</v>
      </c>
      <c r="BQ3366" s="2" t="s">
        <v>128</v>
      </c>
      <c r="BR3366" s="2" t="s">
        <v>83</v>
      </c>
      <c r="BS3366" s="3">
        <v>43087</v>
      </c>
      <c r="BT3366" s="4">
        <v>0.65208333333333335</v>
      </c>
      <c r="BU3366" s="2" t="s">
        <v>3101</v>
      </c>
      <c r="BY3366" s="2">
        <v>46308.83</v>
      </c>
      <c r="CA3366" s="2" t="s">
        <v>2562</v>
      </c>
      <c r="CC3366" s="2" t="s">
        <v>159</v>
      </c>
      <c r="CD3366" s="2">
        <v>200</v>
      </c>
      <c r="CE3366" s="2" t="s">
        <v>95</v>
      </c>
      <c r="CF3366" s="3">
        <v>43088</v>
      </c>
      <c r="CI3366" s="2">
        <v>0</v>
      </c>
      <c r="CJ3366" s="2">
        <v>0</v>
      </c>
      <c r="CK3366" s="2" t="s">
        <v>289</v>
      </c>
      <c r="CL3366" s="2" t="s">
        <v>89</v>
      </c>
    </row>
    <row r="3367" spans="1:90">
      <c r="A3367" s="2" t="s">
        <v>71</v>
      </c>
      <c r="B3367" s="2" t="s">
        <v>72</v>
      </c>
      <c r="C3367" s="2" t="s">
        <v>73</v>
      </c>
      <c r="E3367" s="2" t="str">
        <f>"FES1162596201"</f>
        <v>FES1162596201</v>
      </c>
      <c r="F3367" s="3">
        <v>43084</v>
      </c>
      <c r="G3367" s="2">
        <v>201806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440</v>
      </c>
      <c r="M3367" s="2" t="s">
        <v>441</v>
      </c>
      <c r="N3367" s="2" t="s">
        <v>442</v>
      </c>
      <c r="O3367" s="2" t="s">
        <v>81</v>
      </c>
      <c r="P3367" s="2" t="str">
        <f>"2170607627                    "</f>
        <v xml:space="preserve">2170607627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9.0500000000000007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12</v>
      </c>
      <c r="BJ3367" s="2">
        <v>3.8</v>
      </c>
      <c r="BK3367" s="2">
        <v>12</v>
      </c>
      <c r="BL3367" s="2">
        <v>69.599999999999994</v>
      </c>
      <c r="BM3367" s="2">
        <v>9.74</v>
      </c>
      <c r="BN3367" s="2">
        <v>79.34</v>
      </c>
      <c r="BO3367" s="2">
        <v>79.34</v>
      </c>
      <c r="BQ3367" s="2" t="s">
        <v>82</v>
      </c>
      <c r="BR3367" s="2" t="s">
        <v>83</v>
      </c>
      <c r="BS3367" s="3">
        <v>43087</v>
      </c>
      <c r="BT3367" s="4">
        <v>0.41666666666666669</v>
      </c>
      <c r="BU3367" s="2" t="s">
        <v>443</v>
      </c>
      <c r="BV3367" s="2" t="s">
        <v>85</v>
      </c>
      <c r="BY3367" s="2">
        <v>18928</v>
      </c>
      <c r="CC3367" s="2" t="s">
        <v>441</v>
      </c>
      <c r="CD3367" s="2">
        <v>1759</v>
      </c>
      <c r="CE3367" s="2" t="s">
        <v>95</v>
      </c>
      <c r="CF3367" s="3">
        <v>43088</v>
      </c>
      <c r="CI3367" s="2">
        <v>1</v>
      </c>
      <c r="CJ3367" s="2">
        <v>1</v>
      </c>
      <c r="CK3367" s="2" t="s">
        <v>96</v>
      </c>
      <c r="CL3367" s="2" t="s">
        <v>89</v>
      </c>
    </row>
    <row r="3368" spans="1:90">
      <c r="A3368" s="2" t="s">
        <v>71</v>
      </c>
      <c r="B3368" s="2" t="s">
        <v>72</v>
      </c>
      <c r="C3368" s="2" t="s">
        <v>73</v>
      </c>
      <c r="E3368" s="2" t="str">
        <f>"FES1162596263"</f>
        <v>FES1162596263</v>
      </c>
      <c r="F3368" s="3">
        <v>43084</v>
      </c>
      <c r="G3368" s="2">
        <v>201806</v>
      </c>
      <c r="H3368" s="2" t="s">
        <v>74</v>
      </c>
      <c r="I3368" s="2" t="s">
        <v>75</v>
      </c>
      <c r="J3368" s="2" t="s">
        <v>76</v>
      </c>
      <c r="K3368" s="2" t="s">
        <v>77</v>
      </c>
      <c r="L3368" s="2" t="s">
        <v>566</v>
      </c>
      <c r="M3368" s="2" t="s">
        <v>567</v>
      </c>
      <c r="N3368" s="2" t="s">
        <v>3102</v>
      </c>
      <c r="O3368" s="2" t="s">
        <v>81</v>
      </c>
      <c r="P3368" s="2" t="str">
        <f>"2170608016                    "</f>
        <v xml:space="preserve">2170608016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9.35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2</v>
      </c>
      <c r="BI3368" s="2">
        <v>15.7</v>
      </c>
      <c r="BJ3368" s="2">
        <v>9.1999999999999993</v>
      </c>
      <c r="BK3368" s="2">
        <v>16</v>
      </c>
      <c r="BL3368" s="2">
        <v>71.760000000000005</v>
      </c>
      <c r="BM3368" s="2">
        <v>10.050000000000001</v>
      </c>
      <c r="BN3368" s="2">
        <v>81.81</v>
      </c>
      <c r="BO3368" s="2">
        <v>81.81</v>
      </c>
      <c r="BQ3368" s="2" t="s">
        <v>128</v>
      </c>
      <c r="BR3368" s="2" t="s">
        <v>83</v>
      </c>
      <c r="BS3368" s="3">
        <v>43087</v>
      </c>
      <c r="BT3368" s="4">
        <v>0.4236111111111111</v>
      </c>
      <c r="BU3368" s="2" t="s">
        <v>3103</v>
      </c>
      <c r="BV3368" s="2" t="s">
        <v>85</v>
      </c>
      <c r="BY3368" s="2">
        <v>45991.61</v>
      </c>
      <c r="CA3368" s="2" t="s">
        <v>2169</v>
      </c>
      <c r="CC3368" s="2" t="s">
        <v>567</v>
      </c>
      <c r="CD3368" s="2">
        <v>1739</v>
      </c>
      <c r="CE3368" s="2" t="s">
        <v>120</v>
      </c>
      <c r="CF3368" s="3">
        <v>43089</v>
      </c>
      <c r="CI3368" s="2">
        <v>1</v>
      </c>
      <c r="CJ3368" s="2">
        <v>1</v>
      </c>
      <c r="CK3368" s="2" t="s">
        <v>96</v>
      </c>
      <c r="CL3368" s="2" t="s">
        <v>89</v>
      </c>
    </row>
    <row r="3369" spans="1:90">
      <c r="A3369" s="2" t="s">
        <v>71</v>
      </c>
      <c r="B3369" s="2" t="s">
        <v>72</v>
      </c>
      <c r="C3369" s="2" t="s">
        <v>73</v>
      </c>
      <c r="E3369" s="2" t="str">
        <f>"FES1162597031"</f>
        <v>FES1162597031</v>
      </c>
      <c r="F3369" s="3">
        <v>43089</v>
      </c>
      <c r="G3369" s="2">
        <v>201806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285</v>
      </c>
      <c r="M3369" s="2" t="s">
        <v>159</v>
      </c>
      <c r="N3369" s="2" t="s">
        <v>1320</v>
      </c>
      <c r="O3369" s="2" t="s">
        <v>81</v>
      </c>
      <c r="P3369" s="2" t="str">
        <f>"2170608518                    "</f>
        <v xml:space="preserve">2170608518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11.06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3.8</v>
      </c>
      <c r="BJ3369" s="2">
        <v>2</v>
      </c>
      <c r="BK3369" s="2">
        <v>4</v>
      </c>
      <c r="BL3369" s="2">
        <v>83.95</v>
      </c>
      <c r="BM3369" s="2">
        <v>11.75</v>
      </c>
      <c r="BN3369" s="2">
        <v>95.7</v>
      </c>
      <c r="BO3369" s="2">
        <v>95.7</v>
      </c>
      <c r="BQ3369" s="2" t="s">
        <v>82</v>
      </c>
      <c r="BR3369" s="2" t="s">
        <v>83</v>
      </c>
      <c r="BS3369" s="3">
        <v>43090</v>
      </c>
      <c r="BT3369" s="4">
        <v>0.36458333333333331</v>
      </c>
      <c r="BU3369" s="2" t="s">
        <v>2955</v>
      </c>
      <c r="BY3369" s="2">
        <v>9837.44</v>
      </c>
      <c r="CC3369" s="2" t="s">
        <v>159</v>
      </c>
      <c r="CD3369" s="2">
        <v>117</v>
      </c>
      <c r="CE3369" s="2" t="s">
        <v>87</v>
      </c>
      <c r="CF3369" s="3">
        <v>43091</v>
      </c>
      <c r="CI3369" s="2">
        <v>0</v>
      </c>
      <c r="CJ3369" s="2">
        <v>0</v>
      </c>
      <c r="CK3369" s="2" t="s">
        <v>289</v>
      </c>
      <c r="CL3369" s="2" t="s">
        <v>89</v>
      </c>
    </row>
    <row r="3370" spans="1:90">
      <c r="A3370" s="2" t="s">
        <v>71</v>
      </c>
      <c r="B3370" s="2" t="s">
        <v>72</v>
      </c>
      <c r="C3370" s="2" t="s">
        <v>73</v>
      </c>
      <c r="E3370" s="2" t="str">
        <f>"FES1162597195"</f>
        <v>FES1162597195</v>
      </c>
      <c r="F3370" s="3">
        <v>43090</v>
      </c>
      <c r="G3370" s="2">
        <v>201806</v>
      </c>
      <c r="H3370" s="2" t="s">
        <v>74</v>
      </c>
      <c r="I3370" s="2" t="s">
        <v>75</v>
      </c>
      <c r="J3370" s="2" t="s">
        <v>76</v>
      </c>
      <c r="K3370" s="2" t="s">
        <v>77</v>
      </c>
      <c r="L3370" s="2" t="s">
        <v>285</v>
      </c>
      <c r="M3370" s="2" t="s">
        <v>159</v>
      </c>
      <c r="N3370" s="2" t="s">
        <v>186</v>
      </c>
      <c r="O3370" s="2" t="s">
        <v>81</v>
      </c>
      <c r="P3370" s="2" t="str">
        <f>"2170606059                    "</f>
        <v xml:space="preserve">2170606059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11.06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5.3</v>
      </c>
      <c r="BJ3370" s="2">
        <v>3.5</v>
      </c>
      <c r="BK3370" s="2">
        <v>6</v>
      </c>
      <c r="BL3370" s="2">
        <v>83.95</v>
      </c>
      <c r="BM3370" s="2">
        <v>11.75</v>
      </c>
      <c r="BN3370" s="2">
        <v>95.7</v>
      </c>
      <c r="BO3370" s="2">
        <v>95.7</v>
      </c>
      <c r="BQ3370" s="2" t="s">
        <v>187</v>
      </c>
      <c r="BR3370" s="2" t="s">
        <v>83</v>
      </c>
      <c r="BS3370" s="3">
        <v>43091</v>
      </c>
      <c r="BT3370" s="4">
        <v>0.4368055555555555</v>
      </c>
      <c r="BU3370" s="2" t="s">
        <v>1132</v>
      </c>
      <c r="BY3370" s="2">
        <v>17541.439999999999</v>
      </c>
      <c r="CC3370" s="2" t="s">
        <v>159</v>
      </c>
      <c r="CD3370" s="2">
        <v>159</v>
      </c>
      <c r="CE3370" s="2" t="s">
        <v>95</v>
      </c>
      <c r="CF3370" s="3">
        <v>43097</v>
      </c>
      <c r="CI3370" s="2">
        <v>0</v>
      </c>
      <c r="CJ3370" s="2">
        <v>0</v>
      </c>
      <c r="CK3370" s="2" t="s">
        <v>289</v>
      </c>
      <c r="CL3370" s="2" t="s">
        <v>89</v>
      </c>
    </row>
    <row r="3371" spans="1:90">
      <c r="A3371" s="2" t="s">
        <v>71</v>
      </c>
      <c r="B3371" s="2" t="s">
        <v>72</v>
      </c>
      <c r="C3371" s="2" t="s">
        <v>73</v>
      </c>
      <c r="E3371" s="2" t="str">
        <f>"FES1162596525"</f>
        <v>FES1162596525</v>
      </c>
      <c r="F3371" s="3">
        <v>43087</v>
      </c>
      <c r="G3371" s="2">
        <v>201806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125</v>
      </c>
      <c r="M3371" s="2" t="s">
        <v>126</v>
      </c>
      <c r="N3371" s="2" t="s">
        <v>127</v>
      </c>
      <c r="O3371" s="2" t="s">
        <v>81</v>
      </c>
      <c r="P3371" s="2" t="str">
        <f>"2170608229                    "</f>
        <v xml:space="preserve">2170608229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17.440000000000001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2</v>
      </c>
      <c r="BI3371" s="2">
        <v>29.1</v>
      </c>
      <c r="BJ3371" s="2">
        <v>36.200000000000003</v>
      </c>
      <c r="BK3371" s="2">
        <v>37</v>
      </c>
      <c r="BL3371" s="2">
        <v>129.47</v>
      </c>
      <c r="BM3371" s="2">
        <v>18.13</v>
      </c>
      <c r="BN3371" s="2">
        <v>147.6</v>
      </c>
      <c r="BO3371" s="2">
        <v>147.6</v>
      </c>
      <c r="BQ3371" s="2" t="s">
        <v>128</v>
      </c>
      <c r="BR3371" s="2" t="s">
        <v>83</v>
      </c>
      <c r="BS3371" s="3">
        <v>43088</v>
      </c>
      <c r="BT3371" s="4">
        <v>0.4375</v>
      </c>
      <c r="BU3371" s="2" t="s">
        <v>2714</v>
      </c>
      <c r="BV3371" s="2" t="s">
        <v>85</v>
      </c>
      <c r="BY3371" s="2">
        <v>181142.04</v>
      </c>
      <c r="CC3371" s="2" t="s">
        <v>126</v>
      </c>
      <c r="CD3371" s="2">
        <v>4001</v>
      </c>
      <c r="CE3371" s="2" t="s">
        <v>95</v>
      </c>
      <c r="CF3371" s="3">
        <v>43089</v>
      </c>
      <c r="CI3371" s="2">
        <v>1</v>
      </c>
      <c r="CJ3371" s="2">
        <v>1</v>
      </c>
      <c r="CK3371" s="2" t="s">
        <v>352</v>
      </c>
      <c r="CL3371" s="2" t="s">
        <v>89</v>
      </c>
    </row>
    <row r="3372" spans="1:90">
      <c r="A3372" s="2" t="s">
        <v>71</v>
      </c>
      <c r="B3372" s="2" t="s">
        <v>72</v>
      </c>
      <c r="C3372" s="2" t="s">
        <v>73</v>
      </c>
      <c r="E3372" s="2" t="str">
        <f>"FES1162597249"</f>
        <v>FES1162597249</v>
      </c>
      <c r="F3372" s="3">
        <v>43090</v>
      </c>
      <c r="G3372" s="2">
        <v>201806</v>
      </c>
      <c r="H3372" s="2" t="s">
        <v>74</v>
      </c>
      <c r="I3372" s="2" t="s">
        <v>75</v>
      </c>
      <c r="J3372" s="2" t="s">
        <v>76</v>
      </c>
      <c r="K3372" s="2" t="s">
        <v>77</v>
      </c>
      <c r="L3372" s="2" t="s">
        <v>285</v>
      </c>
      <c r="M3372" s="2" t="s">
        <v>159</v>
      </c>
      <c r="N3372" s="2" t="s">
        <v>2350</v>
      </c>
      <c r="O3372" s="2" t="s">
        <v>81</v>
      </c>
      <c r="P3372" s="2" t="str">
        <f>"2170606781                    "</f>
        <v xml:space="preserve">2170606781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11.06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8.3000000000000007</v>
      </c>
      <c r="BJ3372" s="2">
        <v>9.4</v>
      </c>
      <c r="BK3372" s="2">
        <v>10</v>
      </c>
      <c r="BL3372" s="2">
        <v>83.95</v>
      </c>
      <c r="BM3372" s="2">
        <v>11.75</v>
      </c>
      <c r="BN3372" s="2">
        <v>95.7</v>
      </c>
      <c r="BO3372" s="2">
        <v>95.7</v>
      </c>
      <c r="BR3372" s="2" t="s">
        <v>83</v>
      </c>
      <c r="BS3372" s="3">
        <v>43091</v>
      </c>
      <c r="BT3372" s="4">
        <v>0.34027777777777773</v>
      </c>
      <c r="BU3372" s="2" t="s">
        <v>200</v>
      </c>
      <c r="BY3372" s="2">
        <v>46809.58</v>
      </c>
      <c r="CC3372" s="2" t="s">
        <v>159</v>
      </c>
      <c r="CD3372" s="2">
        <v>1</v>
      </c>
      <c r="CE3372" s="2" t="s">
        <v>87</v>
      </c>
      <c r="CF3372" s="3">
        <v>43097</v>
      </c>
      <c r="CI3372" s="2">
        <v>0</v>
      </c>
      <c r="CJ3372" s="2">
        <v>0</v>
      </c>
      <c r="CK3372" s="2" t="s">
        <v>289</v>
      </c>
      <c r="CL3372" s="2" t="s">
        <v>89</v>
      </c>
    </row>
    <row r="3373" spans="1:90">
      <c r="A3373" s="2" t="s">
        <v>71</v>
      </c>
      <c r="B3373" s="2" t="s">
        <v>72</v>
      </c>
      <c r="C3373" s="2" t="s">
        <v>73</v>
      </c>
      <c r="E3373" s="2" t="str">
        <f>"FES1162593964"</f>
        <v>FES1162593964</v>
      </c>
      <c r="F3373" s="3">
        <v>43074</v>
      </c>
      <c r="G3373" s="2">
        <v>201806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136</v>
      </c>
      <c r="M3373" s="2" t="s">
        <v>137</v>
      </c>
      <c r="N3373" s="2" t="s">
        <v>138</v>
      </c>
      <c r="O3373" s="2" t="s">
        <v>81</v>
      </c>
      <c r="P3373" s="2" t="str">
        <f>"2170604569                    "</f>
        <v xml:space="preserve">2170604569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26.41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2</v>
      </c>
      <c r="BI3373" s="2">
        <v>18.399999999999999</v>
      </c>
      <c r="BJ3373" s="2">
        <v>44.4</v>
      </c>
      <c r="BK3373" s="2">
        <v>45</v>
      </c>
      <c r="BL3373" s="2">
        <v>216.07</v>
      </c>
      <c r="BM3373" s="2">
        <v>30.25</v>
      </c>
      <c r="BN3373" s="2">
        <v>246.32</v>
      </c>
      <c r="BO3373" s="2">
        <v>246.32</v>
      </c>
      <c r="BQ3373" s="2" t="s">
        <v>82</v>
      </c>
      <c r="BR3373" s="2" t="s">
        <v>83</v>
      </c>
      <c r="BS3373" s="3">
        <v>43075</v>
      </c>
      <c r="BT3373" s="4">
        <v>0.41666666666666669</v>
      </c>
      <c r="BU3373" s="2" t="s">
        <v>139</v>
      </c>
      <c r="BV3373" s="2" t="s">
        <v>85</v>
      </c>
      <c r="BY3373" s="2">
        <v>221797.65</v>
      </c>
      <c r="CA3373" s="2" t="s">
        <v>140</v>
      </c>
      <c r="CC3373" s="2" t="s">
        <v>137</v>
      </c>
      <c r="CD3373" s="2">
        <v>6001</v>
      </c>
      <c r="CE3373" s="2" t="s">
        <v>87</v>
      </c>
      <c r="CF3373" s="3">
        <v>43076</v>
      </c>
      <c r="CI3373" s="2">
        <v>2</v>
      </c>
      <c r="CJ3373" s="2">
        <v>1</v>
      </c>
      <c r="CK3373" s="2" t="s">
        <v>271</v>
      </c>
      <c r="CL3373" s="2" t="s">
        <v>89</v>
      </c>
    </row>
    <row r="3374" spans="1:90">
      <c r="A3374" s="2" t="s">
        <v>71</v>
      </c>
      <c r="B3374" s="2" t="s">
        <v>72</v>
      </c>
      <c r="C3374" s="2" t="s">
        <v>73</v>
      </c>
      <c r="E3374" s="2" t="str">
        <f>"FES1162597282"</f>
        <v>FES1162597282</v>
      </c>
      <c r="F3374" s="3">
        <v>43089</v>
      </c>
      <c r="G3374" s="2">
        <v>201806</v>
      </c>
      <c r="H3374" s="2" t="s">
        <v>74</v>
      </c>
      <c r="I3374" s="2" t="s">
        <v>75</v>
      </c>
      <c r="J3374" s="2" t="s">
        <v>76</v>
      </c>
      <c r="K3374" s="2" t="s">
        <v>77</v>
      </c>
      <c r="L3374" s="2" t="s">
        <v>125</v>
      </c>
      <c r="M3374" s="2" t="s">
        <v>126</v>
      </c>
      <c r="N3374" s="2" t="s">
        <v>1610</v>
      </c>
      <c r="O3374" s="2" t="s">
        <v>81</v>
      </c>
      <c r="P3374" s="2" t="str">
        <f>"2170606413                    "</f>
        <v xml:space="preserve">2170606413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12.1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2</v>
      </c>
      <c r="BI3374" s="2">
        <v>10.199999999999999</v>
      </c>
      <c r="BJ3374" s="2">
        <v>22.6</v>
      </c>
      <c r="BK3374" s="2">
        <v>23</v>
      </c>
      <c r="BL3374" s="2">
        <v>91.37</v>
      </c>
      <c r="BM3374" s="2">
        <v>12.79</v>
      </c>
      <c r="BN3374" s="2">
        <v>104.16</v>
      </c>
      <c r="BO3374" s="2">
        <v>104.16</v>
      </c>
      <c r="BQ3374" s="2" t="s">
        <v>187</v>
      </c>
      <c r="BR3374" s="2" t="s">
        <v>83</v>
      </c>
      <c r="BS3374" s="3">
        <v>43090</v>
      </c>
      <c r="BT3374" s="4">
        <v>0.33333333333333331</v>
      </c>
      <c r="BU3374" s="2" t="s">
        <v>114</v>
      </c>
      <c r="BV3374" s="2" t="s">
        <v>85</v>
      </c>
      <c r="BY3374" s="2">
        <v>113158.37</v>
      </c>
      <c r="CC3374" s="2" t="s">
        <v>126</v>
      </c>
      <c r="CD3374" s="2">
        <v>4070</v>
      </c>
      <c r="CE3374" s="2" t="s">
        <v>288</v>
      </c>
      <c r="CF3374" s="3">
        <v>43091</v>
      </c>
      <c r="CI3374" s="2">
        <v>1</v>
      </c>
      <c r="CJ3374" s="2">
        <v>1</v>
      </c>
      <c r="CK3374" s="2" t="s">
        <v>352</v>
      </c>
      <c r="CL3374" s="2" t="s">
        <v>89</v>
      </c>
    </row>
    <row r="3375" spans="1:90">
      <c r="A3375" s="2" t="s">
        <v>71</v>
      </c>
      <c r="B3375" s="2" t="s">
        <v>72</v>
      </c>
      <c r="C3375" s="2" t="s">
        <v>73</v>
      </c>
      <c r="E3375" s="2" t="str">
        <f>"FES1162596989"</f>
        <v>FES1162596989</v>
      </c>
      <c r="F3375" s="3">
        <v>43089</v>
      </c>
      <c r="G3375" s="2">
        <v>201806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189</v>
      </c>
      <c r="M3375" s="2" t="s">
        <v>190</v>
      </c>
      <c r="N3375" s="2" t="s">
        <v>1559</v>
      </c>
      <c r="O3375" s="2" t="s">
        <v>81</v>
      </c>
      <c r="P3375" s="2" t="str">
        <f>"2170608110                    "</f>
        <v xml:space="preserve">2170608110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11.06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9</v>
      </c>
      <c r="BJ3375" s="2">
        <v>6.2</v>
      </c>
      <c r="BK3375" s="2">
        <v>9</v>
      </c>
      <c r="BL3375" s="2">
        <v>83.95</v>
      </c>
      <c r="BM3375" s="2">
        <v>11.75</v>
      </c>
      <c r="BN3375" s="2">
        <v>95.7</v>
      </c>
      <c r="BO3375" s="2">
        <v>95.7</v>
      </c>
      <c r="BQ3375" s="2" t="s">
        <v>82</v>
      </c>
      <c r="BR3375" s="2" t="s">
        <v>83</v>
      </c>
      <c r="BS3375" s="3">
        <v>43090</v>
      </c>
      <c r="BT3375" s="4">
        <v>0.36458333333333331</v>
      </c>
      <c r="BU3375" s="2" t="s">
        <v>200</v>
      </c>
      <c r="BY3375" s="2">
        <v>30825</v>
      </c>
      <c r="CC3375" s="2" t="s">
        <v>190</v>
      </c>
      <c r="CD3375" s="2">
        <v>157</v>
      </c>
      <c r="CE3375" s="2" t="s">
        <v>87</v>
      </c>
      <c r="CF3375" s="3">
        <v>43091</v>
      </c>
      <c r="CI3375" s="2">
        <v>0</v>
      </c>
      <c r="CJ3375" s="2">
        <v>0</v>
      </c>
      <c r="CK3375" s="2" t="s">
        <v>289</v>
      </c>
      <c r="CL3375" s="2" t="s">
        <v>89</v>
      </c>
    </row>
    <row r="3376" spans="1:90">
      <c r="A3376" s="2" t="s">
        <v>71</v>
      </c>
      <c r="B3376" s="2" t="s">
        <v>72</v>
      </c>
      <c r="C3376" s="2" t="s">
        <v>73</v>
      </c>
      <c r="E3376" s="2" t="str">
        <f>"FES1162597258"</f>
        <v>FES1162597258</v>
      </c>
      <c r="F3376" s="3">
        <v>43090</v>
      </c>
      <c r="G3376" s="2">
        <v>201806</v>
      </c>
      <c r="H3376" s="2" t="s">
        <v>74</v>
      </c>
      <c r="I3376" s="2" t="s">
        <v>75</v>
      </c>
      <c r="J3376" s="2" t="s">
        <v>76</v>
      </c>
      <c r="K3376" s="2" t="s">
        <v>77</v>
      </c>
      <c r="L3376" s="2" t="s">
        <v>285</v>
      </c>
      <c r="M3376" s="2" t="s">
        <v>159</v>
      </c>
      <c r="N3376" s="2" t="s">
        <v>186</v>
      </c>
      <c r="O3376" s="2" t="s">
        <v>81</v>
      </c>
      <c r="P3376" s="2" t="str">
        <f>"2170608622                    "</f>
        <v xml:space="preserve">2170608622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11.06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4.9000000000000004</v>
      </c>
      <c r="BJ3376" s="2">
        <v>1.9</v>
      </c>
      <c r="BK3376" s="2">
        <v>5</v>
      </c>
      <c r="BL3376" s="2">
        <v>83.95</v>
      </c>
      <c r="BM3376" s="2">
        <v>11.75</v>
      </c>
      <c r="BN3376" s="2">
        <v>95.7</v>
      </c>
      <c r="BO3376" s="2">
        <v>95.7</v>
      </c>
      <c r="BQ3376" s="2" t="s">
        <v>187</v>
      </c>
      <c r="BR3376" s="2" t="s">
        <v>83</v>
      </c>
      <c r="BS3376" s="3">
        <v>43091</v>
      </c>
      <c r="BT3376" s="4">
        <v>0.5</v>
      </c>
      <c r="BU3376" s="2" t="s">
        <v>3104</v>
      </c>
      <c r="BY3376" s="2">
        <v>9395.8799999999992</v>
      </c>
      <c r="CC3376" s="2" t="s">
        <v>159</v>
      </c>
      <c r="CD3376" s="2">
        <v>159</v>
      </c>
      <c r="CE3376" s="2" t="s">
        <v>120</v>
      </c>
      <c r="CF3376" s="3">
        <v>43097</v>
      </c>
      <c r="CI3376" s="2">
        <v>0</v>
      </c>
      <c r="CJ3376" s="2">
        <v>0</v>
      </c>
      <c r="CK3376" s="2" t="s">
        <v>289</v>
      </c>
      <c r="CL3376" s="2" t="s">
        <v>89</v>
      </c>
    </row>
    <row r="3377" spans="1:90">
      <c r="A3377" s="2" t="s">
        <v>71</v>
      </c>
      <c r="B3377" s="2" t="s">
        <v>72</v>
      </c>
      <c r="C3377" s="2" t="s">
        <v>73</v>
      </c>
      <c r="E3377" s="2" t="str">
        <f>"FES1162597326"</f>
        <v>FES1162597326</v>
      </c>
      <c r="F3377" s="3">
        <v>43090</v>
      </c>
      <c r="G3377" s="2">
        <v>201806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285</v>
      </c>
      <c r="M3377" s="2" t="s">
        <v>159</v>
      </c>
      <c r="N3377" s="2" t="s">
        <v>309</v>
      </c>
      <c r="O3377" s="2" t="s">
        <v>81</v>
      </c>
      <c r="P3377" s="2" t="str">
        <f>"2170608640                    "</f>
        <v xml:space="preserve">2170608640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11.06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9.3000000000000007</v>
      </c>
      <c r="BJ3377" s="2">
        <v>11.4</v>
      </c>
      <c r="BK3377" s="2">
        <v>12</v>
      </c>
      <c r="BL3377" s="2">
        <v>83.95</v>
      </c>
      <c r="BM3377" s="2">
        <v>11.75</v>
      </c>
      <c r="BN3377" s="2">
        <v>95.7</v>
      </c>
      <c r="BO3377" s="2">
        <v>95.7</v>
      </c>
      <c r="BQ3377" s="2" t="s">
        <v>142</v>
      </c>
      <c r="BR3377" s="2" t="s">
        <v>83</v>
      </c>
      <c r="BS3377" s="3">
        <v>43091</v>
      </c>
      <c r="BT3377" s="4">
        <v>0.51388888888888895</v>
      </c>
      <c r="BU3377" s="2" t="s">
        <v>3105</v>
      </c>
      <c r="BY3377" s="2">
        <v>56799.78</v>
      </c>
      <c r="CC3377" s="2" t="s">
        <v>159</v>
      </c>
      <c r="CD3377" s="2">
        <v>82</v>
      </c>
      <c r="CE3377" s="2" t="s">
        <v>87</v>
      </c>
      <c r="CF3377" s="3">
        <v>43096</v>
      </c>
      <c r="CI3377" s="2">
        <v>0</v>
      </c>
      <c r="CJ3377" s="2">
        <v>0</v>
      </c>
      <c r="CK3377" s="2" t="s">
        <v>289</v>
      </c>
      <c r="CL3377" s="2" t="s">
        <v>89</v>
      </c>
    </row>
    <row r="3378" spans="1:90">
      <c r="A3378" s="2" t="s">
        <v>71</v>
      </c>
      <c r="B3378" s="2" t="s">
        <v>72</v>
      </c>
      <c r="C3378" s="2" t="s">
        <v>73</v>
      </c>
      <c r="E3378" s="2" t="str">
        <f>"FES1162596523"</f>
        <v>FES1162596523</v>
      </c>
      <c r="F3378" s="3">
        <v>43088</v>
      </c>
      <c r="G3378" s="2">
        <v>201806</v>
      </c>
      <c r="H3378" s="2" t="s">
        <v>74</v>
      </c>
      <c r="I3378" s="2" t="s">
        <v>75</v>
      </c>
      <c r="J3378" s="2" t="s">
        <v>76</v>
      </c>
      <c r="K3378" s="2" t="s">
        <v>77</v>
      </c>
      <c r="L3378" s="2" t="s">
        <v>285</v>
      </c>
      <c r="M3378" s="2" t="s">
        <v>159</v>
      </c>
      <c r="N3378" s="2" t="s">
        <v>164</v>
      </c>
      <c r="O3378" s="2" t="s">
        <v>81</v>
      </c>
      <c r="P3378" s="2" t="str">
        <f>"2170608221                    "</f>
        <v xml:space="preserve">2170608221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11.06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</v>
      </c>
      <c r="BJ3378" s="2">
        <v>5.0999999999999996</v>
      </c>
      <c r="BK3378" s="2">
        <v>5</v>
      </c>
      <c r="BL3378" s="2">
        <v>83.95</v>
      </c>
      <c r="BM3378" s="2">
        <v>11.75</v>
      </c>
      <c r="BN3378" s="2">
        <v>95.7</v>
      </c>
      <c r="BO3378" s="2">
        <v>95.7</v>
      </c>
      <c r="BQ3378" s="2" t="s">
        <v>82</v>
      </c>
      <c r="BR3378" s="2" t="s">
        <v>83</v>
      </c>
      <c r="BS3378" s="3">
        <v>43089</v>
      </c>
      <c r="BT3378" s="4">
        <v>0.62708333333333333</v>
      </c>
      <c r="BU3378" s="2" t="s">
        <v>114</v>
      </c>
      <c r="BW3378" s="2" t="s">
        <v>156</v>
      </c>
      <c r="BX3378" s="2" t="s">
        <v>668</v>
      </c>
      <c r="BY3378" s="2">
        <v>25392</v>
      </c>
      <c r="CC3378" s="2" t="s">
        <v>159</v>
      </c>
      <c r="CD3378" s="2">
        <v>200</v>
      </c>
      <c r="CE3378" s="2" t="s">
        <v>87</v>
      </c>
      <c r="CF3378" s="3">
        <v>43090</v>
      </c>
      <c r="CI3378" s="2">
        <v>0</v>
      </c>
      <c r="CJ3378" s="2">
        <v>0</v>
      </c>
      <c r="CK3378" s="2" t="s">
        <v>289</v>
      </c>
      <c r="CL3378" s="2" t="s">
        <v>89</v>
      </c>
    </row>
    <row r="3380" spans="1:90">
      <c r="E3380" s="2" t="s">
        <v>3106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2063.6999999999998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32330.240000000002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193.47</v>
      </c>
      <c r="BF3380" s="2">
        <v>0</v>
      </c>
      <c r="BG3380" s="2">
        <v>0</v>
      </c>
      <c r="BI3380" s="2">
        <v>11603.7</v>
      </c>
      <c r="BJ3380" s="2">
        <v>8887</v>
      </c>
      <c r="BK3380" s="2">
        <v>13866.5</v>
      </c>
      <c r="BL3380" s="2">
        <v>243211.78</v>
      </c>
      <c r="BM3380" s="2">
        <v>34046.5</v>
      </c>
      <c r="BN3380" s="2">
        <v>277258.28000000003</v>
      </c>
    </row>
    <row r="3382" spans="1:90">
      <c r="F3382" s="3"/>
      <c r="BS3382" s="3"/>
      <c r="BT3382" s="4"/>
      <c r="CF3382" s="3"/>
    </row>
    <row r="3383" spans="1:90">
      <c r="F3383" s="3"/>
      <c r="BS3383" s="3"/>
      <c r="BT3383" s="4"/>
      <c r="CF3383" s="3"/>
    </row>
    <row r="3384" spans="1:90">
      <c r="F3384" s="3"/>
      <c r="BS3384" s="3"/>
      <c r="BT3384" s="4"/>
      <c r="CF3384" s="3"/>
    </row>
    <row r="3385" spans="1:90">
      <c r="F3385" s="3"/>
      <c r="BS3385" s="3"/>
      <c r="BT3385" s="4"/>
      <c r="CF3385" s="3"/>
    </row>
    <row r="3386" spans="1:90">
      <c r="F3386" s="3"/>
      <c r="BS3386" s="3"/>
      <c r="BT3386" s="4"/>
      <c r="CF3386" s="3"/>
    </row>
    <row r="3387" spans="1:90">
      <c r="F3387" s="3"/>
      <c r="BS3387" s="3"/>
      <c r="BT3387" s="4"/>
      <c r="CF3387" s="3"/>
    </row>
    <row r="3388" spans="1:90">
      <c r="F3388" s="3"/>
      <c r="BS3388" s="3"/>
      <c r="BT3388" s="4"/>
      <c r="CF3388" s="3"/>
    </row>
    <row r="3389" spans="1:90">
      <c r="F3389" s="3"/>
      <c r="BS3389" s="3"/>
      <c r="BT3389" s="4"/>
      <c r="CF3389" s="3"/>
    </row>
    <row r="3390" spans="1:90">
      <c r="F3390" s="3"/>
      <c r="BS3390" s="3"/>
      <c r="BT3390" s="4"/>
      <c r="CF3390" s="3"/>
    </row>
    <row r="3391" spans="1:90">
      <c r="F3391" s="3"/>
      <c r="BS3391" s="3"/>
      <c r="BT3391" s="4"/>
      <c r="CF3391" s="3"/>
    </row>
    <row r="3392" spans="1:90">
      <c r="F3392" s="3"/>
      <c r="BS3392" s="3"/>
      <c r="BT3392" s="4"/>
      <c r="CF3392" s="3"/>
    </row>
    <row r="3393" spans="6:84">
      <c r="F3393" s="3"/>
      <c r="BS3393" s="3"/>
      <c r="BT3393" s="4"/>
      <c r="CF3393" s="3"/>
    </row>
    <row r="3394" spans="6:84">
      <c r="F3394" s="3"/>
      <c r="BS3394" s="3"/>
      <c r="BT3394" s="4"/>
      <c r="CF3394" s="3"/>
    </row>
    <row r="3395" spans="6:84">
      <c r="F3395" s="3"/>
      <c r="BS3395" s="3"/>
      <c r="BT3395" s="4"/>
      <c r="CF3395" s="3"/>
    </row>
    <row r="3396" spans="6:84">
      <c r="F3396" s="3"/>
      <c r="BS3396" s="3"/>
      <c r="BT3396" s="4"/>
      <c r="CF3396" s="3"/>
    </row>
    <row r="3397" spans="6:84">
      <c r="F3397" s="3"/>
      <c r="BS3397" s="3"/>
      <c r="BT3397" s="4"/>
      <c r="CF3397" s="3"/>
    </row>
    <row r="3398" spans="6:84">
      <c r="F3398" s="3"/>
      <c r="BS3398" s="3"/>
      <c r="BT3398" s="4"/>
      <c r="CF3398" s="3"/>
    </row>
    <row r="3399" spans="6:84">
      <c r="F3399" s="3"/>
      <c r="BS3399" s="3"/>
      <c r="BT3399" s="4"/>
      <c r="CF3399" s="3"/>
    </row>
    <row r="3400" spans="6:84">
      <c r="F3400" s="3"/>
      <c r="BS3400" s="3"/>
      <c r="BT3400" s="4"/>
      <c r="CF3400" s="3"/>
    </row>
    <row r="3401" spans="6:84">
      <c r="F3401" s="3"/>
      <c r="BS3401" s="3"/>
      <c r="BT3401" s="4"/>
      <c r="CF3401" s="3"/>
    </row>
    <row r="3402" spans="6:84">
      <c r="F3402" s="3"/>
      <c r="BS3402" s="3"/>
      <c r="BT3402" s="4"/>
      <c r="CF3402" s="3"/>
    </row>
    <row r="3403" spans="6:84">
      <c r="F3403" s="3"/>
      <c r="BS3403" s="3"/>
      <c r="BT3403" s="4"/>
      <c r="CF3403" s="3"/>
    </row>
    <row r="3404" spans="6:84">
      <c r="F3404" s="3"/>
      <c r="BS3404" s="3"/>
      <c r="BT3404" s="4"/>
      <c r="CF3404" s="3"/>
    </row>
    <row r="3405" spans="6:84">
      <c r="F3405" s="3"/>
      <c r="BS3405" s="3"/>
      <c r="BT3405" s="4"/>
      <c r="CF3405" s="3"/>
    </row>
    <row r="3406" spans="6:84">
      <c r="F3406" s="3"/>
      <c r="BS3406" s="3"/>
      <c r="BT3406" s="4"/>
      <c r="CF3406" s="3"/>
    </row>
    <row r="3407" spans="6:84">
      <c r="F3407" s="3"/>
      <c r="BS3407" s="3"/>
      <c r="BT3407" s="4"/>
      <c r="CF3407" s="3"/>
    </row>
    <row r="3408" spans="6:84">
      <c r="F3408" s="3"/>
      <c r="BS3408" s="3"/>
      <c r="BT3408" s="4"/>
      <c r="CF3408" s="3"/>
    </row>
    <row r="3409" spans="6:84">
      <c r="F3409" s="3"/>
      <c r="BS3409" s="3"/>
      <c r="BT3409" s="4"/>
      <c r="CF3409" s="3"/>
    </row>
    <row r="3410" spans="6:84">
      <c r="F3410" s="3"/>
      <c r="BS3410" s="3"/>
      <c r="BT3410" s="4"/>
      <c r="CF3410" s="3"/>
    </row>
    <row r="3411" spans="6:84">
      <c r="F3411" s="3"/>
      <c r="BS3411" s="3"/>
      <c r="BT3411" s="4"/>
      <c r="CF3411" s="3"/>
    </row>
    <row r="3412" spans="6:84">
      <c r="F3412" s="3"/>
      <c r="BS3412" s="3"/>
      <c r="BT3412" s="4"/>
      <c r="CF3412" s="3"/>
    </row>
    <row r="3413" spans="6:84">
      <c r="F3413" s="3"/>
      <c r="BS3413" s="3"/>
      <c r="BT3413" s="4"/>
      <c r="CF3413" s="3"/>
    </row>
    <row r="3414" spans="6:84">
      <c r="F3414" s="3"/>
      <c r="BS3414" s="3"/>
      <c r="BT3414" s="4"/>
      <c r="CF3414" s="3"/>
    </row>
    <row r="3415" spans="6:84">
      <c r="F3415" s="3"/>
      <c r="BS3415" s="3"/>
      <c r="BT3415" s="4"/>
      <c r="CF3415" s="3"/>
    </row>
    <row r="3416" spans="6:84">
      <c r="F3416" s="3"/>
      <c r="BS3416" s="3"/>
      <c r="BT3416" s="4"/>
      <c r="CF3416" s="3"/>
    </row>
    <row r="3417" spans="6:84">
      <c r="F3417" s="3"/>
      <c r="BS3417" s="3"/>
      <c r="BT3417" s="4"/>
      <c r="CF3417" s="3"/>
    </row>
    <row r="3418" spans="6:84">
      <c r="F3418" s="3"/>
      <c r="BS3418" s="3"/>
      <c r="BT3418" s="4"/>
      <c r="CF3418" s="3"/>
    </row>
    <row r="3419" spans="6:84">
      <c r="F3419" s="3"/>
      <c r="BS3419" s="3"/>
      <c r="BT3419" s="4"/>
      <c r="CF3419" s="3"/>
    </row>
    <row r="3420" spans="6:84">
      <c r="F3420" s="3"/>
      <c r="BS3420" s="3"/>
      <c r="BT3420" s="4"/>
      <c r="CF3420" s="3"/>
    </row>
    <row r="3421" spans="6:84">
      <c r="F3421" s="3"/>
      <c r="BS3421" s="3"/>
      <c r="BT3421" s="4"/>
      <c r="CF3421" s="3"/>
    </row>
    <row r="3422" spans="6:84">
      <c r="F3422" s="3"/>
      <c r="BS3422" s="3"/>
      <c r="BT3422" s="4"/>
      <c r="CF3422" s="3"/>
    </row>
    <row r="3423" spans="6:84">
      <c r="F3423" s="3"/>
      <c r="BS3423" s="3"/>
      <c r="BT3423" s="4"/>
      <c r="CF3423" s="3"/>
    </row>
    <row r="3424" spans="6:84">
      <c r="F3424" s="3"/>
      <c r="BS3424" s="3"/>
      <c r="BT3424" s="4"/>
      <c r="CF3424" s="3"/>
    </row>
    <row r="3425" spans="6:84">
      <c r="F3425" s="3"/>
      <c r="BS3425" s="3"/>
      <c r="BT3425" s="4"/>
      <c r="CF3425" s="3"/>
    </row>
    <row r="3426" spans="6:84">
      <c r="F3426" s="3"/>
      <c r="BS3426" s="3"/>
      <c r="BT3426" s="4"/>
    </row>
    <row r="3427" spans="6:84">
      <c r="F3427" s="3"/>
      <c r="BS3427" s="3"/>
      <c r="BT3427" s="4"/>
      <c r="CF3427" s="3"/>
    </row>
    <row r="3428" spans="6:84">
      <c r="F3428" s="3"/>
      <c r="BS3428" s="3"/>
      <c r="BT3428" s="4"/>
      <c r="CF3428" s="3"/>
    </row>
    <row r="3429" spans="6:84">
      <c r="F3429" s="3"/>
      <c r="BS3429" s="3"/>
      <c r="BT3429" s="4"/>
      <c r="CF3429" s="3"/>
    </row>
    <row r="3430" spans="6:84">
      <c r="F3430" s="3"/>
      <c r="BS3430" s="3"/>
      <c r="BT3430" s="4"/>
      <c r="CF3430" s="3"/>
    </row>
    <row r="3431" spans="6:84">
      <c r="F3431" s="3"/>
      <c r="BS3431" s="3"/>
      <c r="BT3431" s="4"/>
      <c r="CF3431" s="3"/>
    </row>
    <row r="3432" spans="6:84">
      <c r="F3432" s="3"/>
      <c r="BS3432" s="3"/>
      <c r="BT3432" s="4"/>
      <c r="CF3432" s="3"/>
    </row>
    <row r="3433" spans="6:84">
      <c r="F3433" s="3"/>
      <c r="BS3433" s="3"/>
      <c r="BT3433" s="4"/>
      <c r="CF3433" s="3"/>
    </row>
    <row r="3434" spans="6:84">
      <c r="F3434" s="3"/>
      <c r="BS3434" s="3"/>
      <c r="BT3434" s="4"/>
      <c r="CF3434" s="3"/>
    </row>
    <row r="3435" spans="6:84">
      <c r="F3435" s="3"/>
      <c r="BS3435" s="3"/>
      <c r="BT3435" s="4"/>
      <c r="CF3435" s="3"/>
    </row>
    <row r="3436" spans="6:84">
      <c r="F3436" s="3"/>
      <c r="BS3436" s="3"/>
      <c r="BT3436" s="4"/>
      <c r="CF3436" s="3"/>
    </row>
    <row r="3437" spans="6:84">
      <c r="F3437" s="3"/>
      <c r="BS3437" s="3"/>
      <c r="BT3437" s="4"/>
      <c r="CF3437" s="3"/>
    </row>
    <row r="3438" spans="6:84">
      <c r="F3438" s="3"/>
      <c r="BS3438" s="3"/>
      <c r="BT3438" s="4"/>
      <c r="CF3438" s="3"/>
    </row>
    <row r="3439" spans="6:84">
      <c r="F3439" s="3"/>
      <c r="BS3439" s="3"/>
      <c r="BT3439" s="4"/>
      <c r="CF3439" s="3"/>
    </row>
    <row r="3440" spans="6:84">
      <c r="F3440" s="3"/>
      <c r="BS3440" s="3"/>
      <c r="BT3440" s="4"/>
      <c r="CF3440" s="3"/>
    </row>
    <row r="3441" spans="6:84">
      <c r="F3441" s="3"/>
      <c r="BS3441" s="3"/>
      <c r="BT3441" s="4"/>
      <c r="CF3441" s="3"/>
    </row>
    <row r="3442" spans="6:84">
      <c r="F3442" s="3"/>
      <c r="BS3442" s="3"/>
      <c r="BT3442" s="4"/>
      <c r="CF3442" s="3"/>
    </row>
    <row r="3443" spans="6:84">
      <c r="F3443" s="3"/>
      <c r="BS3443" s="3"/>
      <c r="BT3443" s="4"/>
      <c r="CF3443" s="3"/>
    </row>
    <row r="3444" spans="6:84">
      <c r="F3444" s="3"/>
      <c r="BS3444" s="3"/>
      <c r="BT3444" s="4"/>
      <c r="CF3444" s="3"/>
    </row>
    <row r="3445" spans="6:84">
      <c r="F3445" s="3"/>
      <c r="BS3445" s="3"/>
      <c r="BT3445" s="4"/>
      <c r="CF3445" s="3"/>
    </row>
    <row r="3446" spans="6:84">
      <c r="F3446" s="3"/>
      <c r="BS3446" s="3"/>
      <c r="BT3446" s="4"/>
      <c r="CF3446" s="3"/>
    </row>
    <row r="3447" spans="6:84">
      <c r="F3447" s="3"/>
      <c r="BS3447" s="3"/>
      <c r="BT3447" s="4"/>
      <c r="CF3447" s="3"/>
    </row>
    <row r="3448" spans="6:84">
      <c r="F3448" s="3"/>
      <c r="BS3448" s="3"/>
      <c r="BT3448" s="4"/>
      <c r="CF3448" s="3"/>
    </row>
    <row r="3449" spans="6:84">
      <c r="F3449" s="3"/>
      <c r="BS3449" s="3"/>
      <c r="BT3449" s="4"/>
      <c r="CF3449" s="3"/>
    </row>
    <row r="3450" spans="6:84">
      <c r="F3450" s="3"/>
      <c r="BS3450" s="3"/>
      <c r="BT3450" s="4"/>
      <c r="CF3450" s="3"/>
    </row>
    <row r="3451" spans="6:84">
      <c r="F3451" s="3"/>
      <c r="BS3451" s="3"/>
      <c r="BT3451" s="4"/>
      <c r="CF3451" s="3"/>
    </row>
    <row r="3452" spans="6:84">
      <c r="F3452" s="3"/>
      <c r="BS3452" s="3"/>
      <c r="BT3452" s="4"/>
      <c r="CF3452" s="3"/>
    </row>
    <row r="3453" spans="6:84">
      <c r="F3453" s="3"/>
      <c r="BS3453" s="3"/>
      <c r="BT3453" s="4"/>
      <c r="CF3453" s="3"/>
    </row>
    <row r="3454" spans="6:84">
      <c r="F3454" s="3"/>
      <c r="BS3454" s="3"/>
      <c r="BT3454" s="4"/>
      <c r="CF3454" s="3"/>
    </row>
    <row r="3455" spans="6:84">
      <c r="F3455" s="3"/>
      <c r="BS3455" s="3"/>
      <c r="BT3455" s="4"/>
      <c r="CF3455" s="3"/>
    </row>
    <row r="3456" spans="6:84">
      <c r="F3456" s="3"/>
      <c r="BS3456" s="3"/>
      <c r="BT3456" s="4"/>
      <c r="CF3456" s="3"/>
    </row>
    <row r="3457" spans="6:84">
      <c r="F3457" s="3"/>
      <c r="BS3457" s="3"/>
      <c r="BT3457" s="4"/>
      <c r="CF3457" s="3"/>
    </row>
    <row r="3458" spans="6:84">
      <c r="F3458" s="3"/>
      <c r="BS3458" s="3"/>
      <c r="BT3458" s="4"/>
      <c r="CF3458" s="3"/>
    </row>
    <row r="3459" spans="6:84">
      <c r="F3459" s="3"/>
      <c r="BS3459" s="3"/>
      <c r="BT3459" s="4"/>
      <c r="CF3459" s="3"/>
    </row>
    <row r="3460" spans="6:84">
      <c r="F3460" s="3"/>
      <c r="BS3460" s="3"/>
      <c r="BT3460" s="4"/>
      <c r="CF3460" s="3"/>
    </row>
    <row r="3461" spans="6:84">
      <c r="F3461" s="3"/>
      <c r="BS3461" s="3"/>
      <c r="BT3461" s="4"/>
      <c r="CF3461" s="3"/>
    </row>
    <row r="3462" spans="6:84">
      <c r="F3462" s="3"/>
      <c r="BS3462" s="3"/>
      <c r="BT3462" s="4"/>
      <c r="CF3462" s="3"/>
    </row>
    <row r="3463" spans="6:84">
      <c r="F3463" s="3"/>
      <c r="BS3463" s="3"/>
      <c r="BT3463" s="4"/>
      <c r="CF3463" s="3"/>
    </row>
    <row r="3464" spans="6:84">
      <c r="F3464" s="3"/>
      <c r="BS3464" s="3"/>
      <c r="BT3464" s="4"/>
      <c r="CF3464" s="3"/>
    </row>
    <row r="3465" spans="6:84">
      <c r="F3465" s="3"/>
      <c r="BS3465" s="3"/>
      <c r="BT3465" s="4"/>
      <c r="CF3465" s="3"/>
    </row>
    <row r="3466" spans="6:84">
      <c r="F3466" s="3"/>
      <c r="BS3466" s="3"/>
      <c r="BT3466" s="4"/>
      <c r="CF3466" s="3"/>
    </row>
    <row r="3467" spans="6:84">
      <c r="F3467" s="3"/>
      <c r="BS3467" s="3"/>
      <c r="BT3467" s="4"/>
      <c r="CF3467" s="3"/>
    </row>
    <row r="3468" spans="6:84">
      <c r="F3468" s="3"/>
      <c r="BS3468" s="3"/>
      <c r="BT3468" s="4"/>
      <c r="CF3468" s="3"/>
    </row>
    <row r="3469" spans="6:84">
      <c r="F3469" s="3"/>
    </row>
    <row r="3470" spans="6:84">
      <c r="F3470" s="3"/>
      <c r="BS3470" s="3"/>
      <c r="BT3470" s="4"/>
      <c r="CF3470" s="3"/>
    </row>
    <row r="3471" spans="6:84">
      <c r="F3471" s="3"/>
      <c r="BS3471" s="3"/>
      <c r="BT3471" s="4"/>
      <c r="CF3471" s="3"/>
    </row>
    <row r="3472" spans="6:84">
      <c r="F3472" s="3"/>
      <c r="BS3472" s="3"/>
      <c r="BT3472" s="4"/>
      <c r="CF3472" s="3"/>
    </row>
    <row r="3473" spans="6:84">
      <c r="F3473" s="3"/>
      <c r="BS3473" s="3"/>
      <c r="BT3473" s="4"/>
    </row>
    <row r="3474" spans="6:84">
      <c r="F3474" s="3"/>
      <c r="BS3474" s="3"/>
      <c r="BT3474" s="4"/>
      <c r="CF3474" s="3"/>
    </row>
    <row r="3475" spans="6:84">
      <c r="F3475" s="3"/>
    </row>
    <row r="3476" spans="6:84">
      <c r="F3476" s="3"/>
      <c r="BS3476" s="3"/>
      <c r="BT3476" s="4"/>
      <c r="CF3476" s="3"/>
    </row>
    <row r="3477" spans="6:84">
      <c r="F3477" s="3"/>
      <c r="BS3477" s="3"/>
      <c r="BT3477" s="4"/>
      <c r="CF3477" s="3"/>
    </row>
    <row r="3478" spans="6:84">
      <c r="F3478" s="3"/>
      <c r="BS3478" s="3"/>
      <c r="BT3478" s="4"/>
    </row>
    <row r="3479" spans="6:84">
      <c r="F3479" s="3"/>
    </row>
    <row r="3480" spans="6:84">
      <c r="F3480" s="3"/>
    </row>
    <row r="3481" spans="6:84">
      <c r="F3481" s="3"/>
    </row>
    <row r="3482" spans="6:84">
      <c r="F3482" s="3"/>
    </row>
    <row r="3483" spans="6:84">
      <c r="F3483" s="3"/>
    </row>
    <row r="3484" spans="6:84">
      <c r="F3484" s="3"/>
      <c r="BS3484" s="3"/>
      <c r="BT3484" s="4"/>
    </row>
    <row r="3632" spans="6:84">
      <c r="F3632" s="3"/>
      <c r="BS3632" s="3"/>
      <c r="BT3632" s="4"/>
      <c r="CF3632" s="3"/>
    </row>
    <row r="3633" spans="6:84">
      <c r="F3633" s="3"/>
      <c r="BS3633" s="3"/>
      <c r="BT3633" s="4"/>
      <c r="CF3633" s="3"/>
    </row>
    <row r="3634" spans="6:84">
      <c r="F3634" s="3"/>
      <c r="BS3634" s="3"/>
      <c r="BT3634" s="4"/>
      <c r="CF3634" s="3"/>
    </row>
    <row r="3635" spans="6:84">
      <c r="F3635" s="3"/>
      <c r="BS3635" s="3"/>
      <c r="BT3635" s="4"/>
      <c r="CF3635" s="3"/>
    </row>
    <row r="3636" spans="6:84">
      <c r="F3636" s="3"/>
      <c r="BS3636" s="3"/>
      <c r="BT3636" s="4"/>
      <c r="CF3636" s="3"/>
    </row>
    <row r="3637" spans="6:84">
      <c r="F3637" s="3"/>
      <c r="BS3637" s="3"/>
      <c r="BT3637" s="4"/>
      <c r="CF3637" s="3"/>
    </row>
    <row r="3638" spans="6:84">
      <c r="F3638" s="3"/>
      <c r="BS3638" s="3"/>
      <c r="BT3638" s="4"/>
      <c r="CF3638" s="3"/>
    </row>
    <row r="3639" spans="6:84">
      <c r="F3639" s="3"/>
      <c r="BS3639" s="3"/>
      <c r="BT3639" s="4"/>
      <c r="CF3639" s="3"/>
    </row>
    <row r="3640" spans="6:84">
      <c r="F3640" s="3"/>
      <c r="BS3640" s="3"/>
      <c r="BT3640" s="4"/>
      <c r="CF3640" s="3"/>
    </row>
    <row r="3641" spans="6:84">
      <c r="F3641" s="3"/>
    </row>
    <row r="3642" spans="6:84">
      <c r="F3642" s="3"/>
      <c r="BS3642" s="3"/>
      <c r="BT3642" s="4"/>
      <c r="CF3642" s="3"/>
    </row>
    <row r="3643" spans="6:84">
      <c r="F3643" s="3"/>
      <c r="BS3643" s="3"/>
      <c r="BT3643" s="4"/>
      <c r="CF3643" s="3"/>
    </row>
    <row r="3644" spans="6:84">
      <c r="F3644" s="3"/>
      <c r="BS3644" s="3"/>
      <c r="BT3644" s="4"/>
      <c r="CF3644" s="3"/>
    </row>
    <row r="3645" spans="6:84">
      <c r="F3645" s="3"/>
      <c r="BS3645" s="3"/>
      <c r="BT3645" s="4"/>
      <c r="CF3645" s="3"/>
    </row>
    <row r="3646" spans="6:84">
      <c r="F3646" s="3"/>
      <c r="BS3646" s="3"/>
      <c r="BT3646" s="4"/>
      <c r="CF3646" s="3"/>
    </row>
    <row r="3647" spans="6:84">
      <c r="F3647" s="3"/>
      <c r="BS3647" s="3"/>
      <c r="BT3647" s="4"/>
      <c r="CF3647" s="3"/>
    </row>
    <row r="3648" spans="6:84">
      <c r="F3648" s="3"/>
      <c r="BS3648" s="3"/>
      <c r="BT3648" s="4"/>
      <c r="CF3648" s="3"/>
    </row>
    <row r="3649" spans="6:84">
      <c r="F3649" s="3"/>
      <c r="BS3649" s="3"/>
      <c r="BT3649" s="4"/>
      <c r="CF3649" s="3"/>
    </row>
    <row r="3650" spans="6:84">
      <c r="F3650" s="3"/>
      <c r="BS3650" s="3"/>
      <c r="BT3650" s="4"/>
      <c r="CF3650" s="3"/>
    </row>
    <row r="3651" spans="6:84">
      <c r="F3651" s="3"/>
      <c r="BS3651" s="3"/>
      <c r="BT3651" s="4"/>
      <c r="CF3651" s="3"/>
    </row>
    <row r="3652" spans="6:84">
      <c r="F3652" s="3"/>
      <c r="BS3652" s="3"/>
      <c r="BT3652" s="4"/>
      <c r="CF3652" s="3"/>
    </row>
    <row r="3653" spans="6:84">
      <c r="F3653" s="3"/>
      <c r="BS3653" s="3"/>
      <c r="BT3653" s="4"/>
      <c r="CF3653" s="3"/>
    </row>
    <row r="3654" spans="6:84">
      <c r="F3654" s="3"/>
      <c r="BS3654" s="3"/>
      <c r="BT3654" s="4"/>
      <c r="CF3654" s="3"/>
    </row>
    <row r="3655" spans="6:84">
      <c r="F3655" s="3"/>
      <c r="BS3655" s="3"/>
      <c r="BT3655" s="4"/>
      <c r="CF3655" s="3"/>
    </row>
    <row r="3656" spans="6:84">
      <c r="F3656" s="3"/>
      <c r="BS3656" s="3"/>
      <c r="BT3656" s="4"/>
      <c r="CF3656" s="3"/>
    </row>
    <row r="3657" spans="6:84">
      <c r="F3657" s="3"/>
      <c r="BS3657" s="3"/>
      <c r="BT3657" s="4"/>
      <c r="CF3657" s="3"/>
    </row>
    <row r="3658" spans="6:84">
      <c r="F3658" s="3"/>
      <c r="BS3658" s="3"/>
      <c r="BT3658" s="4"/>
      <c r="CF3658" s="3"/>
    </row>
    <row r="3659" spans="6:84">
      <c r="F3659" s="3"/>
      <c r="BS3659" s="3"/>
      <c r="BT3659" s="4"/>
      <c r="CF3659" s="3"/>
    </row>
    <row r="3660" spans="6:84">
      <c r="F3660" s="3"/>
      <c r="BS3660" s="3"/>
      <c r="BT3660" s="4"/>
      <c r="CF3660" s="3"/>
    </row>
    <row r="3661" spans="6:84">
      <c r="F3661" s="3"/>
      <c r="BS3661" s="3"/>
      <c r="BT3661" s="4"/>
      <c r="CF3661" s="3"/>
    </row>
    <row r="3662" spans="6:84">
      <c r="F3662" s="3"/>
      <c r="BS3662" s="3"/>
      <c r="BT3662" s="4"/>
      <c r="CF3662" s="3"/>
    </row>
    <row r="3663" spans="6:84">
      <c r="F3663" s="3"/>
      <c r="BS3663" s="3"/>
      <c r="BT3663" s="4"/>
      <c r="CF3663" s="3"/>
    </row>
    <row r="3664" spans="6:84">
      <c r="F3664" s="3"/>
      <c r="BS3664" s="3"/>
      <c r="BT3664" s="4"/>
      <c r="CF3664" s="3"/>
    </row>
    <row r="3665" spans="6:84">
      <c r="F3665" s="3"/>
      <c r="BS3665" s="3"/>
      <c r="BT3665" s="4"/>
      <c r="CF3665" s="3"/>
    </row>
    <row r="3666" spans="6:84">
      <c r="F3666" s="3"/>
      <c r="BS3666" s="3"/>
      <c r="BT3666" s="4"/>
      <c r="CF3666" s="3"/>
    </row>
    <row r="3667" spans="6:84">
      <c r="F3667" s="3"/>
      <c r="BS3667" s="3"/>
      <c r="BT3667" s="4"/>
      <c r="CF3667" s="3"/>
    </row>
    <row r="3668" spans="6:84">
      <c r="F3668" s="3"/>
      <c r="BS3668" s="3"/>
      <c r="BT3668" s="4"/>
      <c r="CF3668" s="3"/>
    </row>
    <row r="3669" spans="6:84">
      <c r="F3669" s="3"/>
      <c r="BS3669" s="3"/>
      <c r="BT3669" s="4"/>
      <c r="CF3669" s="3"/>
    </row>
    <row r="3670" spans="6:84">
      <c r="F3670" s="3"/>
      <c r="BS3670" s="3"/>
      <c r="BT3670" s="4"/>
      <c r="CF3670" s="3"/>
    </row>
    <row r="3671" spans="6:84">
      <c r="F3671" s="3"/>
      <c r="BS3671" s="3"/>
      <c r="BT3671" s="4"/>
      <c r="CF3671" s="3"/>
    </row>
    <row r="3672" spans="6:84">
      <c r="F3672" s="3"/>
      <c r="BS3672" s="3"/>
      <c r="BT3672" s="4"/>
      <c r="CF3672" s="3"/>
    </row>
    <row r="3673" spans="6:84">
      <c r="F3673" s="3"/>
      <c r="BS3673" s="3"/>
      <c r="BT3673" s="4"/>
      <c r="CF3673" s="3"/>
    </row>
    <row r="3674" spans="6:84">
      <c r="F3674" s="3"/>
      <c r="BS3674" s="3"/>
      <c r="BT3674" s="4"/>
      <c r="CF3674" s="3"/>
    </row>
    <row r="3675" spans="6:84">
      <c r="F3675" s="3"/>
      <c r="BS3675" s="3"/>
      <c r="BT3675" s="4"/>
      <c r="CF3675" s="3"/>
    </row>
    <row r="3676" spans="6:84">
      <c r="F3676" s="3"/>
      <c r="BS3676" s="3"/>
      <c r="BT3676" s="4"/>
      <c r="CF3676" s="3"/>
    </row>
    <row r="3677" spans="6:84">
      <c r="F3677" s="3"/>
    </row>
    <row r="3678" spans="6:84">
      <c r="F3678" s="3"/>
      <c r="BS3678" s="3"/>
      <c r="BT3678" s="4"/>
      <c r="CF3678" s="3"/>
    </row>
    <row r="3679" spans="6:84">
      <c r="F3679" s="3"/>
      <c r="BS3679" s="3"/>
      <c r="BT3679" s="4"/>
      <c r="CF3679" s="3"/>
    </row>
    <row r="3680" spans="6:84">
      <c r="F3680" s="3"/>
      <c r="BS3680" s="3"/>
      <c r="BT3680" s="4"/>
      <c r="CF3680" s="3"/>
    </row>
    <row r="3681" spans="6:84">
      <c r="F3681" s="3"/>
      <c r="BS3681" s="3"/>
      <c r="BT3681" s="4"/>
      <c r="CF3681" s="3"/>
    </row>
    <row r="3682" spans="6:84">
      <c r="F3682" s="3"/>
      <c r="BS3682" s="3"/>
      <c r="BT3682" s="4"/>
      <c r="CF3682" s="3"/>
    </row>
    <row r="3683" spans="6:84">
      <c r="F3683" s="3"/>
      <c r="BS3683" s="3"/>
      <c r="BT3683" s="4"/>
      <c r="CF3683" s="3"/>
    </row>
    <row r="3684" spans="6:84">
      <c r="F3684" s="3"/>
      <c r="BS3684" s="3"/>
      <c r="BT3684" s="4"/>
      <c r="CF3684" s="3"/>
    </row>
    <row r="3685" spans="6:84">
      <c r="F3685" s="3"/>
      <c r="BS3685" s="3"/>
      <c r="BT3685" s="4"/>
      <c r="CF3685" s="3"/>
    </row>
    <row r="3686" spans="6:84">
      <c r="F3686" s="3"/>
      <c r="BS3686" s="3"/>
      <c r="BT3686" s="4"/>
      <c r="CF3686" s="3"/>
    </row>
    <row r="3687" spans="6:84">
      <c r="F3687" s="3"/>
      <c r="BS3687" s="3"/>
      <c r="BT3687" s="4"/>
      <c r="CF3687" s="3"/>
    </row>
    <row r="3688" spans="6:84">
      <c r="F3688" s="3"/>
      <c r="BS3688" s="3"/>
      <c r="BT3688" s="4"/>
      <c r="CF3688" s="3"/>
    </row>
    <row r="3689" spans="6:84">
      <c r="F3689" s="3"/>
      <c r="BS3689" s="3"/>
      <c r="BT3689" s="4"/>
      <c r="CF3689" s="3"/>
    </row>
    <row r="3690" spans="6:84">
      <c r="F3690" s="3"/>
      <c r="BS3690" s="3"/>
      <c r="BT3690" s="4"/>
      <c r="CF3690" s="3"/>
    </row>
    <row r="3691" spans="6:84">
      <c r="F3691" s="3"/>
      <c r="BS3691" s="3"/>
      <c r="BT3691" s="4"/>
      <c r="CF3691" s="3"/>
    </row>
    <row r="3692" spans="6:84">
      <c r="F3692" s="3"/>
      <c r="BS3692" s="3"/>
      <c r="BT3692" s="4"/>
      <c r="CF3692" s="3"/>
    </row>
    <row r="3693" spans="6:84">
      <c r="F3693" s="3"/>
      <c r="BS3693" s="3"/>
      <c r="BT3693" s="4"/>
      <c r="CF3693" s="3"/>
    </row>
    <row r="3694" spans="6:84">
      <c r="F3694" s="3"/>
      <c r="BS3694" s="3"/>
      <c r="BT3694" s="4"/>
      <c r="CF3694" s="3"/>
    </row>
    <row r="3695" spans="6:84">
      <c r="F3695" s="3"/>
      <c r="BS3695" s="3"/>
      <c r="BT3695" s="4"/>
      <c r="CF3695" s="3"/>
    </row>
    <row r="3696" spans="6:84">
      <c r="F3696" s="3"/>
      <c r="BS3696" s="3"/>
      <c r="BT3696" s="4"/>
      <c r="CF3696" s="3"/>
    </row>
    <row r="3697" spans="6:84">
      <c r="F3697" s="3"/>
      <c r="BS3697" s="3"/>
      <c r="BT3697" s="4"/>
      <c r="CF3697" s="3"/>
    </row>
    <row r="3698" spans="6:84">
      <c r="F3698" s="3"/>
      <c r="BS3698" s="3"/>
      <c r="BT3698" s="4"/>
      <c r="CF3698" s="3"/>
    </row>
    <row r="3699" spans="6:84">
      <c r="F3699" s="3"/>
      <c r="BS3699" s="3"/>
      <c r="BT3699" s="4"/>
      <c r="CF3699" s="3"/>
    </row>
    <row r="3700" spans="6:84">
      <c r="F3700" s="3"/>
      <c r="BS3700" s="3"/>
      <c r="BT3700" s="4"/>
      <c r="CF3700" s="3"/>
    </row>
    <row r="3701" spans="6:84">
      <c r="F3701" s="3"/>
      <c r="BS3701" s="3"/>
      <c r="BT3701" s="4"/>
      <c r="CF3701" s="3"/>
    </row>
    <row r="3702" spans="6:84">
      <c r="F3702" s="3"/>
      <c r="BS3702" s="3"/>
      <c r="BT3702" s="4"/>
      <c r="CF3702" s="3"/>
    </row>
    <row r="3703" spans="6:84">
      <c r="F3703" s="3"/>
      <c r="BS3703" s="3"/>
      <c r="BT3703" s="4"/>
      <c r="CF3703" s="3"/>
    </row>
    <row r="3704" spans="6:84">
      <c r="F3704" s="3"/>
      <c r="BS3704" s="3"/>
      <c r="BT3704" s="4"/>
      <c r="CF3704" s="3"/>
    </row>
    <row r="3705" spans="6:84">
      <c r="F3705" s="3"/>
      <c r="BS3705" s="3"/>
      <c r="BT3705" s="4"/>
      <c r="CF3705" s="3"/>
    </row>
    <row r="3706" spans="6:84">
      <c r="F3706" s="3"/>
      <c r="BS3706" s="3"/>
      <c r="BT3706" s="4"/>
      <c r="CF3706" s="3"/>
    </row>
    <row r="3707" spans="6:84">
      <c r="F3707" s="3"/>
      <c r="BS3707" s="3"/>
      <c r="BT3707" s="4"/>
      <c r="CF3707" s="3"/>
    </row>
    <row r="3708" spans="6:84">
      <c r="F3708" s="3"/>
      <c r="BS3708" s="3"/>
      <c r="BT3708" s="4"/>
      <c r="CF3708" s="3"/>
    </row>
    <row r="3709" spans="6:84">
      <c r="F3709" s="3"/>
      <c r="BS3709" s="3"/>
      <c r="BT3709" s="4"/>
      <c r="CF3709" s="3"/>
    </row>
    <row r="3710" spans="6:84">
      <c r="F3710" s="3"/>
      <c r="BS3710" s="3"/>
      <c r="BT3710" s="4"/>
      <c r="CF3710" s="3"/>
    </row>
    <row r="3711" spans="6:84">
      <c r="F3711" s="3"/>
      <c r="BS3711" s="3"/>
      <c r="BT3711" s="4"/>
      <c r="CF3711" s="3"/>
    </row>
    <row r="3712" spans="6:84">
      <c r="F3712" s="3"/>
      <c r="BS3712" s="3"/>
      <c r="BT3712" s="4"/>
      <c r="CF3712" s="3"/>
    </row>
    <row r="3713" spans="6:84">
      <c r="F3713" s="3"/>
      <c r="BS3713" s="3"/>
      <c r="BT3713" s="4"/>
      <c r="CF3713" s="3"/>
    </row>
    <row r="3714" spans="6:84">
      <c r="F3714" s="3"/>
      <c r="BS3714" s="3"/>
      <c r="BT3714" s="4"/>
      <c r="CF3714" s="3"/>
    </row>
    <row r="3715" spans="6:84">
      <c r="F3715" s="3"/>
      <c r="BS3715" s="3"/>
      <c r="BT3715" s="4"/>
      <c r="CF3715" s="3"/>
    </row>
    <row r="3716" spans="6:84">
      <c r="F3716" s="3"/>
      <c r="BS3716" s="3"/>
      <c r="BT3716" s="4"/>
      <c r="CF3716" s="3"/>
    </row>
    <row r="3717" spans="6:84">
      <c r="F3717" s="3"/>
      <c r="BS3717" s="3"/>
      <c r="BT3717" s="4"/>
      <c r="CF3717" s="3"/>
    </row>
    <row r="3718" spans="6:84">
      <c r="F3718" s="3"/>
      <c r="BS3718" s="3"/>
      <c r="BT3718" s="4"/>
      <c r="CF3718" s="3"/>
    </row>
    <row r="3719" spans="6:84">
      <c r="F3719" s="3"/>
      <c r="BS3719" s="3"/>
      <c r="BT3719" s="4"/>
      <c r="CF3719" s="3"/>
    </row>
    <row r="3720" spans="6:84">
      <c r="F3720" s="3"/>
      <c r="BS3720" s="3"/>
      <c r="BT3720" s="4"/>
      <c r="CF3720" s="3"/>
    </row>
    <row r="3721" spans="6:84">
      <c r="F3721" s="3"/>
      <c r="BS3721" s="3"/>
      <c r="BT3721" s="4"/>
      <c r="CF3721" s="3"/>
    </row>
    <row r="3722" spans="6:84">
      <c r="F3722" s="3"/>
      <c r="BS3722" s="3"/>
      <c r="BT3722" s="4"/>
      <c r="CF3722" s="3"/>
    </row>
    <row r="3723" spans="6:84">
      <c r="F3723" s="3"/>
      <c r="BS3723" s="3"/>
      <c r="BT3723" s="4"/>
      <c r="CF3723" s="3"/>
    </row>
    <row r="3724" spans="6:84">
      <c r="F3724" s="3"/>
      <c r="BS3724" s="3"/>
      <c r="BT3724" s="4"/>
      <c r="CF3724" s="3"/>
    </row>
    <row r="3725" spans="6:84">
      <c r="F3725" s="3"/>
      <c r="BS3725" s="3"/>
      <c r="BT3725" s="4"/>
      <c r="CF3725" s="3"/>
    </row>
    <row r="3726" spans="6:84">
      <c r="F3726" s="3"/>
      <c r="BS3726" s="3"/>
      <c r="BT3726" s="4"/>
      <c r="CF3726" s="3"/>
    </row>
    <row r="3727" spans="6:84">
      <c r="F3727" s="3"/>
      <c r="BS3727" s="3"/>
      <c r="BT3727" s="4"/>
      <c r="CF3727" s="3"/>
    </row>
    <row r="3728" spans="6:84">
      <c r="F3728" s="3"/>
      <c r="BS3728" s="3"/>
      <c r="BT3728" s="4"/>
      <c r="CF3728" s="3"/>
    </row>
    <row r="3729" spans="6:84">
      <c r="F3729" s="3"/>
      <c r="BS3729" s="3"/>
      <c r="BT3729" s="4"/>
      <c r="CF3729" s="3"/>
    </row>
    <row r="3730" spans="6:84">
      <c r="F3730" s="3"/>
      <c r="BS3730" s="3"/>
      <c r="BT3730" s="4"/>
      <c r="CF3730" s="3"/>
    </row>
    <row r="3731" spans="6:84">
      <c r="F3731" s="3"/>
      <c r="BS3731" s="3"/>
      <c r="BT3731" s="4"/>
      <c r="CF3731" s="3"/>
    </row>
    <row r="3732" spans="6:84">
      <c r="F3732" s="3"/>
      <c r="BS3732" s="3"/>
      <c r="BT3732" s="4"/>
      <c r="CF3732" s="3"/>
    </row>
    <row r="3733" spans="6:84">
      <c r="F3733" s="3"/>
      <c r="BS3733" s="3"/>
      <c r="BT3733" s="4"/>
      <c r="CF3733" s="3"/>
    </row>
    <row r="3734" spans="6:84">
      <c r="F3734" s="3"/>
      <c r="BS3734" s="3"/>
      <c r="BT3734" s="4"/>
      <c r="CF3734" s="3"/>
    </row>
    <row r="3735" spans="6:84">
      <c r="F3735" s="3"/>
      <c r="BS3735" s="3"/>
      <c r="BT3735" s="4"/>
      <c r="CF3735" s="3"/>
    </row>
    <row r="3736" spans="6:84">
      <c r="F3736" s="3"/>
      <c r="BS3736" s="3"/>
      <c r="BT3736" s="4"/>
      <c r="CF3736" s="3"/>
    </row>
    <row r="3737" spans="6:84">
      <c r="F3737" s="3"/>
      <c r="BS3737" s="3"/>
      <c r="BT3737" s="4"/>
      <c r="CF3737" s="3"/>
    </row>
    <row r="3738" spans="6:84">
      <c r="F3738" s="3"/>
      <c r="BS3738" s="3"/>
      <c r="BT3738" s="4"/>
      <c r="CF3738" s="3"/>
    </row>
    <row r="3739" spans="6:84">
      <c r="F3739" s="3"/>
      <c r="BS3739" s="3"/>
      <c r="BT3739" s="4"/>
      <c r="CF3739" s="3"/>
    </row>
    <row r="3740" spans="6:84">
      <c r="F3740" s="3"/>
      <c r="BS3740" s="3"/>
      <c r="BT3740" s="4"/>
      <c r="CF3740" s="3"/>
    </row>
    <row r="3741" spans="6:84">
      <c r="F3741" s="3"/>
      <c r="BS3741" s="3"/>
      <c r="BT3741" s="4"/>
      <c r="CF3741" s="3"/>
    </row>
    <row r="3742" spans="6:84">
      <c r="F3742" s="3"/>
      <c r="BS3742" s="3"/>
      <c r="BT3742" s="4"/>
      <c r="CF3742" s="3"/>
    </row>
    <row r="3743" spans="6:84">
      <c r="F3743" s="3"/>
      <c r="BS3743" s="3"/>
      <c r="BT3743" s="4"/>
      <c r="CF3743" s="3"/>
    </row>
    <row r="3744" spans="6:84">
      <c r="F3744" s="3"/>
      <c r="BS3744" s="3"/>
      <c r="BT3744" s="4"/>
      <c r="CF3744" s="3"/>
    </row>
    <row r="3745" spans="6:84">
      <c r="F3745" s="3"/>
      <c r="BS3745" s="3"/>
      <c r="BT3745" s="4"/>
      <c r="CF3745" s="3"/>
    </row>
    <row r="3746" spans="6:84">
      <c r="F3746" s="3"/>
      <c r="BS3746" s="3"/>
      <c r="BT3746" s="4"/>
      <c r="CF3746" s="3"/>
    </row>
    <row r="3747" spans="6:84">
      <c r="F3747" s="3"/>
      <c r="BS3747" s="3"/>
      <c r="BT3747" s="4"/>
      <c r="CF3747" s="3"/>
    </row>
    <row r="3748" spans="6:84">
      <c r="F3748" s="3"/>
      <c r="BS3748" s="3"/>
      <c r="BT3748" s="4"/>
      <c r="CF3748" s="3"/>
    </row>
    <row r="3749" spans="6:84">
      <c r="F3749" s="3"/>
      <c r="BS3749" s="3"/>
      <c r="BT3749" s="4"/>
      <c r="CF3749" s="3"/>
    </row>
    <row r="3750" spans="6:84">
      <c r="F3750" s="3"/>
      <c r="BS3750" s="3"/>
      <c r="BT3750" s="4"/>
      <c r="CF3750" s="3"/>
    </row>
    <row r="3751" spans="6:84">
      <c r="F3751" s="3"/>
      <c r="BS3751" s="3"/>
      <c r="BT3751" s="4"/>
      <c r="CF3751" s="3"/>
    </row>
    <row r="3752" spans="6:84">
      <c r="F3752" s="3"/>
      <c r="BS3752" s="3"/>
      <c r="BT3752" s="4"/>
      <c r="CF3752" s="3"/>
    </row>
    <row r="3753" spans="6:84">
      <c r="F3753" s="3"/>
      <c r="BS3753" s="3"/>
      <c r="BT3753" s="4"/>
      <c r="CF3753" s="3"/>
    </row>
    <row r="3754" spans="6:84">
      <c r="F3754" s="3"/>
      <c r="BS3754" s="3"/>
      <c r="BT3754" s="4"/>
      <c r="CF3754" s="3"/>
    </row>
    <row r="3755" spans="6:84">
      <c r="F3755" s="3"/>
      <c r="BS3755" s="3"/>
      <c r="BT3755" s="4"/>
      <c r="CF3755" s="3"/>
    </row>
    <row r="3756" spans="6:84">
      <c r="F3756" s="3"/>
      <c r="BS3756" s="3"/>
      <c r="BT3756" s="4"/>
      <c r="CF3756" s="3"/>
    </row>
    <row r="3757" spans="6:84">
      <c r="F3757" s="3"/>
      <c r="BS3757" s="3"/>
      <c r="BT3757" s="4"/>
      <c r="CF3757" s="3"/>
    </row>
    <row r="3758" spans="6:84">
      <c r="F3758" s="3"/>
      <c r="BS3758" s="3"/>
      <c r="BT3758" s="4"/>
      <c r="CF3758" s="3"/>
    </row>
    <row r="3759" spans="6:84">
      <c r="F3759" s="3"/>
      <c r="BS3759" s="3"/>
      <c r="BT3759" s="4"/>
      <c r="CF3759" s="3"/>
    </row>
    <row r="3760" spans="6:84">
      <c r="F3760" s="3"/>
      <c r="BS3760" s="3"/>
      <c r="BT3760" s="4"/>
      <c r="CF3760" s="3"/>
    </row>
    <row r="3761" spans="6:84">
      <c r="F3761" s="3"/>
      <c r="BS3761" s="3"/>
      <c r="BT3761" s="4"/>
      <c r="CF3761" s="3"/>
    </row>
    <row r="3762" spans="6:84">
      <c r="F3762" s="3"/>
      <c r="BS3762" s="3"/>
      <c r="BT3762" s="4"/>
      <c r="CF3762" s="3"/>
    </row>
    <row r="3763" spans="6:84">
      <c r="F3763" s="3"/>
      <c r="BS3763" s="3"/>
      <c r="BT3763" s="4"/>
      <c r="CF3763" s="3"/>
    </row>
    <row r="3764" spans="6:84">
      <c r="F3764" s="3"/>
      <c r="BS3764" s="3"/>
      <c r="BT3764" s="4"/>
      <c r="CF3764" s="3"/>
    </row>
    <row r="3765" spans="6:84">
      <c r="F3765" s="3"/>
      <c r="BS3765" s="3"/>
      <c r="BT3765" s="4"/>
      <c r="CF3765" s="3"/>
    </row>
    <row r="3766" spans="6:84">
      <c r="F3766" s="3"/>
      <c r="BS3766" s="3"/>
      <c r="BT3766" s="4"/>
      <c r="CF3766" s="3"/>
    </row>
    <row r="3767" spans="6:84">
      <c r="F3767" s="3"/>
      <c r="BS3767" s="3"/>
      <c r="BT3767" s="4"/>
      <c r="CF3767" s="3"/>
    </row>
    <row r="3768" spans="6:84">
      <c r="F3768" s="3"/>
      <c r="BS3768" s="3"/>
      <c r="BT3768" s="4"/>
      <c r="CF3768" s="3"/>
    </row>
    <row r="3769" spans="6:84">
      <c r="F3769" s="3"/>
      <c r="BS3769" s="3"/>
      <c r="BT3769" s="4"/>
      <c r="CF3769" s="3"/>
    </row>
    <row r="3770" spans="6:84">
      <c r="F3770" s="3"/>
      <c r="BS3770" s="3"/>
      <c r="BT3770" s="4"/>
      <c r="CF3770" s="3"/>
    </row>
    <row r="3771" spans="6:84">
      <c r="F3771" s="3"/>
      <c r="BS3771" s="3"/>
      <c r="BT3771" s="4"/>
      <c r="CF3771" s="3"/>
    </row>
    <row r="3772" spans="6:84">
      <c r="F3772" s="3"/>
      <c r="BS3772" s="3"/>
      <c r="BT3772" s="4"/>
      <c r="CF3772" s="3"/>
    </row>
    <row r="3773" spans="6:84">
      <c r="F3773" s="3"/>
      <c r="BS3773" s="3"/>
      <c r="BT3773" s="4"/>
      <c r="CF3773" s="3"/>
    </row>
    <row r="3774" spans="6:84">
      <c r="F3774" s="3"/>
      <c r="BS3774" s="3"/>
      <c r="BT3774" s="4"/>
      <c r="CF3774" s="3"/>
    </row>
    <row r="3775" spans="6:84">
      <c r="F3775" s="3"/>
      <c r="BS3775" s="3"/>
      <c r="BT3775" s="4"/>
      <c r="CF3775" s="3"/>
    </row>
    <row r="3776" spans="6:84">
      <c r="F3776" s="3"/>
      <c r="BS3776" s="3"/>
      <c r="BT3776" s="4"/>
      <c r="CF3776" s="3"/>
    </row>
    <row r="3777" spans="6:84">
      <c r="F3777" s="3"/>
      <c r="BS3777" s="3"/>
      <c r="BT3777" s="4"/>
      <c r="CF3777" s="3"/>
    </row>
    <row r="3778" spans="6:84">
      <c r="F3778" s="3"/>
      <c r="BS3778" s="3"/>
      <c r="BT3778" s="4"/>
      <c r="CF3778" s="3"/>
    </row>
    <row r="3779" spans="6:84">
      <c r="F3779" s="3"/>
      <c r="BS3779" s="3"/>
      <c r="BT3779" s="4"/>
      <c r="CF3779" s="3"/>
    </row>
    <row r="3780" spans="6:84">
      <c r="F3780" s="3"/>
      <c r="BS3780" s="3"/>
      <c r="BT3780" s="4"/>
      <c r="CF3780" s="3"/>
    </row>
    <row r="3781" spans="6:84">
      <c r="F3781" s="3"/>
      <c r="BS3781" s="3"/>
      <c r="BT3781" s="4"/>
      <c r="CF3781" s="3"/>
    </row>
    <row r="3782" spans="6:84">
      <c r="F3782" s="3"/>
      <c r="BS3782" s="3"/>
      <c r="BT3782" s="4"/>
      <c r="CF3782" s="3"/>
    </row>
    <row r="3783" spans="6:84">
      <c r="F3783" s="3"/>
      <c r="BS3783" s="3"/>
      <c r="BT3783" s="4"/>
      <c r="CF3783" s="3"/>
    </row>
    <row r="3784" spans="6:84">
      <c r="F3784" s="3"/>
      <c r="BS3784" s="3"/>
      <c r="BT3784" s="4"/>
      <c r="CF3784" s="3"/>
    </row>
    <row r="3785" spans="6:84">
      <c r="F3785" s="3"/>
      <c r="BS3785" s="3"/>
      <c r="BT3785" s="4"/>
      <c r="CF3785" s="3"/>
    </row>
    <row r="3786" spans="6:84">
      <c r="F3786" s="3"/>
      <c r="BS3786" s="3"/>
      <c r="BT3786" s="4"/>
      <c r="CF3786" s="3"/>
    </row>
    <row r="3787" spans="6:84">
      <c r="F3787" s="3"/>
      <c r="BS3787" s="3"/>
      <c r="BT3787" s="4"/>
      <c r="CF3787" s="3"/>
    </row>
    <row r="3788" spans="6:84">
      <c r="F3788" s="3"/>
      <c r="BS3788" s="3"/>
      <c r="BT3788" s="4"/>
      <c r="CF3788" s="3"/>
    </row>
    <row r="3789" spans="6:84">
      <c r="F3789" s="3"/>
      <c r="BS3789" s="3"/>
      <c r="BT3789" s="4"/>
      <c r="CF3789" s="3"/>
    </row>
    <row r="3790" spans="6:84">
      <c r="F3790" s="3"/>
      <c r="BS3790" s="3"/>
      <c r="BT3790" s="4"/>
      <c r="CF3790" s="3"/>
    </row>
    <row r="3791" spans="6:84">
      <c r="F3791" s="3"/>
      <c r="BS3791" s="3"/>
      <c r="BT3791" s="4"/>
      <c r="CF3791" s="3"/>
    </row>
    <row r="3792" spans="6:84">
      <c r="F3792" s="3"/>
      <c r="BS3792" s="3"/>
      <c r="BT3792" s="4"/>
      <c r="CF3792" s="3"/>
    </row>
    <row r="3793" spans="6:84">
      <c r="F3793" s="3"/>
      <c r="BS3793" s="3"/>
      <c r="BT3793" s="4"/>
      <c r="CF3793" s="3"/>
    </row>
    <row r="3794" spans="6:84">
      <c r="F3794" s="3"/>
    </row>
    <row r="3795" spans="6:84">
      <c r="F3795" s="3"/>
      <c r="BS3795" s="3"/>
      <c r="BT3795" s="4"/>
      <c r="CF3795" s="3"/>
    </row>
    <row r="3796" spans="6:84">
      <c r="F3796" s="3"/>
      <c r="BS3796" s="3"/>
      <c r="BT3796" s="4"/>
      <c r="CF3796" s="3"/>
    </row>
    <row r="3797" spans="6:84">
      <c r="F3797" s="3"/>
      <c r="BS3797" s="3"/>
      <c r="BT3797" s="4"/>
      <c r="CF3797" s="3"/>
    </row>
    <row r="3798" spans="6:84">
      <c r="F3798" s="3"/>
      <c r="BS3798" s="3"/>
      <c r="BT3798" s="4"/>
      <c r="CF3798" s="3"/>
    </row>
    <row r="3799" spans="6:84">
      <c r="F3799" s="3"/>
      <c r="BS3799" s="3"/>
      <c r="BT3799" s="4"/>
      <c r="CF3799" s="3"/>
    </row>
    <row r="3800" spans="6:84">
      <c r="F3800" s="3"/>
      <c r="BS3800" s="3"/>
      <c r="BT3800" s="4"/>
      <c r="CF3800" s="3"/>
    </row>
    <row r="3801" spans="6:84">
      <c r="F3801" s="3"/>
      <c r="BS3801" s="3"/>
      <c r="BT3801" s="4"/>
      <c r="CF3801" s="3"/>
    </row>
    <row r="3802" spans="6:84">
      <c r="F3802" s="3"/>
      <c r="BS3802" s="3"/>
      <c r="BT3802" s="4"/>
      <c r="CF3802" s="3"/>
    </row>
    <row r="3803" spans="6:84">
      <c r="F3803" s="3"/>
      <c r="BS3803" s="3"/>
      <c r="BT3803" s="4"/>
      <c r="CF3803" s="3"/>
    </row>
    <row r="3804" spans="6:84">
      <c r="F3804" s="3"/>
      <c r="BS3804" s="3"/>
      <c r="BT3804" s="4"/>
      <c r="CF3804" s="3"/>
    </row>
    <row r="3805" spans="6:84">
      <c r="F3805" s="3"/>
      <c r="BS3805" s="3"/>
      <c r="BT3805" s="4"/>
      <c r="CF3805" s="3"/>
    </row>
    <row r="3806" spans="6:84">
      <c r="F3806" s="3"/>
      <c r="BS3806" s="3"/>
      <c r="BT3806" s="4"/>
      <c r="CF3806" s="3"/>
    </row>
    <row r="3807" spans="6:84">
      <c r="F3807" s="3"/>
      <c r="BS3807" s="3"/>
      <c r="BT3807" s="4"/>
      <c r="CF3807" s="3"/>
    </row>
    <row r="3808" spans="6:84">
      <c r="F3808" s="3"/>
      <c r="BS3808" s="3"/>
      <c r="BT3808" s="4"/>
      <c r="CF3808" s="3"/>
    </row>
    <row r="3809" spans="6:84">
      <c r="F3809" s="3"/>
      <c r="BS3809" s="3"/>
      <c r="BT3809" s="4"/>
      <c r="CF3809" s="3"/>
    </row>
    <row r="3810" spans="6:84">
      <c r="F3810" s="3"/>
      <c r="BS3810" s="3"/>
      <c r="BT3810" s="4"/>
      <c r="CF3810" s="3"/>
    </row>
    <row r="3811" spans="6:84">
      <c r="F3811" s="3"/>
      <c r="BS3811" s="3"/>
      <c r="BT3811" s="4"/>
      <c r="CF3811" s="3"/>
    </row>
    <row r="3812" spans="6:84">
      <c r="F3812" s="3"/>
      <c r="BS3812" s="3"/>
      <c r="BT3812" s="4"/>
      <c r="CF3812" s="3"/>
    </row>
    <row r="3813" spans="6:84">
      <c r="F3813" s="3"/>
      <c r="BS3813" s="3"/>
      <c r="BT3813" s="4"/>
      <c r="CF3813" s="3"/>
    </row>
    <row r="3814" spans="6:84">
      <c r="F3814" s="3"/>
      <c r="BS3814" s="3"/>
      <c r="BT3814" s="4"/>
      <c r="CF3814" s="3"/>
    </row>
    <row r="3815" spans="6:84">
      <c r="F3815" s="3"/>
      <c r="BS3815" s="3"/>
      <c r="BT3815" s="4"/>
      <c r="CF3815" s="3"/>
    </row>
    <row r="3816" spans="6:84">
      <c r="F3816" s="3"/>
      <c r="BS3816" s="3"/>
      <c r="BT3816" s="4"/>
      <c r="CF3816" s="3"/>
    </row>
    <row r="3817" spans="6:84">
      <c r="F3817" s="3"/>
      <c r="BS3817" s="3"/>
      <c r="BT3817" s="4"/>
      <c r="CF3817" s="3"/>
    </row>
    <row r="3818" spans="6:84">
      <c r="F3818" s="3"/>
      <c r="BS3818" s="3"/>
      <c r="BT3818" s="4"/>
      <c r="CF3818" s="3"/>
    </row>
    <row r="3819" spans="6:84">
      <c r="F3819" s="3"/>
      <c r="BS3819" s="3"/>
      <c r="BT3819" s="4"/>
      <c r="CF3819" s="3"/>
    </row>
    <row r="3820" spans="6:84">
      <c r="F3820" s="3"/>
      <c r="BS3820" s="3"/>
      <c r="BT3820" s="4"/>
      <c r="CF3820" s="3"/>
    </row>
    <row r="3821" spans="6:84">
      <c r="F3821" s="3"/>
      <c r="BS3821" s="3"/>
      <c r="BT3821" s="4"/>
      <c r="CF3821" s="3"/>
    </row>
    <row r="3822" spans="6:84">
      <c r="F3822" s="3"/>
      <c r="BS3822" s="3"/>
      <c r="BT3822" s="4"/>
      <c r="CF3822" s="3"/>
    </row>
    <row r="3823" spans="6:84">
      <c r="F3823" s="3"/>
      <c r="BS3823" s="3"/>
      <c r="BT3823" s="4"/>
      <c r="CF3823" s="3"/>
    </row>
    <row r="3824" spans="6:84">
      <c r="F3824" s="3"/>
      <c r="BS3824" s="3"/>
      <c r="BT3824" s="4"/>
      <c r="CF3824" s="3"/>
    </row>
    <row r="3825" spans="6:84">
      <c r="F3825" s="3"/>
      <c r="BS3825" s="3"/>
      <c r="BT3825" s="4"/>
      <c r="CF3825" s="3"/>
    </row>
    <row r="3826" spans="6:84">
      <c r="F3826" s="3"/>
      <c r="BS3826" s="3"/>
      <c r="BT3826" s="4"/>
      <c r="CF3826" s="3"/>
    </row>
    <row r="3827" spans="6:84">
      <c r="F3827" s="3"/>
      <c r="BS3827" s="3"/>
      <c r="BT3827" s="4"/>
      <c r="CF3827" s="3"/>
    </row>
    <row r="3828" spans="6:84">
      <c r="F3828" s="3"/>
      <c r="BS3828" s="3"/>
      <c r="BT3828" s="4"/>
      <c r="CF3828" s="3"/>
    </row>
    <row r="3829" spans="6:84">
      <c r="F3829" s="3"/>
      <c r="BS3829" s="3"/>
      <c r="BT3829" s="4"/>
      <c r="CF3829" s="3"/>
    </row>
    <row r="3830" spans="6:84">
      <c r="F3830" s="3"/>
      <c r="BS3830" s="3"/>
      <c r="BT3830" s="4"/>
      <c r="CF3830" s="3"/>
    </row>
    <row r="3831" spans="6:84">
      <c r="F3831" s="3"/>
      <c r="BS3831" s="3"/>
      <c r="BT3831" s="4"/>
      <c r="CF3831" s="3"/>
    </row>
    <row r="3832" spans="6:84">
      <c r="F3832" s="3"/>
      <c r="BS3832" s="3"/>
      <c r="BT3832" s="4"/>
      <c r="CF3832" s="3"/>
    </row>
    <row r="3833" spans="6:84">
      <c r="F3833" s="3"/>
      <c r="BS3833" s="3"/>
      <c r="BT3833" s="4"/>
    </row>
    <row r="3834" spans="6:84">
      <c r="F3834" s="3"/>
      <c r="BS3834" s="3"/>
      <c r="BT3834" s="4"/>
      <c r="CF3834" s="3"/>
    </row>
    <row r="3835" spans="6:84">
      <c r="F3835" s="3"/>
      <c r="BS3835" s="3"/>
      <c r="BT3835" s="4"/>
      <c r="CF3835" s="3"/>
    </row>
    <row r="3836" spans="6:84">
      <c r="F3836" s="3"/>
      <c r="BS3836" s="3"/>
      <c r="BT3836" s="4"/>
      <c r="CF3836" s="3"/>
    </row>
    <row r="3837" spans="6:84">
      <c r="F3837" s="3"/>
      <c r="BS3837" s="3"/>
      <c r="BT3837" s="4"/>
      <c r="CF3837" s="3"/>
    </row>
    <row r="3838" spans="6:84">
      <c r="F3838" s="3"/>
      <c r="BS3838" s="3"/>
      <c r="BT3838" s="4"/>
      <c r="CF3838" s="3"/>
    </row>
    <row r="3839" spans="6:84">
      <c r="F3839" s="3"/>
      <c r="BS3839" s="3"/>
      <c r="BT3839" s="4"/>
      <c r="CF3839" s="3"/>
    </row>
    <row r="3840" spans="6:84">
      <c r="F3840" s="3"/>
      <c r="BS3840" s="3"/>
      <c r="BT3840" s="4"/>
      <c r="CF3840" s="3"/>
    </row>
    <row r="3841" spans="6:84">
      <c r="F3841" s="3"/>
      <c r="BS3841" s="3"/>
      <c r="BT3841" s="4"/>
      <c r="CF3841" s="3"/>
    </row>
    <row r="3842" spans="6:84">
      <c r="F3842" s="3"/>
      <c r="BS3842" s="3"/>
      <c r="BT3842" s="4"/>
    </row>
    <row r="3843" spans="6:84">
      <c r="F3843" s="3"/>
      <c r="BS3843" s="3"/>
      <c r="BT3843" s="4"/>
      <c r="CF3843" s="3"/>
    </row>
    <row r="3844" spans="6:84">
      <c r="F3844" s="3"/>
      <c r="BS3844" s="3"/>
      <c r="BT3844" s="4"/>
      <c r="CF3844" s="3"/>
    </row>
    <row r="3845" spans="6:84">
      <c r="F3845" s="3"/>
      <c r="BS3845" s="3"/>
      <c r="BT3845" s="4"/>
      <c r="CF3845" s="3"/>
    </row>
    <row r="3846" spans="6:84">
      <c r="F3846" s="3"/>
      <c r="BS3846" s="3"/>
      <c r="BT3846" s="4"/>
      <c r="CF3846" s="3"/>
    </row>
    <row r="3847" spans="6:84">
      <c r="F3847" s="3"/>
      <c r="BS3847" s="3"/>
      <c r="BT3847" s="4"/>
      <c r="CF3847" s="3"/>
    </row>
    <row r="3848" spans="6:84">
      <c r="F3848" s="3"/>
      <c r="BS3848" s="3"/>
      <c r="BT3848" s="4"/>
      <c r="CF3848" s="3"/>
    </row>
    <row r="3849" spans="6:84">
      <c r="F3849" s="3"/>
      <c r="BS3849" s="3"/>
      <c r="BT3849" s="4"/>
      <c r="CF3849" s="3"/>
    </row>
    <row r="3850" spans="6:84">
      <c r="F3850" s="3"/>
      <c r="BS3850" s="3"/>
      <c r="BT3850" s="4"/>
      <c r="CF3850" s="3"/>
    </row>
    <row r="3851" spans="6:84">
      <c r="F3851" s="3"/>
      <c r="BS3851" s="3"/>
      <c r="BT3851" s="4"/>
      <c r="CF3851" s="3"/>
    </row>
    <row r="3852" spans="6:84">
      <c r="F3852" s="3"/>
      <c r="BS3852" s="3"/>
      <c r="BT3852" s="4"/>
      <c r="CF3852" s="3"/>
    </row>
    <row r="3853" spans="6:84">
      <c r="F3853" s="3"/>
    </row>
    <row r="3854" spans="6:84">
      <c r="F3854" s="3"/>
      <c r="BS3854" s="3"/>
      <c r="BT3854" s="4"/>
    </row>
    <row r="3855" spans="6:84">
      <c r="F3855" s="3"/>
      <c r="BS3855" s="3"/>
      <c r="BT3855" s="4"/>
      <c r="CF3855" s="3"/>
    </row>
    <row r="3856" spans="6:84">
      <c r="F3856" s="3"/>
      <c r="BS3856" s="3"/>
      <c r="BT3856" s="4"/>
      <c r="CF3856" s="3"/>
    </row>
    <row r="3857" spans="6:84">
      <c r="F3857" s="3"/>
      <c r="BS3857" s="3"/>
      <c r="BT3857" s="4"/>
      <c r="CF3857" s="3"/>
    </row>
    <row r="3858" spans="6:84">
      <c r="F3858" s="3"/>
      <c r="BS3858" s="3"/>
      <c r="BT3858" s="4"/>
      <c r="CF3858" s="3"/>
    </row>
    <row r="3859" spans="6:84">
      <c r="F3859" s="3"/>
    </row>
    <row r="3860" spans="6:84">
      <c r="F3860" s="3"/>
      <c r="BS3860" s="3"/>
      <c r="BT3860" s="4"/>
      <c r="CF3860" s="3"/>
    </row>
    <row r="3861" spans="6:84">
      <c r="F3861" s="3"/>
      <c r="BS3861" s="3"/>
      <c r="BT3861" s="4"/>
      <c r="CF3861" s="3"/>
    </row>
    <row r="3862" spans="6:84">
      <c r="F3862" s="3"/>
      <c r="BS3862" s="3"/>
      <c r="BT3862" s="4"/>
      <c r="CF3862" s="3"/>
    </row>
    <row r="3863" spans="6:84">
      <c r="F3863" s="3"/>
      <c r="BS3863" s="3"/>
      <c r="BT3863" s="4"/>
      <c r="CF3863" s="3"/>
    </row>
    <row r="3864" spans="6:84">
      <c r="F3864" s="3"/>
      <c r="BS3864" s="3"/>
      <c r="BT3864" s="4"/>
      <c r="CF3864" s="3"/>
    </row>
    <row r="3865" spans="6:84">
      <c r="F3865" s="3"/>
      <c r="BS3865" s="3"/>
      <c r="BT3865" s="4"/>
      <c r="CF3865" s="3"/>
    </row>
    <row r="3866" spans="6:84">
      <c r="F3866" s="3"/>
      <c r="BS3866" s="3"/>
      <c r="BT3866" s="4"/>
      <c r="CF3866" s="3"/>
    </row>
    <row r="3867" spans="6:84">
      <c r="F3867" s="3"/>
      <c r="BS3867" s="3"/>
      <c r="BT3867" s="4"/>
      <c r="CF3867" s="3"/>
    </row>
    <row r="3868" spans="6:84">
      <c r="F3868" s="3"/>
      <c r="BS3868" s="3"/>
      <c r="BT3868" s="4"/>
      <c r="CF3868" s="3"/>
    </row>
    <row r="3869" spans="6:84">
      <c r="F3869" s="3"/>
      <c r="BS3869" s="3"/>
      <c r="BT3869" s="4"/>
    </row>
    <row r="3870" spans="6:84">
      <c r="F3870" s="3"/>
    </row>
    <row r="3871" spans="6:84">
      <c r="F3871" s="3"/>
      <c r="BS3871" s="3"/>
      <c r="BT3871" s="4"/>
      <c r="CF3871" s="3"/>
    </row>
    <row r="3872" spans="6:84">
      <c r="F3872" s="3"/>
      <c r="BS3872" s="3"/>
      <c r="BT3872" s="4"/>
      <c r="CF3872" s="3"/>
    </row>
    <row r="3873" spans="6:84">
      <c r="F3873" s="3"/>
      <c r="BS3873" s="3"/>
      <c r="BT3873" s="4"/>
      <c r="CF3873" s="3"/>
    </row>
    <row r="3874" spans="6:84">
      <c r="F3874" s="3"/>
      <c r="BS3874" s="3"/>
      <c r="BT3874" s="4"/>
      <c r="CF3874" s="3"/>
    </row>
    <row r="3875" spans="6:84">
      <c r="F3875" s="3"/>
      <c r="BS3875" s="3"/>
      <c r="BT3875" s="4"/>
      <c r="CF3875" s="3"/>
    </row>
    <row r="3876" spans="6:84">
      <c r="F3876" s="3"/>
      <c r="BS3876" s="3"/>
      <c r="BT3876" s="4"/>
      <c r="CF3876" s="3"/>
    </row>
    <row r="3877" spans="6:84">
      <c r="F3877" s="3"/>
      <c r="BS3877" s="3"/>
      <c r="BT3877" s="4"/>
      <c r="CF3877" s="3"/>
    </row>
    <row r="3878" spans="6:84">
      <c r="F3878" s="3"/>
      <c r="BS3878" s="3"/>
      <c r="BT3878" s="4"/>
      <c r="CF3878" s="3"/>
    </row>
    <row r="3879" spans="6:84">
      <c r="F3879" s="3"/>
    </row>
    <row r="3880" spans="6:84">
      <c r="F3880" s="3"/>
      <c r="BS3880" s="3"/>
      <c r="BT3880" s="4"/>
    </row>
    <row r="3881" spans="6:84">
      <c r="F3881" s="3"/>
      <c r="BS3881" s="3"/>
      <c r="BT3881" s="4"/>
    </row>
    <row r="3882" spans="6:84">
      <c r="F3882" s="3"/>
      <c r="BS3882" s="3"/>
      <c r="BT3882" s="4"/>
      <c r="CF3882" s="3"/>
    </row>
    <row r="3883" spans="6:84">
      <c r="F3883" s="3"/>
      <c r="BS3883" s="3"/>
      <c r="BT3883" s="4"/>
    </row>
    <row r="3884" spans="6:84">
      <c r="F3884" s="3"/>
    </row>
    <row r="3885" spans="6:84">
      <c r="F3885" s="3"/>
    </row>
    <row r="3886" spans="6:84">
      <c r="F3886" s="3"/>
      <c r="BS3886" s="3"/>
      <c r="BT3886" s="4"/>
      <c r="CF3886" s="3"/>
    </row>
    <row r="3887" spans="6:84">
      <c r="F3887" s="3"/>
    </row>
    <row r="3888" spans="6:84">
      <c r="F3888" s="3"/>
      <c r="BS3888" s="3"/>
      <c r="BT3888" s="4"/>
      <c r="CF3888" s="3"/>
    </row>
    <row r="3889" spans="6:84">
      <c r="F3889" s="3"/>
      <c r="BS3889" s="3"/>
      <c r="BT3889" s="4"/>
      <c r="CF3889" s="3"/>
    </row>
    <row r="3890" spans="6:84">
      <c r="F3890" s="3"/>
      <c r="BS3890" s="3"/>
      <c r="BT3890" s="4"/>
    </row>
    <row r="3891" spans="6:84">
      <c r="F3891" s="3"/>
    </row>
    <row r="3892" spans="6:84">
      <c r="F3892" s="3"/>
    </row>
    <row r="3893" spans="6:84">
      <c r="F3893" s="3"/>
    </row>
    <row r="3894" spans="6:84">
      <c r="F3894" s="3"/>
    </row>
    <row r="3895" spans="6:84">
      <c r="F3895" s="3"/>
      <c r="BS3895" s="3"/>
      <c r="BT3895" s="4"/>
      <c r="CF3895" s="3"/>
    </row>
    <row r="3896" spans="6:84">
      <c r="F3896" s="3"/>
      <c r="BS3896" s="3"/>
      <c r="BT3896" s="4"/>
      <c r="CF3896" s="3"/>
    </row>
    <row r="3897" spans="6:84">
      <c r="F3897" s="3"/>
      <c r="BS3897" s="3"/>
      <c r="BT3897" s="4"/>
      <c r="CF3897" s="3"/>
    </row>
    <row r="3898" spans="6:84">
      <c r="F3898" s="3"/>
    </row>
    <row r="3899" spans="6:84">
      <c r="F3899" s="3"/>
    </row>
    <row r="3900" spans="6:84">
      <c r="F3900" s="3"/>
      <c r="BS3900" s="3"/>
      <c r="BT3900" s="4"/>
      <c r="CF3900" s="3"/>
    </row>
    <row r="3901" spans="6:84">
      <c r="F3901" s="3"/>
    </row>
    <row r="3902" spans="6:84">
      <c r="F3902" s="3"/>
      <c r="BS3902" s="3"/>
      <c r="BT3902" s="4"/>
      <c r="CF3902" s="3"/>
    </row>
    <row r="3903" spans="6:84">
      <c r="F3903" s="3"/>
      <c r="BS3903" s="3"/>
      <c r="BT3903" s="4"/>
      <c r="CF3903" s="3"/>
    </row>
    <row r="3904" spans="6:84">
      <c r="F3904" s="3"/>
      <c r="BS3904" s="3"/>
      <c r="BT3904" s="4"/>
      <c r="CF3904" s="3"/>
    </row>
    <row r="3905" spans="6:84">
      <c r="F3905" s="3"/>
      <c r="BS3905" s="3"/>
      <c r="BT3905" s="4"/>
      <c r="CF3905" s="3"/>
    </row>
    <row r="3906" spans="6:84">
      <c r="F3906" s="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2017-12-29T11:27:24Z</dcterms:created>
  <dcterms:modified xsi:type="dcterms:W3CDTF">2017-12-29T11:27:44Z</dcterms:modified>
</cp:coreProperties>
</file>