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D6B0BD1-B2B5-430D-A642-DAEF540760E8}" xr6:coauthVersionLast="47" xr6:coauthVersionMax="47" xr10:uidLastSave="{00000000-0000-0000-0000-000000000000}"/>
  <bookViews>
    <workbookView xWindow="28680" yWindow="-120" windowWidth="20730" windowHeight="11040" xr2:uid="{7946C6D5-1198-463D-B121-186D75E9CD37}"/>
  </bookViews>
  <sheets>
    <sheet name="sdrascd7-IENOMKE1309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5" i="1" l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<sst xmlns="http://schemas.openxmlformats.org/spreadsheetml/2006/main" count="12500" uniqueCount="1658">
  <si>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</si>
  <si>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</si>
  <si>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</si>
  <si>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</si>
  <si>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</si>
  <si>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</si>
  <si>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</si>
  <si>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</si>
  <si>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</si>
  <si>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</si>
  <si>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</si>
  <si>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</si>
  <si>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</si>
  <si>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</si>
  <si>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</si>
  <si>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</si>
  <si>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</si>
  <si>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</si>
  <si>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</si>
  <si>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</si>
  <si>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</si>
  <si>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</si>
  <si>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</si>
  <si>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</si>
  <si>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</si>
  <si>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</si>
  <si>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</si>
  <si>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</si>
  <si>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</si>
  <si>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</si>
  <si>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</si>
  <si>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</si>
  <si>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</si>
  <si>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</si>
  <si>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</si>
  <si>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</si>
  <si>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</si>
  <si>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</si>
  <si>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</si>
  <si>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</si>
  <si>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</si>
  <si>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</si>
  <si>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</si>
  <si>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</si>
  <si>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</si>
  <si>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</si>
  <si>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</si>
  <si>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</si>
  <si>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</si>
  <si>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</si>
  <si>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</si>
  <si>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</si>
  <si>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</si>
  <si>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</si>
  <si>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</si>
  <si>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</si>
  <si>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</si>
  <si>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</si>
  <si>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</si>
  <si>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</si>
  <si>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</si>
  <si>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</si>
  <si>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</si>
  <si>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</si>
  <si>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</si>
  <si>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</si>
  <si>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</si>
  <si>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</si>
  <si>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</si>
  <si>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</si>
  <si>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</si>
  <si>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</si>
  <si>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</si>
  <si>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</si>
  <si>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</si>
  <si>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DURBA</t>
  </si>
  <si>
    <t>DURBAN</t>
  </si>
  <si>
    <t xml:space="preserve">Kim Bernon                         </t>
  </si>
  <si>
    <t xml:space="preserve">                                   </t>
  </si>
  <si>
    <t>VERWO</t>
  </si>
  <si>
    <t>CENTURION</t>
  </si>
  <si>
    <t xml:space="preserve">GABLER MEDICAL CENTURION           </t>
  </si>
  <si>
    <t>ON1</t>
  </si>
  <si>
    <t>?</t>
  </si>
  <si>
    <t>MONIQUE DIEDERICKS</t>
  </si>
  <si>
    <t>Kim Bernon</t>
  </si>
  <si>
    <t>GABLER MEDICAL CENTURION</t>
  </si>
  <si>
    <t>no</t>
  </si>
  <si>
    <t>Consignee not available)</t>
  </si>
  <si>
    <t>jma</t>
  </si>
  <si>
    <t>FUE / DOC</t>
  </si>
  <si>
    <t>POD received from cell 0649538281 M</t>
  </si>
  <si>
    <t>0157</t>
  </si>
  <si>
    <t>Box</t>
  </si>
  <si>
    <t>MMABA</t>
  </si>
  <si>
    <t>MMABATHO</t>
  </si>
  <si>
    <t xml:space="preserve">PROVINCIAL OFFICE NORTH WEST       </t>
  </si>
  <si>
    <t>CAPET</t>
  </si>
  <si>
    <t>CAPE TOWN</t>
  </si>
  <si>
    <t xml:space="preserve">Gabler Medical                     </t>
  </si>
  <si>
    <t>DBC</t>
  </si>
  <si>
    <t>Jeffrey Jacobs</t>
  </si>
  <si>
    <t>MPHO</t>
  </si>
  <si>
    <t>Rueben</t>
  </si>
  <si>
    <t>POD received from cell 0659386993 M</t>
  </si>
  <si>
    <t>BOX MED EQUIPMEN BOX MED EQUIPMEN</t>
  </si>
  <si>
    <t xml:space="preserve">Imvula Medical                     </t>
  </si>
  <si>
    <t>LYDIA</t>
  </si>
  <si>
    <t>guster</t>
  </si>
  <si>
    <t>yes</t>
  </si>
  <si>
    <t>POD received from cell 0790678352 M</t>
  </si>
  <si>
    <t xml:space="preserve">BOX SUTU                      </t>
  </si>
  <si>
    <t>BLOE1</t>
  </si>
  <si>
    <t>BLOEMFONTEIN</t>
  </si>
  <si>
    <t xml:space="preserve">BUSAMED BRAM FISHER INT AIRPOR     </t>
  </si>
  <si>
    <t>SYDWELL</t>
  </si>
  <si>
    <t>Ellissen</t>
  </si>
  <si>
    <t>POD received from cell 0646999752 M</t>
  </si>
  <si>
    <t xml:space="preserve">BOX LINE                      </t>
  </si>
  <si>
    <t xml:space="preserve">GABLER MEDICAL                     </t>
  </si>
  <si>
    <t>MINETTE</t>
  </si>
  <si>
    <t>Patricia</t>
  </si>
  <si>
    <t>POD received from cell 0799731759 M</t>
  </si>
  <si>
    <t>SUTURE SAMPLES</t>
  </si>
  <si>
    <t>SANDT</t>
  </si>
  <si>
    <t>SANDTON</t>
  </si>
  <si>
    <t xml:space="preserve">CURE DAY HOSPITAL FOURWAYS         </t>
  </si>
  <si>
    <t>thato</t>
  </si>
  <si>
    <t>POD received from cell 0629117611 M</t>
  </si>
  <si>
    <t>FLYER SUTURES-3</t>
  </si>
  <si>
    <t>PIET2</t>
  </si>
  <si>
    <t>PIETERSBURG</t>
  </si>
  <si>
    <t xml:space="preserve">Mediclinic Limpopo                 </t>
  </si>
  <si>
    <t>VINOLIAH</t>
  </si>
  <si>
    <t>Agreement</t>
  </si>
  <si>
    <t>POD received from cell 0762500778 M</t>
  </si>
  <si>
    <t>0699</t>
  </si>
  <si>
    <t>FLYER SUTURES-2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</si>
  <si>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</si>
  <si>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</si>
  <si>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</si>
  <si>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</si>
  <si>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</si>
  <si>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</si>
  <si>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>MIDD2</t>
  </si>
  <si>
    <t>MIDDELBURG (Mpumalanga)</t>
  </si>
  <si>
    <t xml:space="preserve">LIFE MIDMED PHARMACY               </t>
  </si>
  <si>
    <t>HANNES</t>
  </si>
  <si>
    <t>WILLIAM</t>
  </si>
  <si>
    <t>FLYER SUTURES-1</t>
  </si>
  <si>
    <t>NEWCA</t>
  </si>
  <si>
    <t>NEWCASTLE</t>
  </si>
  <si>
    <t xml:space="preserve">Newcastle Regional Hospit          </t>
  </si>
  <si>
    <t>NOKULANGA</t>
  </si>
  <si>
    <t>S M Majola</t>
  </si>
  <si>
    <t>POD received from cell 0826848550 M</t>
  </si>
  <si>
    <t xml:space="preserve">Witbank Veterinary Hospit          </t>
  </si>
  <si>
    <t>MELANDRIE</t>
  </si>
  <si>
    <t>Bianca</t>
  </si>
  <si>
    <t>POD received from cell 0793866786 M</t>
  </si>
  <si>
    <t xml:space="preserve">Life Cosmos Hospit                 </t>
  </si>
  <si>
    <t>NINETTE</t>
  </si>
  <si>
    <t>velaphi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</si>
  <si>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</si>
  <si>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</si>
  <si>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</si>
  <si>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</si>
  <si>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</si>
  <si>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</si>
  <si>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>BOX SUTURES-1</t>
  </si>
  <si>
    <t>BETHL</t>
  </si>
  <si>
    <t>BETHLEHEM</t>
  </si>
  <si>
    <t xml:space="preserve">Hoogland Medi Clinic Pharmacy      </t>
  </si>
  <si>
    <t>WILMA LANA</t>
  </si>
  <si>
    <t>elzette</t>
  </si>
  <si>
    <t>POD received from cell 0732046232 M</t>
  </si>
  <si>
    <t>BOX SUTURES-13</t>
  </si>
  <si>
    <t xml:space="preserve">SKYNET BLOEMFONTEIN                </t>
  </si>
  <si>
    <t>TRACEY</t>
  </si>
  <si>
    <t>tracy</t>
  </si>
  <si>
    <t>Chain store delivery</t>
  </si>
  <si>
    <t>dss</t>
  </si>
  <si>
    <t>PINET</t>
  </si>
  <si>
    <t>PINETOWN</t>
  </si>
  <si>
    <t xml:space="preserve">Med Pak cc TA                      </t>
  </si>
  <si>
    <t>KYLE</t>
  </si>
  <si>
    <t xml:space="preserve">lennoy                        </t>
  </si>
  <si>
    <t>Late Linehaul Delayed Beyond Skynet Control</t>
  </si>
  <si>
    <t>COL</t>
  </si>
  <si>
    <t xml:space="preserve">POD received from cell 0780771530 M     </t>
  </si>
  <si>
    <t xml:space="preserve">Lake Smit   Partners               </t>
  </si>
  <si>
    <t>SR SHERRY</t>
  </si>
  <si>
    <t>POD received from cell 0716311909 M</t>
  </si>
  <si>
    <t>BOX SUTURES-10</t>
  </si>
  <si>
    <t xml:space="preserve">GABLER MEDICAL TECH                </t>
  </si>
  <si>
    <t>KIM BERNON</t>
  </si>
  <si>
    <t>MONIQUE  MOSTERT</t>
  </si>
  <si>
    <t>Bernon</t>
  </si>
  <si>
    <t>Late linehaul</t>
  </si>
  <si>
    <t>ikh</t>
  </si>
  <si>
    <t>.</t>
  </si>
  <si>
    <t xml:space="preserve">GABLER  MEDICAL                    </t>
  </si>
  <si>
    <t>JULIAN</t>
  </si>
  <si>
    <t>Roxanne</t>
  </si>
  <si>
    <t>Missed cutoff</t>
  </si>
  <si>
    <t>jam</t>
  </si>
  <si>
    <t xml:space="preserve">Advanced Durbanville               </t>
  </si>
  <si>
    <t>ANKIA</t>
  </si>
  <si>
    <t>david</t>
  </si>
  <si>
    <t xml:space="preserve">Netcare Blaauwberg Hospit          </t>
  </si>
  <si>
    <t>PHY</t>
  </si>
  <si>
    <t>Bazil</t>
  </si>
  <si>
    <t>POD received from cell 0693852220 M</t>
  </si>
  <si>
    <t>FLYER SUTURES-4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</si>
  <si>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</si>
  <si>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</si>
  <si>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</si>
  <si>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</si>
  <si>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</si>
  <si>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 xml:space="preserve">POD received from cell 0849215600 M     </t>
  </si>
  <si>
    <t xml:space="preserve">Disa Med Constantia Pharmacy       </t>
  </si>
  <si>
    <t>MARTIN</t>
  </si>
  <si>
    <t xml:space="preserve">Martin                        </t>
  </si>
  <si>
    <t xml:space="preserve">POD received from cell 0723748549 M     </t>
  </si>
  <si>
    <t>BOX SUTURES-8</t>
  </si>
  <si>
    <t xml:space="preserve">Multicare Medical                  </t>
  </si>
  <si>
    <t>CHANTELLE</t>
  </si>
  <si>
    <t xml:space="preserve">L Gullver                     </t>
  </si>
  <si>
    <t xml:space="preserve">POD received from cell 0736418208 M     </t>
  </si>
  <si>
    <t>BOX SUTURES-12</t>
  </si>
  <si>
    <t>RONEL</t>
  </si>
  <si>
    <t>POD received from cell 0767548818 M</t>
  </si>
  <si>
    <t xml:space="preserve">UPRIGHTS                      </t>
  </si>
  <si>
    <t xml:space="preserve">Life Kingsbury Hospital            </t>
  </si>
  <si>
    <t>HUSHENDREE</t>
  </si>
  <si>
    <t>timoti</t>
  </si>
  <si>
    <t>POD received from cell 0608961045 M</t>
  </si>
  <si>
    <t>FLYER SUTURES-5</t>
  </si>
  <si>
    <t>JOHAN</t>
  </si>
  <si>
    <t>JOHANNESBURG</t>
  </si>
  <si>
    <t xml:space="preserve">Life Wilgeheuwel Hospit            </t>
  </si>
  <si>
    <t>MARION</t>
  </si>
  <si>
    <t>AZWI</t>
  </si>
  <si>
    <t>POD received from cell 0715201240 M</t>
  </si>
  <si>
    <t>BRIT1</t>
  </si>
  <si>
    <t>BRITS</t>
  </si>
  <si>
    <t xml:space="preserve">Brits Medi Clinic - Pharmacy       </t>
  </si>
  <si>
    <t>JOHANNA</t>
  </si>
  <si>
    <t>PRUDENCE</t>
  </si>
  <si>
    <t>0250</t>
  </si>
  <si>
    <t>BOX SUTURES-20</t>
  </si>
  <si>
    <t>PREETHUM MAGANLAL</t>
  </si>
  <si>
    <t>MONIQUE</t>
  </si>
  <si>
    <t>Prethum Maganiall</t>
  </si>
  <si>
    <t>UITEN</t>
  </si>
  <si>
    <t>UITENHAGE</t>
  </si>
  <si>
    <t xml:space="preserve">NETCARE CUYLER                     </t>
  </si>
  <si>
    <t>MPUMELELO</t>
  </si>
  <si>
    <t>MONIQUE MOSTERT</t>
  </si>
  <si>
    <t>mpumelelo</t>
  </si>
  <si>
    <t>FUE / doc</t>
  </si>
  <si>
    <t>POD received from cell 0676995476 M</t>
  </si>
  <si>
    <t>PRETO</t>
  </si>
  <si>
    <t>PRETORIA</t>
  </si>
  <si>
    <t>KIM  GRAUSO</t>
  </si>
  <si>
    <t>PARCEL</t>
  </si>
  <si>
    <t xml:space="preserve">Durdoc Clinic                      </t>
  </si>
  <si>
    <t>JERUSHA</t>
  </si>
  <si>
    <t>jerusha</t>
  </si>
  <si>
    <t>POD received from cell 0797318730 M</t>
  </si>
  <si>
    <t xml:space="preserve">Onderstepoort Veterinary           </t>
  </si>
  <si>
    <t>THEATRE SISTER</t>
  </si>
  <si>
    <t xml:space="preserve">hi havary                     </t>
  </si>
  <si>
    <t xml:space="preserve">POD received from cell 0674000125 M     </t>
  </si>
  <si>
    <t>0110</t>
  </si>
  <si>
    <t>julian</t>
  </si>
  <si>
    <t xml:space="preserve">CAPITAL ONCOLOGY                   </t>
  </si>
  <si>
    <t>thobeka</t>
  </si>
  <si>
    <t>col</t>
  </si>
  <si>
    <t>POD received from cell 0782094127 M</t>
  </si>
  <si>
    <t>PIET1</t>
  </si>
  <si>
    <t>PIETERMARITZBURG</t>
  </si>
  <si>
    <t xml:space="preserve">Mid - Medic Pharmacy               </t>
  </si>
  <si>
    <t>Zama</t>
  </si>
  <si>
    <t>POD received from cell 0782274968 M</t>
  </si>
  <si>
    <t xml:space="preserve">Mediclinic Sandton Pharmacy        </t>
  </si>
  <si>
    <t>COMFORT PHY</t>
  </si>
  <si>
    <t xml:space="preserve">Marcus                        </t>
  </si>
  <si>
    <t xml:space="preserve">POD received from cell 0792133590 M     </t>
  </si>
  <si>
    <t xml:space="preserve">Morningside Medi Clinic Pharma     </t>
  </si>
  <si>
    <t>CONRAD</t>
  </si>
  <si>
    <t>abie</t>
  </si>
  <si>
    <t>POD received from cell 0606555504 M</t>
  </si>
  <si>
    <t xml:space="preserve">Botshilu Private Hospit            </t>
  </si>
  <si>
    <t>COLLEN</t>
  </si>
  <si>
    <t>amos</t>
  </si>
  <si>
    <t>HND / FUE / DOC</t>
  </si>
  <si>
    <t>POD received from cell 0762590272 M</t>
  </si>
  <si>
    <t>0152</t>
  </si>
  <si>
    <t>RANDB</t>
  </si>
  <si>
    <t>RANDBURG</t>
  </si>
  <si>
    <t xml:space="preserve">MMED DISTRIBUTION PTY LTD          </t>
  </si>
  <si>
    <t>KANITA</t>
  </si>
  <si>
    <t>mellisa</t>
  </si>
  <si>
    <t>POD received from cell 0681642500 M</t>
  </si>
  <si>
    <t>ELLIS</t>
  </si>
  <si>
    <t>ELLISRAS</t>
  </si>
  <si>
    <t xml:space="preserve">Mediclinic Lephalale Pharmacy      </t>
  </si>
  <si>
    <t>ELMARIE</t>
  </si>
  <si>
    <t>l prinsloo</t>
  </si>
  <si>
    <t>POD received from cell 0714831706 M</t>
  </si>
  <si>
    <t>0555</t>
  </si>
  <si>
    <t xml:space="preserve">The Surgical Institute             </t>
  </si>
  <si>
    <t>VALENCIA</t>
  </si>
  <si>
    <t>w le roux</t>
  </si>
  <si>
    <t>POD received from cell 0738726261 M</t>
  </si>
  <si>
    <t>TZANE</t>
  </si>
  <si>
    <t>TZANEEN</t>
  </si>
  <si>
    <t xml:space="preserve">Tzaneen Private Hospit             </t>
  </si>
  <si>
    <t>MARIUS</t>
  </si>
  <si>
    <t>atalia</t>
  </si>
  <si>
    <t>POD received from cell 0726120122 M</t>
  </si>
  <si>
    <t>0850</t>
  </si>
  <si>
    <t>WILMA  LANA</t>
  </si>
  <si>
    <t>lerato</t>
  </si>
  <si>
    <t xml:space="preserve">DR LECHTAPE GRUTER                 </t>
  </si>
  <si>
    <t>gruter</t>
  </si>
  <si>
    <t>POD received from cell 0658050314 M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</si>
  <si>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</si>
  <si>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</si>
  <si>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</si>
  <si>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</si>
  <si>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</si>
  <si>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 xml:space="preserve">POD received from cell 0676587615 M     </t>
  </si>
  <si>
    <t xml:space="preserve">thato                         </t>
  </si>
  <si>
    <t xml:space="preserve">POD received from cell 0665198461 M     </t>
  </si>
  <si>
    <t xml:space="preserve">andrew                        </t>
  </si>
  <si>
    <t xml:space="preserve">POD received from cell 0680792574 M     </t>
  </si>
  <si>
    <t xml:space="preserve">Jianando                      </t>
  </si>
  <si>
    <t>STEL2</t>
  </si>
  <si>
    <t>STELLENBOSCH</t>
  </si>
  <si>
    <t xml:space="preserve">Disa Med Stellenbosch              </t>
  </si>
  <si>
    <t>JUANEL</t>
  </si>
  <si>
    <t>rauni</t>
  </si>
  <si>
    <t>POD received from cell 0678518887 M</t>
  </si>
  <si>
    <t xml:space="preserve">Life Bedford Gardens Pharmacy      </t>
  </si>
  <si>
    <t>SANRIKA</t>
  </si>
  <si>
    <t xml:space="preserve">londiwe                       </t>
  </si>
  <si>
    <t xml:space="preserve">POD received from cell 0794524703 M     </t>
  </si>
  <si>
    <t xml:space="preserve">LIFE CROMPTON PHARMACY             </t>
  </si>
  <si>
    <t>HAZEL</t>
  </si>
  <si>
    <t>PARUSHA</t>
  </si>
  <si>
    <t>FLYER SUTURES-6</t>
  </si>
  <si>
    <t>RICHA</t>
  </si>
  <si>
    <t>RICHARDS BAY</t>
  </si>
  <si>
    <t xml:space="preserve">NETCARE THE BAY PHARMACY           </t>
  </si>
  <si>
    <t>MAIN THEATRE</t>
  </si>
  <si>
    <t>sharlene</t>
  </si>
  <si>
    <t>POD received from cell 0795550703 M</t>
  </si>
  <si>
    <t>UMHLA</t>
  </si>
  <si>
    <t>UMHLANGA ROCKS</t>
  </si>
  <si>
    <t xml:space="preserve">Umhlanga Veterinary Clinic         </t>
  </si>
  <si>
    <t>ADRI</t>
  </si>
  <si>
    <t xml:space="preserve">Kerry                         </t>
  </si>
  <si>
    <t>LEV</t>
  </si>
  <si>
    <t xml:space="preserve">POD received from cell 0834941426 M     </t>
  </si>
  <si>
    <t xml:space="preserve">Mediclinic Pietermaritzburg Ph     </t>
  </si>
  <si>
    <t>THEATRE</t>
  </si>
  <si>
    <t>Jermaine</t>
  </si>
  <si>
    <t>WORCE</t>
  </si>
  <si>
    <t>WORCESTER</t>
  </si>
  <si>
    <t xml:space="preserve">WC Health Worcester Hospit         </t>
  </si>
  <si>
    <t>STORES</t>
  </si>
  <si>
    <t>geraldine</t>
  </si>
  <si>
    <t>POD received from cell 0813352451 M</t>
  </si>
  <si>
    <t>SOME2</t>
  </si>
  <si>
    <t>SOMERSET WEST</t>
  </si>
  <si>
    <t xml:space="preserve">WC Health Helderberg Hospit        </t>
  </si>
  <si>
    <t>STORES-</t>
  </si>
  <si>
    <t>zanele</t>
  </si>
  <si>
    <t>POD received from cell 0622930487 M</t>
  </si>
  <si>
    <t>PAARL</t>
  </si>
  <si>
    <t xml:space="preserve">Paarl Medi Clinic                  </t>
  </si>
  <si>
    <t>PHY MANAGER</t>
  </si>
  <si>
    <t>Jesmine</t>
  </si>
  <si>
    <t>POD received from cell 0671392487 M</t>
  </si>
  <si>
    <t>Prudence</t>
  </si>
  <si>
    <t>POD received from cell 0790934153 M</t>
  </si>
  <si>
    <t>Box Sutures-8</t>
  </si>
  <si>
    <t xml:space="preserve">Fernridge Veterinary Clinic        </t>
  </si>
  <si>
    <t>MARINA</t>
  </si>
  <si>
    <t xml:space="preserve">Z rassool                     </t>
  </si>
  <si>
    <t>TONGA</t>
  </si>
  <si>
    <t>TONGAAT</t>
  </si>
  <si>
    <t xml:space="preserve">RIBUMED BALLITO DAY HOSPITAL       </t>
  </si>
  <si>
    <t>DARNELL</t>
  </si>
  <si>
    <t>Gumede</t>
  </si>
  <si>
    <t>POD received from cell 0634863182 M</t>
  </si>
  <si>
    <t xml:space="preserve">STELLENBOSCH DIEREHOSPITAAL        </t>
  </si>
  <si>
    <t>NATASHA</t>
  </si>
  <si>
    <t>l erasman</t>
  </si>
  <si>
    <t>RUSTE</t>
  </si>
  <si>
    <t>RUSTENBURG</t>
  </si>
  <si>
    <t xml:space="preserve">Life Peglerae Hospit               </t>
  </si>
  <si>
    <t>SONIQUE</t>
  </si>
  <si>
    <t>Johanna</t>
  </si>
  <si>
    <t>POD received from cell 0729194064 M</t>
  </si>
  <si>
    <t>0300</t>
  </si>
  <si>
    <t>BENON</t>
  </si>
  <si>
    <t>BENONI</t>
  </si>
  <si>
    <t xml:space="preserve">MMC BENONI DAY HOSPITAL            </t>
  </si>
  <si>
    <t xml:space="preserve">salmaam                       </t>
  </si>
  <si>
    <t xml:space="preserve">POD received from cell 0833424224 M     </t>
  </si>
  <si>
    <t>NELSP</t>
  </si>
  <si>
    <t>NELSPRUIT</t>
  </si>
  <si>
    <t xml:space="preserve">MEDICLINIC NELSPRUIT               </t>
  </si>
  <si>
    <t>sibusiso</t>
  </si>
  <si>
    <t>POD received from cell 0647756476 M</t>
  </si>
  <si>
    <t xml:space="preserve">VICTORIA PRIVATE Hospit            </t>
  </si>
  <si>
    <t>SELENA</t>
  </si>
  <si>
    <t>hilda</t>
  </si>
  <si>
    <t>POD received from cell 0822044652 M</t>
  </si>
  <si>
    <t>BOX SUTURES-18</t>
  </si>
  <si>
    <t xml:space="preserve">DR S NDONGENI                      </t>
  </si>
  <si>
    <t>DR NDONGENI</t>
  </si>
  <si>
    <t>Annete</t>
  </si>
  <si>
    <t>POD received from cell 0682118246 M</t>
  </si>
  <si>
    <t>kedi</t>
  </si>
  <si>
    <t xml:space="preserve">BOX MEDI                      </t>
  </si>
  <si>
    <t>KEMPT</t>
  </si>
  <si>
    <t>KEMPTON PARK</t>
  </si>
  <si>
    <t xml:space="preserve">The Cupboard Group                 </t>
  </si>
  <si>
    <t>DELIA</t>
  </si>
  <si>
    <t>Golden</t>
  </si>
  <si>
    <t>POD received from cell 0837323487 M</t>
  </si>
  <si>
    <t xml:space="preserve">SKYNET DURBAN  DEPOT               </t>
  </si>
  <si>
    <t>Prethum</t>
  </si>
  <si>
    <t xml:space="preserve">FLYER ME                      </t>
  </si>
  <si>
    <t xml:space="preserve">Netcare St Anne s Hospital         </t>
  </si>
  <si>
    <t>SELWYN VAN WYK</t>
  </si>
  <si>
    <t>Selwyn</t>
  </si>
  <si>
    <t xml:space="preserve">VINDMED MEDICAL SUPPLIES           </t>
  </si>
  <si>
    <t>Abey</t>
  </si>
  <si>
    <t>POD received from cell 0736327910 M</t>
  </si>
  <si>
    <t>0002</t>
  </si>
  <si>
    <t>BOIX SUTURES-18</t>
  </si>
  <si>
    <t xml:space="preserve">Shirnel Clinic cc                  </t>
  </si>
  <si>
    <t>SR JULIE COLEMAN</t>
  </si>
  <si>
    <t>ashleigh</t>
  </si>
  <si>
    <t>DOC / FUE</t>
  </si>
  <si>
    <t>POD received from cell 0810709670 M</t>
  </si>
  <si>
    <t xml:space="preserve">LYNS VET SUPPLIES                  </t>
  </si>
  <si>
    <t>LYN</t>
  </si>
  <si>
    <t>d  sheny</t>
  </si>
  <si>
    <t>BOX SUTURES-11</t>
  </si>
  <si>
    <t xml:space="preserve">OPTISMILE INCORPORATE -PIA         </t>
  </si>
  <si>
    <t>OPTISMILE INCORPORATE -PI</t>
  </si>
  <si>
    <t>ryan</t>
  </si>
  <si>
    <t xml:space="preserve">Medi Clinic Stllenbosch Phy        </t>
  </si>
  <si>
    <t>ASHLEY</t>
  </si>
  <si>
    <t xml:space="preserve">romano                        </t>
  </si>
  <si>
    <t xml:space="preserve">POD received from cell 0622930487 M     </t>
  </si>
  <si>
    <t>FLYER SUTURES- 4</t>
  </si>
  <si>
    <t>VEREE</t>
  </si>
  <si>
    <t>VEREENIGING</t>
  </si>
  <si>
    <t xml:space="preserve">Midvaal Private Hospit             </t>
  </si>
  <si>
    <t xml:space="preserve">Curtley                       </t>
  </si>
  <si>
    <t xml:space="preserve">POD received from cell 0711711010 M     </t>
  </si>
  <si>
    <t xml:space="preserve">Naledi Nkayezi - Sebokeng Clin     </t>
  </si>
  <si>
    <t>MR MODISE</t>
  </si>
  <si>
    <t>MERRIAM</t>
  </si>
  <si>
    <t>POD received from cell 0671007064 M</t>
  </si>
  <si>
    <t>FLYER SUTURES-01</t>
  </si>
  <si>
    <t xml:space="preserve">Zuid Afrikaanse Hospit             </t>
  </si>
  <si>
    <t>NEL MARE</t>
  </si>
  <si>
    <t xml:space="preserve">Lehlogonolo  Pharmacy         </t>
  </si>
  <si>
    <t xml:space="preserve">POD received from cell 0727824353 M     </t>
  </si>
  <si>
    <t xml:space="preserve">DR RHOODIE GARRANA                 </t>
  </si>
  <si>
    <t>MARY SUE</t>
  </si>
  <si>
    <t>mary</t>
  </si>
  <si>
    <t>ATH</t>
  </si>
  <si>
    <t>POD received from cell 0633582242 M</t>
  </si>
  <si>
    <t xml:space="preserve">Ramsem EdmsBpk                     </t>
  </si>
  <si>
    <t>Mandy</t>
  </si>
  <si>
    <t>VICKY</t>
  </si>
  <si>
    <t>Box Sutures</t>
  </si>
  <si>
    <t xml:space="preserve">Andrew                        </t>
  </si>
  <si>
    <t xml:space="preserve">Intercare Hazeldean                </t>
  </si>
  <si>
    <t>SR ANNETT</t>
  </si>
  <si>
    <t>Julia</t>
  </si>
  <si>
    <t>POD received from cell 0733510012 M</t>
  </si>
  <si>
    <t>ROODE</t>
  </si>
  <si>
    <t>ROODEPOORT</t>
  </si>
  <si>
    <t xml:space="preserve">DR F MAREE AN ASSOCIATES           </t>
  </si>
  <si>
    <t xml:space="preserve">maree                         </t>
  </si>
  <si>
    <t xml:space="preserve">POD received from cell 0783211209 M     </t>
  </si>
  <si>
    <t xml:space="preserve">WILGERS HOSPITAL                   </t>
  </si>
  <si>
    <t>ANITA SEEGER</t>
  </si>
  <si>
    <t>K Mogale</t>
  </si>
  <si>
    <t>ppm</t>
  </si>
  <si>
    <t>POD received from cell 0751320604 M</t>
  </si>
  <si>
    <t>0001</t>
  </si>
  <si>
    <t>EAST</t>
  </si>
  <si>
    <t>EAST LONDON</t>
  </si>
  <si>
    <t xml:space="preserve">ST DOMINICS DISPENSARY             </t>
  </si>
  <si>
    <t>BRETT KRIEL</t>
  </si>
  <si>
    <t>ODWA</t>
  </si>
  <si>
    <t>POD received from cell 0732794063 M</t>
  </si>
  <si>
    <t>BRAKP</t>
  </si>
  <si>
    <t>BRAKPAN</t>
  </si>
  <si>
    <t xml:space="preserve">Dalview Dispensary                 </t>
  </si>
  <si>
    <t>L MAGODLA</t>
  </si>
  <si>
    <t xml:space="preserve">selma                         </t>
  </si>
  <si>
    <t>mmd</t>
  </si>
  <si>
    <t xml:space="preserve">                                        </t>
  </si>
  <si>
    <t xml:space="preserve">Wilgeheuwel Hospit PHY             </t>
  </si>
  <si>
    <t>M.PUTTERIL</t>
  </si>
  <si>
    <t>Azwindini Malange</t>
  </si>
  <si>
    <t>FLYER SUTURES</t>
  </si>
  <si>
    <t>PORT3</t>
  </si>
  <si>
    <t>PORT ELIZABETH</t>
  </si>
  <si>
    <t xml:space="preserve">EDGE DAY HOPITAL                   </t>
  </si>
  <si>
    <t xml:space="preserve">jamie                         </t>
  </si>
  <si>
    <t xml:space="preserve">POD received from cell 0634843728 M     </t>
  </si>
  <si>
    <t xml:space="preserve">CENTRAL UNION MEDICAL SUPPLIES     </t>
  </si>
  <si>
    <t>ELEGIBLE</t>
  </si>
  <si>
    <t>BOX SUTURES</t>
  </si>
  <si>
    <t>David</t>
  </si>
  <si>
    <t xml:space="preserve">Vetscape                           </t>
  </si>
  <si>
    <t>NINA</t>
  </si>
  <si>
    <t>beth</t>
  </si>
  <si>
    <t>JUH</t>
  </si>
  <si>
    <t>POD received from cell 0737385729 M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</si>
  <si>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</si>
  <si>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</si>
  <si>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</si>
  <si>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</si>
  <si>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</si>
  <si>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</si>
  <si>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bianca</t>
  </si>
  <si>
    <t>MOSSE</t>
  </si>
  <si>
    <t>MOSSEL BAY</t>
  </si>
  <si>
    <t xml:space="preserve">LIFE BAYVIEW Hospit                </t>
  </si>
  <si>
    <t>T.LABUSCHAGNE</t>
  </si>
  <si>
    <t>ALWYNA</t>
  </si>
  <si>
    <t>FLYER SUTURES-</t>
  </si>
  <si>
    <t xml:space="preserve">Dr Hans Van Heerden                </t>
  </si>
  <si>
    <t>nadia</t>
  </si>
  <si>
    <t xml:space="preserve">GABLER                             </t>
  </si>
  <si>
    <t xml:space="preserve">GOBLER MEDICAL                     </t>
  </si>
  <si>
    <t>LEVENE</t>
  </si>
  <si>
    <t>patricia</t>
  </si>
  <si>
    <t>KM GRAUSO</t>
  </si>
  <si>
    <t xml:space="preserve">DR MA HENRY AND ASSOCIATED NO1     </t>
  </si>
  <si>
    <t>AZIZA</t>
  </si>
  <si>
    <t xml:space="preserve">Aziza                         </t>
  </si>
  <si>
    <t xml:space="preserve">POD received from cell 0735647467 M     </t>
  </si>
  <si>
    <t xml:space="preserve">DR A G KEPLER                      </t>
  </si>
  <si>
    <t>LEEANNE</t>
  </si>
  <si>
    <t xml:space="preserve">fatima                        </t>
  </si>
  <si>
    <t xml:space="preserve">POD received from cell 0635252784 M     </t>
  </si>
  <si>
    <t xml:space="preserve">Questmed Clinix Lesedi             </t>
  </si>
  <si>
    <t>LEE</t>
  </si>
  <si>
    <t>samke</t>
  </si>
  <si>
    <t>080064188515</t>
  </si>
  <si>
    <t xml:space="preserve">Medicentre Pharmacy City Hospi     </t>
  </si>
  <si>
    <t>freedom</t>
  </si>
  <si>
    <t>FLYER SUTURE-4</t>
  </si>
  <si>
    <t xml:space="preserve">Judel                         </t>
  </si>
  <si>
    <t xml:space="preserve">POD received from cell 0713186291 M     </t>
  </si>
  <si>
    <t xml:space="preserve">Job Shimankana Tabane              </t>
  </si>
  <si>
    <t>TMEBELIHLE</t>
  </si>
  <si>
    <t>pama aviwe</t>
  </si>
  <si>
    <t xml:space="preserve">Tshwane District Hospit            </t>
  </si>
  <si>
    <t>Samuel</t>
  </si>
  <si>
    <t>POD received from cell 0677913598 M</t>
  </si>
  <si>
    <t xml:space="preserve">WC HEALTH PAARL Hospit             </t>
  </si>
  <si>
    <t>MRS M LUDICK</t>
  </si>
  <si>
    <t>n September</t>
  </si>
  <si>
    <t>POD received from cell 0844433687 M</t>
  </si>
  <si>
    <t xml:space="preserve">Mediclinic Vergelegen Pharmacy     </t>
  </si>
  <si>
    <t>THE PHARMACIST</t>
  </si>
  <si>
    <t xml:space="preserve">William                       </t>
  </si>
  <si>
    <t>SUJETH</t>
  </si>
  <si>
    <t xml:space="preserve">BOX MED                       </t>
  </si>
  <si>
    <t xml:space="preserve">AJ MURPHY FLOWERS PTY LTD          </t>
  </si>
  <si>
    <t>JACORI</t>
  </si>
  <si>
    <t>TONY</t>
  </si>
  <si>
    <t>LERATO</t>
  </si>
  <si>
    <t>Thabo</t>
  </si>
  <si>
    <t xml:space="preserve">TEMBISA HOSPITAL                   </t>
  </si>
  <si>
    <t>SIMON</t>
  </si>
  <si>
    <t>PROGRESS</t>
  </si>
  <si>
    <t xml:space="preserve">BLOEMFONTEIN NATIONAL DISTRICT     </t>
  </si>
  <si>
    <t>SUPPLY CHAIN</t>
  </si>
  <si>
    <t>Paulos</t>
  </si>
  <si>
    <t>POD received from cell 0738269435 M</t>
  </si>
  <si>
    <t xml:space="preserve">BLOEMFONTEIN CHC HEIDEDAL          </t>
  </si>
  <si>
    <t>Johnston</t>
  </si>
  <si>
    <t>POD received from cell 0833639682 M</t>
  </si>
  <si>
    <t xml:space="preserve">Fordsburg Clinic Ltd               </t>
  </si>
  <si>
    <t>WINNIW</t>
  </si>
  <si>
    <t xml:space="preserve">Zarina                        </t>
  </si>
  <si>
    <t xml:space="preserve">POD received from cell 0834177790 M     </t>
  </si>
  <si>
    <t xml:space="preserve">Imvula Healthcare Logistics        </t>
  </si>
  <si>
    <t>alice</t>
  </si>
  <si>
    <t xml:space="preserve">Pelonomi Hospit                    </t>
  </si>
  <si>
    <t>MR J COMBRINK</t>
  </si>
  <si>
    <t>Teboho</t>
  </si>
  <si>
    <t xml:space="preserve">MILNERS DENTAL SUPPLIES            </t>
  </si>
  <si>
    <t>RASHIED</t>
  </si>
  <si>
    <t xml:space="preserve">Lizel                         </t>
  </si>
  <si>
    <t xml:space="preserve">POD received from cell 0603198585 M     </t>
  </si>
  <si>
    <t>M MOSTERT</t>
  </si>
  <si>
    <t>K Beron</t>
  </si>
  <si>
    <t xml:space="preserve">DURDOC CLINIC                      </t>
  </si>
  <si>
    <t>CJHRISTINA</t>
  </si>
  <si>
    <t>JEFFREY JACOBS</t>
  </si>
  <si>
    <t>irvan</t>
  </si>
  <si>
    <t xml:space="preserve">VETSCAPE                           </t>
  </si>
  <si>
    <t xml:space="preserve">LESLIE WILLIAMS PRIVATE HOSPIT     </t>
  </si>
  <si>
    <t xml:space="preserve">DURBANVILLE VET                    </t>
  </si>
  <si>
    <t>SR JANET</t>
  </si>
  <si>
    <t>Shirley</t>
  </si>
  <si>
    <t xml:space="preserve">MEDICLINIC VERGELEGEN PHARMACY     </t>
  </si>
  <si>
    <t>william</t>
  </si>
  <si>
    <t xml:space="preserve">MEDICLINIC LIMPOPO                 </t>
  </si>
  <si>
    <t xml:space="preserve">MEULEN PHARMACY                    </t>
  </si>
  <si>
    <t>BOX SUTURES-27</t>
  </si>
  <si>
    <t>BIANKA</t>
  </si>
  <si>
    <t xml:space="preserve">SKYNET PORT ELIZABETH              </t>
  </si>
  <si>
    <t>ANDREW</t>
  </si>
  <si>
    <t>SONIA</t>
  </si>
  <si>
    <t>Outlying delivery location</t>
  </si>
  <si>
    <t>RRM</t>
  </si>
  <si>
    <t xml:space="preserve">Life Pelerae   Peglerae Clinic     </t>
  </si>
  <si>
    <t>Andre de Beer</t>
  </si>
  <si>
    <t>GELUK</t>
  </si>
  <si>
    <t>GELUKWAARTS</t>
  </si>
  <si>
    <t xml:space="preserve">Netcare Kroon Pharma               </t>
  </si>
  <si>
    <t>MAIN PHY</t>
  </si>
  <si>
    <t>WILLIE</t>
  </si>
  <si>
    <t xml:space="preserve">Urology Hospit Pharma              </t>
  </si>
  <si>
    <t>CHARMAINE</t>
  </si>
  <si>
    <t>Kenneth  Pharmacy</t>
  </si>
  <si>
    <t>POD received from cell 0727824353 M</t>
  </si>
  <si>
    <t xml:space="preserve">Life Wilgers Hospital              </t>
  </si>
  <si>
    <t>ANITA</t>
  </si>
  <si>
    <t>solomon</t>
  </si>
  <si>
    <t>POD received from cell 0645503437 M</t>
  </si>
  <si>
    <t>0081</t>
  </si>
  <si>
    <t xml:space="preserve">Netcare Rosebank PHY               </t>
  </si>
  <si>
    <t>shaquclle</t>
  </si>
  <si>
    <t>POD received from cell 0697486889 M</t>
  </si>
  <si>
    <t xml:space="preserve">SIGNED                        </t>
  </si>
  <si>
    <t xml:space="preserve">Chem-Med                           </t>
  </si>
  <si>
    <t>MANDY</t>
  </si>
  <si>
    <t>Bruce</t>
  </si>
  <si>
    <t>POD received from cell 0769518219 M</t>
  </si>
  <si>
    <t>Phy</t>
  </si>
  <si>
    <t xml:space="preserve">ROYAL BUFFALO SPECIALIST HOSPI     </t>
  </si>
  <si>
    <t>SIVUYILE</t>
  </si>
  <si>
    <t>BOX SUTURES-9</t>
  </si>
  <si>
    <t xml:space="preserve">AHMED Al-Kadi Private Hospital     </t>
  </si>
  <si>
    <t>CASSIM</t>
  </si>
  <si>
    <t>M Kozain</t>
  </si>
  <si>
    <t xml:space="preserve">Cape Gate Hospit Pharma            </t>
  </si>
  <si>
    <t>taariq</t>
  </si>
  <si>
    <t>POD received from cell 0842084217 M</t>
  </si>
  <si>
    <t>M STRAUSS</t>
  </si>
  <si>
    <t>Nceba</t>
  </si>
  <si>
    <t>POD received from cell 0676587615 M</t>
  </si>
  <si>
    <t>FLYER MED EQUIPMEN</t>
  </si>
  <si>
    <t xml:space="preserve">DR C CONDIE   ASSOCIATES           </t>
  </si>
  <si>
    <t>MARIA</t>
  </si>
  <si>
    <t xml:space="preserve">DORAH                         </t>
  </si>
  <si>
    <t xml:space="preserve">DR JA VAN DER MERWE                </t>
  </si>
  <si>
    <t>lisa</t>
  </si>
  <si>
    <t>POD received from cell 06829775639 M</t>
  </si>
  <si>
    <t xml:space="preserve">Bergbos Dierekliniek               </t>
  </si>
  <si>
    <t xml:space="preserve">hette                         </t>
  </si>
  <si>
    <t xml:space="preserve">POD received from cell 0781730799 M     </t>
  </si>
  <si>
    <t>Stefan</t>
  </si>
  <si>
    <t>KIMBE</t>
  </si>
  <si>
    <t>KIMBERLEY</t>
  </si>
  <si>
    <t xml:space="preserve">DR JD POTGIETER                    </t>
  </si>
  <si>
    <t>DANEL</t>
  </si>
  <si>
    <t>m laubser</t>
  </si>
  <si>
    <t xml:space="preserve">OAKFIELDS VETERINARY HOSPITAL      </t>
  </si>
  <si>
    <t>lindsey</t>
  </si>
  <si>
    <t>POD received from cell 0657463931 M</t>
  </si>
  <si>
    <t xml:space="preserve">Surgical Systems                   </t>
  </si>
  <si>
    <t>ABBY</t>
  </si>
  <si>
    <t>Clint</t>
  </si>
  <si>
    <t>POD received from cell 0738058187 M</t>
  </si>
  <si>
    <t>BOX SUTURES-15</t>
  </si>
  <si>
    <t xml:space="preserve">JADEL                         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</si>
  <si>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</si>
  <si>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</si>
  <si>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</si>
  <si>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</si>
  <si>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</si>
  <si>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</si>
  <si>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 xml:space="preserve">Northdale Hospit                   </t>
  </si>
  <si>
    <t>MRS NAIDOO</t>
  </si>
  <si>
    <t>famaya</t>
  </si>
  <si>
    <t xml:space="preserve">St Georges Hospit                  </t>
  </si>
  <si>
    <t>MR LARO</t>
  </si>
  <si>
    <t>orgezwa</t>
  </si>
  <si>
    <t>POD received from cell 0634843728 M</t>
  </si>
  <si>
    <t>SASOL</t>
  </si>
  <si>
    <t>SASOLBURG</t>
  </si>
  <si>
    <t xml:space="preserve">ER MEDICAL                         </t>
  </si>
  <si>
    <t>LYNN</t>
  </si>
  <si>
    <t>lynn</t>
  </si>
  <si>
    <t>POD received from cell 0781810800 M</t>
  </si>
  <si>
    <t>JESSICA</t>
  </si>
  <si>
    <t>POD received from cell 0814411638 M</t>
  </si>
  <si>
    <t xml:space="preserve">Pretoria East Hospit               </t>
  </si>
  <si>
    <t>GERARD</t>
  </si>
  <si>
    <t>PHILANI</t>
  </si>
  <si>
    <t>POD received from cell 0665269457 M</t>
  </si>
  <si>
    <t>0044</t>
  </si>
  <si>
    <t xml:space="preserve">ZODIAC DIEREKLINIEK BK             </t>
  </si>
  <si>
    <t>DR SCHEEPERS</t>
  </si>
  <si>
    <t xml:space="preserve">thamia                        </t>
  </si>
  <si>
    <t xml:space="preserve">Box Sutu                      </t>
  </si>
  <si>
    <t xml:space="preserve">R503 MOSIANE VIEW                  </t>
  </si>
  <si>
    <t>Phemelo</t>
  </si>
  <si>
    <t>rna</t>
  </si>
  <si>
    <t xml:space="preserve">King Dinuzulu Hospit               </t>
  </si>
  <si>
    <t>thanda</t>
  </si>
  <si>
    <t>lev</t>
  </si>
  <si>
    <t>POD received from cell 0677447083 M</t>
  </si>
  <si>
    <t xml:space="preserve">LETABA HOSPITAL                    </t>
  </si>
  <si>
    <t>muhlari vurens</t>
  </si>
  <si>
    <t>liv</t>
  </si>
  <si>
    <t>POD received from cell 0729380892 M</t>
  </si>
  <si>
    <t>ALBE2</t>
  </si>
  <si>
    <t>ALBERTON</t>
  </si>
  <si>
    <t xml:space="preserve">NETCARE ALBERTON HOSPITAL          </t>
  </si>
  <si>
    <t>SAMMY</t>
  </si>
  <si>
    <t>shylock</t>
  </si>
  <si>
    <t>POD received from cell 0729700990 M</t>
  </si>
  <si>
    <t>POD received from cell 0828359675 M</t>
  </si>
  <si>
    <t xml:space="preserve">Netcare Lakeview Pharma            </t>
  </si>
  <si>
    <t>Dumisani</t>
  </si>
  <si>
    <t>POD received from cell 0718195095 M</t>
  </si>
  <si>
    <t xml:space="preserve">LIFE FLORA PHARMACY                </t>
  </si>
  <si>
    <t>PHIA</t>
  </si>
  <si>
    <t>sithembile</t>
  </si>
  <si>
    <t>BSN</t>
  </si>
  <si>
    <t>POD received from cell 0783211209 M</t>
  </si>
  <si>
    <t xml:space="preserve">NETCARE POLOKWANE                  </t>
  </si>
  <si>
    <t>martina</t>
  </si>
  <si>
    <t>AMELIA</t>
  </si>
  <si>
    <t>POD received from cell 0849215600 M</t>
  </si>
  <si>
    <t>christerpher</t>
  </si>
  <si>
    <t xml:space="preserve">Impala Platinum Mines              </t>
  </si>
  <si>
    <t>LINDA</t>
  </si>
  <si>
    <t>Leonard</t>
  </si>
  <si>
    <t>POD received from cell 0815439717 M</t>
  </si>
  <si>
    <t>Tumiso  Pharmacy</t>
  </si>
  <si>
    <t>WESSELS</t>
  </si>
  <si>
    <t>Suture Samples</t>
  </si>
  <si>
    <t>Leven</t>
  </si>
  <si>
    <t>LOLETTA</t>
  </si>
  <si>
    <t>Jamie</t>
  </si>
  <si>
    <t xml:space="preserve">Life Dalview Pharmacy              </t>
  </si>
  <si>
    <t>LUYANDA</t>
  </si>
  <si>
    <t>constance</t>
  </si>
  <si>
    <t>POD received from cell 0721374919 M</t>
  </si>
  <si>
    <t>KENNETH</t>
  </si>
  <si>
    <t xml:space="preserve">Netcare Akasia Hospit Phy          </t>
  </si>
  <si>
    <t>Sibusiso</t>
  </si>
  <si>
    <t>POD received from cell 0720506267 M</t>
  </si>
  <si>
    <t>0182</t>
  </si>
  <si>
    <t>William</t>
  </si>
  <si>
    <t>POD received from cell 0722601650 M</t>
  </si>
  <si>
    <t xml:space="preserve">LIFE CHATSMED GARDEN  PHY          </t>
  </si>
  <si>
    <t>VENUSHA</t>
  </si>
  <si>
    <t>pricilla</t>
  </si>
  <si>
    <t>POD received from cell 0832797874 M</t>
  </si>
  <si>
    <t>TANIA</t>
  </si>
  <si>
    <t>Redirect waybill on waybill nu</t>
  </si>
  <si>
    <t>Redirect waybill on waybill number RGAB2</t>
  </si>
  <si>
    <t>STILF</t>
  </si>
  <si>
    <t>STILFONTEIN</t>
  </si>
  <si>
    <t xml:space="preserve">LIFE ANNCRON PHARMARCY             </t>
  </si>
  <si>
    <t>ANNECKE</t>
  </si>
  <si>
    <t>lebo</t>
  </si>
  <si>
    <t>POD received from cell 0764111080 M</t>
  </si>
  <si>
    <t>FLUYER SUTURES-1</t>
  </si>
  <si>
    <t xml:space="preserve">LIFE MOUNT EDGECOMBE               </t>
  </si>
  <si>
    <t>PRISANTHA</t>
  </si>
  <si>
    <t>nikitha</t>
  </si>
  <si>
    <t>POD received from cell 0747692124 M</t>
  </si>
  <si>
    <t xml:space="preserve">Glynwood Hospit                    </t>
  </si>
  <si>
    <t>ANDREA</t>
  </si>
  <si>
    <t>Michael</t>
  </si>
  <si>
    <t>POD received from cell 0817257646 M</t>
  </si>
  <si>
    <t xml:space="preserve">LIFE BEACON BAY PHARMACY           </t>
  </si>
  <si>
    <t>JENNY</t>
  </si>
  <si>
    <t xml:space="preserve">nick                          </t>
  </si>
  <si>
    <t xml:space="preserve">POD received from cell 0645575004 M     </t>
  </si>
  <si>
    <t xml:space="preserve">Arwyp Medical Cntr                 </t>
  </si>
  <si>
    <t>COLLEEN</t>
  </si>
  <si>
    <t xml:space="preserve">Petrus                        </t>
  </si>
  <si>
    <t xml:space="preserve">POD received from cell 0810248653 M     </t>
  </si>
  <si>
    <t xml:space="preserve">Life St Dominics Hospital          </t>
  </si>
  <si>
    <t>BRETT</t>
  </si>
  <si>
    <t>odwa</t>
  </si>
  <si>
    <t>POD received from cell 0780568122 M</t>
  </si>
  <si>
    <t xml:space="preserve">LIFE BAYVIEW HOSPIT                </t>
  </si>
  <si>
    <t>TRACEY COETZEE</t>
  </si>
  <si>
    <t>KIM GRAUSO</t>
  </si>
  <si>
    <t>MOSTERT</t>
  </si>
  <si>
    <t>Reuben</t>
  </si>
  <si>
    <t xml:space="preserve">LIFE BAYVIEW PRIVATE HOSPITAL      </t>
  </si>
  <si>
    <t>Tania</t>
  </si>
  <si>
    <t>Melissa</t>
  </si>
  <si>
    <t>POD received from cell 0847800788 M</t>
  </si>
  <si>
    <t>Flyer Sutures-4</t>
  </si>
  <si>
    <t>Brett</t>
  </si>
  <si>
    <t>Flyer Sutures-1</t>
  </si>
  <si>
    <t>Hushendree</t>
  </si>
  <si>
    <t>timot</t>
  </si>
  <si>
    <t>jlc</t>
  </si>
  <si>
    <t>POD received from cell 0720423360 M</t>
  </si>
  <si>
    <t>Flyer Sutures-2</t>
  </si>
  <si>
    <t>SPRI3</t>
  </si>
  <si>
    <t>SPRINGS</t>
  </si>
  <si>
    <t xml:space="preserve">Netcare N17 Pharma                 </t>
  </si>
  <si>
    <t>nomsa</t>
  </si>
  <si>
    <t>POD received from cell 0609039667 M</t>
  </si>
  <si>
    <t>Fiyer Sutures-1</t>
  </si>
  <si>
    <t xml:space="preserve">CURE DAY HOSPITALS FORESHORE       </t>
  </si>
  <si>
    <t>S rawbel</t>
  </si>
  <si>
    <t>POD received from cell 0814169974 M</t>
  </si>
  <si>
    <t>Flyer Sutures1</t>
  </si>
  <si>
    <t>Ninette</t>
  </si>
  <si>
    <t>lebogang</t>
  </si>
  <si>
    <t>dun</t>
  </si>
  <si>
    <t>Bessie</t>
  </si>
  <si>
    <t>allison</t>
  </si>
  <si>
    <t>Dr Ndongeni</t>
  </si>
  <si>
    <t xml:space="preserve">Lynette                       </t>
  </si>
  <si>
    <t xml:space="preserve">POD received from cell 0682118246 M     </t>
  </si>
  <si>
    <t xml:space="preserve">Valley Farm Animal Hospit          </t>
  </si>
  <si>
    <t>MELISSA</t>
  </si>
  <si>
    <t>Lebogang</t>
  </si>
  <si>
    <t>POD received from cell 0616751081 M</t>
  </si>
  <si>
    <t>0043</t>
  </si>
  <si>
    <t>Bridget</t>
  </si>
  <si>
    <t>BOX SUTURES-7</t>
  </si>
  <si>
    <t>M COOK</t>
  </si>
  <si>
    <t xml:space="preserve">Netcare Jakaranda Hospital         </t>
  </si>
  <si>
    <t>Main Theatre</t>
  </si>
  <si>
    <t>MAPONYA</t>
  </si>
  <si>
    <t>Flyer Sutures-5</t>
  </si>
  <si>
    <t xml:space="preserve">Romeo                         </t>
  </si>
  <si>
    <t>vincent</t>
  </si>
  <si>
    <t xml:space="preserve">Milnerton Medi Clinic Pharma       </t>
  </si>
  <si>
    <t>SARAH</t>
  </si>
  <si>
    <t>songezo</t>
  </si>
  <si>
    <t>Samke</t>
  </si>
  <si>
    <t>POD received from cell 0659582805 M</t>
  </si>
  <si>
    <t>Lee-ann</t>
  </si>
  <si>
    <t>POD received from cell 0736418208 M</t>
  </si>
  <si>
    <t>Hana</t>
  </si>
  <si>
    <t>POD received from cell 0781730799 M</t>
  </si>
  <si>
    <t xml:space="preserve">Life Westville Hospital Phy        </t>
  </si>
  <si>
    <t>ANUSHA</t>
  </si>
  <si>
    <t>Wiseman</t>
  </si>
  <si>
    <t>PAUL</t>
  </si>
  <si>
    <t>POD received from cell 0670807916 M</t>
  </si>
  <si>
    <t xml:space="preserve">CURE DAY HOSPITAL EAST LONDON      </t>
  </si>
  <si>
    <t xml:space="preserve">sibusiso                      </t>
  </si>
  <si>
    <t xml:space="preserve">.                                  </t>
  </si>
  <si>
    <t>SONIA  PHILLIPS</t>
  </si>
  <si>
    <t>Mark phillips</t>
  </si>
  <si>
    <t>POD received from cell 0817078010 M</t>
  </si>
  <si>
    <t>BRENTON</t>
  </si>
  <si>
    <t xml:space="preserve">UMFAZI UNITED PTY LTD              </t>
  </si>
  <si>
    <t>Lorenzo</t>
  </si>
  <si>
    <t>POD received from cell 0720457394 M</t>
  </si>
  <si>
    <t xml:space="preserve">Box Med                       </t>
  </si>
  <si>
    <t>GIYAN</t>
  </si>
  <si>
    <t>GIYANI</t>
  </si>
  <si>
    <t xml:space="preserve">Tshilidzini Hospital               </t>
  </si>
  <si>
    <t>masondo</t>
  </si>
  <si>
    <t>POD received from cell 0716855016 M</t>
  </si>
  <si>
    <t>0945</t>
  </si>
  <si>
    <t xml:space="preserve">Netcare Kuilsriver Hospital Ma     </t>
  </si>
  <si>
    <t>RIAN</t>
  </si>
  <si>
    <t xml:space="preserve">Zubaidah                      </t>
  </si>
  <si>
    <t xml:space="preserve">POD received from cell 0749349281 M     </t>
  </si>
  <si>
    <t>frantz</t>
  </si>
  <si>
    <t>POD received from cell 0719539417 M</t>
  </si>
  <si>
    <t>DENNI</t>
  </si>
  <si>
    <t>DENNILTON</t>
  </si>
  <si>
    <t xml:space="preserve">Philadelphia Hospit                </t>
  </si>
  <si>
    <t>Philadelphia Hospital B Seete</t>
  </si>
  <si>
    <t>POD received from cell 0620675127 M</t>
  </si>
  <si>
    <t xml:space="preserve">Dr Harry Suitie Hospital           </t>
  </si>
  <si>
    <t>CLIVE</t>
  </si>
  <si>
    <t>POD received from cell 0661883779 M</t>
  </si>
  <si>
    <t>maphosa</t>
  </si>
  <si>
    <t>POD received from cell 0799807542 M</t>
  </si>
  <si>
    <t xml:space="preserve">mglgoith                      </t>
  </si>
  <si>
    <t xml:space="preserve">POD received from cell 0781810800 M     </t>
  </si>
  <si>
    <t xml:space="preserve">FLYER SU                      </t>
  </si>
  <si>
    <t>STELLA</t>
  </si>
  <si>
    <t>Lehlogonolo  Pharmacy</t>
  </si>
  <si>
    <t xml:space="preserve">BUSAMED LOWVELD PRIVATE HOSPIT     </t>
  </si>
  <si>
    <t>THEMBA</t>
  </si>
  <si>
    <t>Aaron</t>
  </si>
  <si>
    <t xml:space="preserve">Kalafong Hospit                    </t>
  </si>
  <si>
    <t>Tiro</t>
  </si>
  <si>
    <t>POD received from cell 0711790907 M</t>
  </si>
  <si>
    <t>0008</t>
  </si>
  <si>
    <t>BOTS1</t>
  </si>
  <si>
    <t>BOTSWANA (GABARONE)</t>
  </si>
  <si>
    <t xml:space="preserve">LIFE GABERONE PVT HOSPITAL         </t>
  </si>
  <si>
    <t>IBC</t>
  </si>
  <si>
    <t>TOLASA</t>
  </si>
  <si>
    <t>mkh</t>
  </si>
  <si>
    <t>CDC</t>
  </si>
  <si>
    <t>GABO</t>
  </si>
  <si>
    <t xml:space="preserve">MOVE ANALYTICS CC - GABLER MED     </t>
  </si>
  <si>
    <t xml:space="preserve">Life bay view private hospital     </t>
  </si>
  <si>
    <t>UMTAT</t>
  </si>
  <si>
    <t>UMTATA</t>
  </si>
  <si>
    <t xml:space="preserve">LIFE ST MARY S PRIVATE HOSPITA     </t>
  </si>
  <si>
    <t>LANDE</t>
  </si>
  <si>
    <t xml:space="preserve">Mediclinic Stellenbosch Pharma     </t>
  </si>
  <si>
    <t>Rethabile</t>
  </si>
  <si>
    <t>damen</t>
  </si>
  <si>
    <t>POD received from cell 0645575004 M</t>
  </si>
  <si>
    <t xml:space="preserve">CURE DAY HOSPITALS PAARL           </t>
  </si>
  <si>
    <t>Donovan</t>
  </si>
  <si>
    <t xml:space="preserve">Mediclinic Gariep                  </t>
  </si>
  <si>
    <t>BIA</t>
  </si>
  <si>
    <t>ettien</t>
  </si>
  <si>
    <t>grr</t>
  </si>
  <si>
    <t xml:space="preserve">LIFE FAERIE GLEN PHY               </t>
  </si>
  <si>
    <t>CHARLE</t>
  </si>
  <si>
    <t>Elizabeth</t>
  </si>
  <si>
    <t>MARGA</t>
  </si>
  <si>
    <t>MARGATE</t>
  </si>
  <si>
    <t xml:space="preserve">Netcare Margate Hospit             </t>
  </si>
  <si>
    <t xml:space="preserve">Life St Georges Hospit             </t>
  </si>
  <si>
    <t>Cecelia</t>
  </si>
  <si>
    <t xml:space="preserve">JAdel                         </t>
  </si>
  <si>
    <t xml:space="preserve">Bryanston Avian Exotic             </t>
  </si>
  <si>
    <t>DAELENE</t>
  </si>
  <si>
    <t>naee</t>
  </si>
  <si>
    <t>POD received from cell 0815357019 M</t>
  </si>
  <si>
    <t xml:space="preserve">Durbanville Vet                    </t>
  </si>
  <si>
    <t xml:space="preserve">DR Roger Graham                    </t>
  </si>
  <si>
    <t>SR BETS</t>
  </si>
  <si>
    <t>b SNYMAN</t>
  </si>
  <si>
    <t>POD received from cell 0723748549 M</t>
  </si>
  <si>
    <t xml:space="preserve">LIFE WILGEHEUWEL PHARMACY          </t>
  </si>
  <si>
    <t>Azwindini</t>
  </si>
  <si>
    <t xml:space="preserve">Netcare Cuyler                     </t>
  </si>
  <si>
    <t>najilah</t>
  </si>
  <si>
    <t xml:space="preserve">Citivet Bothasig                   </t>
  </si>
  <si>
    <t>DEE</t>
  </si>
  <si>
    <t>heath</t>
  </si>
  <si>
    <t>POD received from cell 0603198585 M</t>
  </si>
  <si>
    <t>dominic</t>
  </si>
  <si>
    <t>Laura</t>
  </si>
  <si>
    <t>ANITa</t>
  </si>
  <si>
    <t>jacqueline</t>
  </si>
  <si>
    <t>nick</t>
  </si>
  <si>
    <t xml:space="preserve">BETHLEHEM DAY THEATRE              </t>
  </si>
  <si>
    <t>MALEEN</t>
  </si>
  <si>
    <t>DEIDRE</t>
  </si>
  <si>
    <t xml:space="preserve">HILLSIDE VETERINARY                </t>
  </si>
  <si>
    <t>MICHELLE</t>
  </si>
  <si>
    <t xml:space="preserve">Kathryn                       </t>
  </si>
  <si>
    <t xml:space="preserve">POD received from cell 0792230061 M     </t>
  </si>
  <si>
    <t>Bakang</t>
  </si>
  <si>
    <t>Paul</t>
  </si>
  <si>
    <t>POD received from cell 0655428752 M</t>
  </si>
  <si>
    <t>c frantz</t>
  </si>
  <si>
    <t xml:space="preserve">Advanced Worcester                 </t>
  </si>
  <si>
    <t>LIZELLE</t>
  </si>
  <si>
    <t>marcell</t>
  </si>
  <si>
    <t>Martin</t>
  </si>
  <si>
    <t>nthasuko</t>
  </si>
  <si>
    <t>LEVENE KALLOORAM</t>
  </si>
  <si>
    <t>Levene</t>
  </si>
  <si>
    <t xml:space="preserve">Sonia Phillips                     </t>
  </si>
  <si>
    <t>Sonia Phillips</t>
  </si>
  <si>
    <t>M PHILLIPS</t>
  </si>
  <si>
    <t>naw</t>
  </si>
  <si>
    <t>POD received from cell 0827737372 M</t>
  </si>
  <si>
    <t xml:space="preserve">Frere Hospit                       </t>
  </si>
  <si>
    <t>VIOLA</t>
  </si>
  <si>
    <t>THABISA</t>
  </si>
  <si>
    <t>I Lourens</t>
  </si>
  <si>
    <t xml:space="preserve">Flyer Su                      </t>
  </si>
  <si>
    <t xml:space="preserve">MEDMECH ENGINEERING                </t>
  </si>
  <si>
    <t>ROWEN</t>
  </si>
  <si>
    <t>rowen</t>
  </si>
  <si>
    <t xml:space="preserve">BOX MEDE                      </t>
  </si>
  <si>
    <t>POTGI</t>
  </si>
  <si>
    <t>POTGIETERSRUS</t>
  </si>
  <si>
    <t xml:space="preserve">Mokopane Hospit                    </t>
  </si>
  <si>
    <t xml:space="preserve">mardane                       </t>
  </si>
  <si>
    <t>0601</t>
  </si>
  <si>
    <t xml:space="preserve">Life Fourways Hospital             </t>
  </si>
  <si>
    <t>CHIDO</t>
  </si>
  <si>
    <t>THULANI</t>
  </si>
  <si>
    <t>Cornelius</t>
  </si>
  <si>
    <t>Driver late</t>
  </si>
  <si>
    <t>jhb</t>
  </si>
  <si>
    <t>POD received from cell 0785995125 M</t>
  </si>
  <si>
    <t xml:space="preserve">DR E.Macgregor                     </t>
  </si>
  <si>
    <t>CHARLENE</t>
  </si>
  <si>
    <t>Chalene</t>
  </si>
  <si>
    <t>BOS USTURES-7</t>
  </si>
  <si>
    <t>VRYHE</t>
  </si>
  <si>
    <t>VRYHEID</t>
  </si>
  <si>
    <t xml:space="preserve">Abaqulusi Private Hospit           </t>
  </si>
  <si>
    <t>PHILISIWE</t>
  </si>
  <si>
    <t>POD received from cell 0784953533 M</t>
  </si>
  <si>
    <t xml:space="preserve">Medicross Tokai.                   </t>
  </si>
  <si>
    <t>zulfah</t>
  </si>
  <si>
    <t>POD received from cell 0727759089 M</t>
  </si>
  <si>
    <t>R conradie</t>
  </si>
  <si>
    <t>BOX SUTURES-37</t>
  </si>
  <si>
    <t>Minette</t>
  </si>
  <si>
    <t xml:space="preserve">Dept of Health Mpumalanga          </t>
  </si>
  <si>
    <t>HENDRICK</t>
  </si>
  <si>
    <t xml:space="preserve">Netcare St Augustine s Hospita     </t>
  </si>
  <si>
    <t>LYLE</t>
  </si>
  <si>
    <t>Lyle</t>
  </si>
  <si>
    <t>TYRIQUE</t>
  </si>
  <si>
    <t>tyrque</t>
  </si>
  <si>
    <t xml:space="preserve">MILLNERS DENTAL SUPPLIERS          </t>
  </si>
  <si>
    <t>noria</t>
  </si>
  <si>
    <t>GERMI</t>
  </si>
  <si>
    <t>GERMISTON</t>
  </si>
  <si>
    <t xml:space="preserve">SA Spring Manufacturing            </t>
  </si>
  <si>
    <t>JEFFREY</t>
  </si>
  <si>
    <t>Penwell Magagula</t>
  </si>
  <si>
    <t>Flyer</t>
  </si>
  <si>
    <t>JMA</t>
  </si>
  <si>
    <t>POD received from cell 0633822414 M</t>
  </si>
  <si>
    <t>FLYER SUTURE-2</t>
  </si>
  <si>
    <t>Solomon</t>
  </si>
  <si>
    <t>FLYER SUTURES-25</t>
  </si>
  <si>
    <t>shikar</t>
  </si>
  <si>
    <t>POD received from cell 0843672221 M</t>
  </si>
  <si>
    <t>Mamabolo</t>
  </si>
  <si>
    <t>POD received from cell 0813693772 M</t>
  </si>
  <si>
    <t>Dominic</t>
  </si>
  <si>
    <t>PHARAMCY</t>
  </si>
  <si>
    <t>Crystal</t>
  </si>
  <si>
    <t>Christine</t>
  </si>
  <si>
    <t>Ayanda</t>
  </si>
  <si>
    <t>Johannah</t>
  </si>
  <si>
    <t>Aziza</t>
  </si>
  <si>
    <t>POD received from cell 0735647467 M</t>
  </si>
  <si>
    <t xml:space="preserve">K Jolly                       </t>
  </si>
  <si>
    <t>FLYER VSUTURES-3</t>
  </si>
  <si>
    <t xml:space="preserve">Netcare Parklands Pharmacy         </t>
  </si>
  <si>
    <t>LENDL</t>
  </si>
  <si>
    <t xml:space="preserve">naasif                        </t>
  </si>
  <si>
    <t>ntm</t>
  </si>
  <si>
    <t xml:space="preserve">POD received from cell 0677447083 M     </t>
  </si>
  <si>
    <t xml:space="preserve">LIFE ENTABENI Hospit               </t>
  </si>
  <si>
    <t>RAKSHA</t>
  </si>
  <si>
    <t>AMINA</t>
  </si>
  <si>
    <t xml:space="preserve">Life Groenkloof Hospit             </t>
  </si>
  <si>
    <t>RAKSHEE</t>
  </si>
  <si>
    <t>POD received from cell 0720300789 M</t>
  </si>
  <si>
    <t>londiwe</t>
  </si>
  <si>
    <t>POD received from cell 0794524703 M</t>
  </si>
  <si>
    <t>Theatre</t>
  </si>
  <si>
    <t xml:space="preserve">Old Chapel Vet Clinic              </t>
  </si>
  <si>
    <t>ANTHONY</t>
  </si>
  <si>
    <t>caren</t>
  </si>
  <si>
    <t>POD received from cell 0726813383 M</t>
  </si>
  <si>
    <t>POD received from cell 0633539650 M</t>
  </si>
  <si>
    <t>D SHENY</t>
  </si>
  <si>
    <t xml:space="preserve">Netcare Linksfield Hospit          </t>
  </si>
  <si>
    <t>CHRIS</t>
  </si>
  <si>
    <t>Bronick</t>
  </si>
  <si>
    <t>POD received from cell 0609545808 M</t>
  </si>
  <si>
    <t xml:space="preserve">EQUIPMEN                      </t>
  </si>
  <si>
    <t xml:space="preserve">Netcare Montana Hospit             </t>
  </si>
  <si>
    <t>Ndivhuwo</t>
  </si>
  <si>
    <t>POD received from cell 0719970464 M</t>
  </si>
  <si>
    <t>Gura</t>
  </si>
  <si>
    <t>POD received from cell 0684446086 M</t>
  </si>
  <si>
    <t xml:space="preserve">Boland Dierekliniek                </t>
  </si>
  <si>
    <t>CAROL</t>
  </si>
  <si>
    <t>gene</t>
  </si>
  <si>
    <t>Lynn</t>
  </si>
  <si>
    <t>myness</t>
  </si>
  <si>
    <t>Stella  Pharmacy</t>
  </si>
  <si>
    <t>Antony</t>
  </si>
  <si>
    <t>POD received from cell 0723623160 M</t>
  </si>
  <si>
    <t xml:space="preserve">WC HEALTH Mosselbay                </t>
  </si>
  <si>
    <t>CHAMAINE</t>
  </si>
  <si>
    <t xml:space="preserve">Durdoc Hospit                      </t>
  </si>
  <si>
    <t>PAM</t>
  </si>
  <si>
    <t xml:space="preserve">jerusha                       </t>
  </si>
  <si>
    <t xml:space="preserve">POD received from cell 0797318730 M     </t>
  </si>
  <si>
    <t>Dino</t>
  </si>
  <si>
    <t>Renaldo</t>
  </si>
  <si>
    <t>Returned to sender on waybill</t>
  </si>
  <si>
    <t>Returned to sender on waybill number RGA</t>
  </si>
  <si>
    <t xml:space="preserve">LPPD WAREHOUSE                     </t>
  </si>
  <si>
    <t>E EBRAHIM</t>
  </si>
  <si>
    <t>0701</t>
  </si>
  <si>
    <t xml:space="preserve">Dr George Mukhari Hospit           </t>
  </si>
  <si>
    <t>MESHACK</t>
  </si>
  <si>
    <t xml:space="preserve">Kingsbury Hospit                   </t>
  </si>
  <si>
    <t>F VAN DER SHYFF</t>
  </si>
  <si>
    <t>llmot</t>
  </si>
  <si>
    <t>HOEDS</t>
  </si>
  <si>
    <t>HOEDSPRUIT</t>
  </si>
  <si>
    <t xml:space="preserve">HOEDSPRUIT PRIVATE HOSPITAL        </t>
  </si>
  <si>
    <t>FAANIE</t>
  </si>
  <si>
    <t>POD received from cell 0764614382 M</t>
  </si>
  <si>
    <t>ISIPI</t>
  </si>
  <si>
    <t>ISIPINGO</t>
  </si>
  <si>
    <t xml:space="preserve">ISIPINGO HOSPITAL DISPENSARY       </t>
  </si>
  <si>
    <t>NIRESH</t>
  </si>
  <si>
    <t>Rio rio</t>
  </si>
  <si>
    <t>POD received from cell 0844020000 M</t>
  </si>
  <si>
    <t xml:space="preserve">Netcare St Augustine Hosp.         </t>
  </si>
  <si>
    <t>L NAIDOO</t>
  </si>
  <si>
    <t>Idaho malatjie</t>
  </si>
  <si>
    <t xml:space="preserve">Tambo Memorial Hospital            </t>
  </si>
  <si>
    <t>POD received from cell 0738022932 M</t>
  </si>
  <si>
    <t>salmaan</t>
  </si>
  <si>
    <t>POD received from cell 0680504436 M</t>
  </si>
  <si>
    <t>Cornel</t>
  </si>
  <si>
    <t>Zubaidah</t>
  </si>
  <si>
    <t>POD received from cell 0749349281 M</t>
  </si>
  <si>
    <t>C Gaehler</t>
  </si>
  <si>
    <t>POD received from cell 0814739791 M</t>
  </si>
  <si>
    <t>Ellen</t>
  </si>
  <si>
    <t>POD received from cell 0607774851 M</t>
  </si>
  <si>
    <t>Bertha</t>
  </si>
  <si>
    <t>pim</t>
  </si>
  <si>
    <t>Vicky</t>
  </si>
  <si>
    <t>the</t>
  </si>
  <si>
    <t>RANDF</t>
  </si>
  <si>
    <t>RANDFONTEIN</t>
  </si>
  <si>
    <t xml:space="preserve">Life Robinson Private Hospital     </t>
  </si>
  <si>
    <t>OLIVIA</t>
  </si>
  <si>
    <t>andile</t>
  </si>
  <si>
    <t>POD received from cell 0679017498 M</t>
  </si>
  <si>
    <t xml:space="preserve">Netcare Femina Pharma              </t>
  </si>
  <si>
    <t>Saint</t>
  </si>
  <si>
    <t>POD received from cell 0792349111 M</t>
  </si>
  <si>
    <t>Alex</t>
  </si>
  <si>
    <t>Sihle</t>
  </si>
  <si>
    <t>POD received from cell 0824952538 M</t>
  </si>
  <si>
    <t xml:space="preserve">MMED Distribution                  </t>
  </si>
  <si>
    <t>victoria</t>
  </si>
  <si>
    <t>POD received from cell 0603550745 M</t>
  </si>
  <si>
    <t xml:space="preserve">BUSAMED HILLCREST PRIVATE HOSP     </t>
  </si>
  <si>
    <t>jodach</t>
  </si>
  <si>
    <t>POD received from cell 0624423761 M</t>
  </si>
  <si>
    <t>Box Sutures-7</t>
  </si>
  <si>
    <t>VINCENT</t>
  </si>
  <si>
    <t>Ashley</t>
  </si>
  <si>
    <t>romano</t>
  </si>
  <si>
    <t xml:space="preserve">Tshepo Themba Clinix - Dispens     </t>
  </si>
  <si>
    <t>GLADNESS</t>
  </si>
  <si>
    <t>zakes</t>
  </si>
  <si>
    <t>POD received from cell 0618406474 M</t>
  </si>
  <si>
    <t>Darnell is</t>
  </si>
  <si>
    <t>POD received from cell 0847863055 M</t>
  </si>
  <si>
    <t>BANELE</t>
  </si>
  <si>
    <t>charne</t>
  </si>
  <si>
    <t>POD received from cell 0734373459 M</t>
  </si>
  <si>
    <t>caweh</t>
  </si>
  <si>
    <t>POD received from cell 0699895203 M</t>
  </si>
  <si>
    <t>Theboho</t>
  </si>
  <si>
    <t>POD received from cell 0649972585 M</t>
  </si>
  <si>
    <t xml:space="preserve">MID - MEDIC PHARMACY               </t>
  </si>
  <si>
    <t>Niggi</t>
  </si>
  <si>
    <t xml:space="preserve">DR SUZETTE STANDER                 </t>
  </si>
  <si>
    <t>Carla</t>
  </si>
  <si>
    <t>POD received from cell 0797809417 M</t>
  </si>
  <si>
    <t>teboho</t>
  </si>
  <si>
    <t>POD received from cell 0792133590 M</t>
  </si>
  <si>
    <t>Faaiqa</t>
  </si>
  <si>
    <t>Tabitha</t>
  </si>
  <si>
    <t>MINETT MONIQUE</t>
  </si>
  <si>
    <t>FUTURES SAMPLES</t>
  </si>
  <si>
    <t xml:space="preserve">Medleb Pharma                      </t>
  </si>
  <si>
    <t>BELLA</t>
  </si>
  <si>
    <t>christabel</t>
  </si>
  <si>
    <t>HND / NDC / FUE / DOC</t>
  </si>
  <si>
    <t>POD received from cell 0661276981 M</t>
  </si>
  <si>
    <t>0737</t>
  </si>
  <si>
    <t>BOX SUTURES-16</t>
  </si>
  <si>
    <t xml:space="preserve">Silica Gel SA                      </t>
  </si>
  <si>
    <t>Courtney</t>
  </si>
  <si>
    <t xml:space="preserve">Kim Berron                         </t>
  </si>
  <si>
    <t>These boxes contain batteries.</t>
  </si>
  <si>
    <t>K Bernon</t>
  </si>
  <si>
    <t>Boxes</t>
  </si>
  <si>
    <t>PREETHUM</t>
  </si>
  <si>
    <t xml:space="preserve">LIFE GABERONE PVT                  </t>
  </si>
  <si>
    <t>DITSHUPO</t>
  </si>
  <si>
    <t>0046</t>
  </si>
  <si>
    <t xml:space="preserve">Levene Kallooram                   </t>
  </si>
  <si>
    <t>Levene Kallooram</t>
  </si>
  <si>
    <t xml:space="preserve">Life Healthcare Bayview Pharma     </t>
  </si>
  <si>
    <t>Jeffrey</t>
  </si>
  <si>
    <t>Delia Theron</t>
  </si>
  <si>
    <t>timoh</t>
  </si>
  <si>
    <t>KRUGE</t>
  </si>
  <si>
    <t>KRUGERSDORP</t>
  </si>
  <si>
    <t xml:space="preserve">Leslie Willams Hospital            </t>
  </si>
  <si>
    <t>Ememlda</t>
  </si>
  <si>
    <t>L Marans</t>
  </si>
  <si>
    <t xml:space="preserve">Netcare Greenacres Hospital        </t>
  </si>
  <si>
    <t>Nombulelo Mdingi</t>
  </si>
  <si>
    <t>nombulelo</t>
  </si>
  <si>
    <t>POD received from cell 0793098518 M</t>
  </si>
  <si>
    <t xml:space="preserve">Charlotte Maxeke Academic          </t>
  </si>
  <si>
    <t>mavuso</t>
  </si>
  <si>
    <t>POD received from cell 0822269424 M</t>
  </si>
  <si>
    <t xml:space="preserve">VETS   PETS VET CLINIC             </t>
  </si>
  <si>
    <t>jacky</t>
  </si>
  <si>
    <t>Christopher</t>
  </si>
  <si>
    <t>GUGU</t>
  </si>
  <si>
    <t>bsn</t>
  </si>
  <si>
    <t>POD received from cell 0605554987 M</t>
  </si>
  <si>
    <t>etiennn</t>
  </si>
  <si>
    <t>POD received from cell 0714696584 M</t>
  </si>
  <si>
    <t>calvin</t>
  </si>
  <si>
    <t>kat</t>
  </si>
  <si>
    <t xml:space="preserve">VETCARE ANIMAL CLINIC              </t>
  </si>
  <si>
    <t>SANISHA</t>
  </si>
  <si>
    <t>fazola</t>
  </si>
  <si>
    <t xml:space="preserve">DR B BREDEKAMP                     </t>
  </si>
  <si>
    <t>AMY</t>
  </si>
  <si>
    <t>amy</t>
  </si>
  <si>
    <t>BOX SUTURES-19</t>
  </si>
  <si>
    <t>thagatso</t>
  </si>
  <si>
    <t>POD received from cell 0823599561 M</t>
  </si>
  <si>
    <t>BOX LINER-100 BOX LINER-100</t>
  </si>
  <si>
    <t>TRICH</t>
  </si>
  <si>
    <t>TRICHARDT</t>
  </si>
  <si>
    <t xml:space="preserve">Mediclinic Highveld Hospit         </t>
  </si>
  <si>
    <t>MARIETJIE</t>
  </si>
  <si>
    <t>sihle</t>
  </si>
  <si>
    <t>POD received from cell 0736935191 M</t>
  </si>
  <si>
    <t xml:space="preserve">Royal Hospit   Heart Cntr          </t>
  </si>
  <si>
    <t>YOLANDA</t>
  </si>
  <si>
    <t>Roger</t>
  </si>
  <si>
    <t>QUEEN</t>
  </si>
  <si>
    <t>QUEENSTOWN</t>
  </si>
  <si>
    <t xml:space="preserve">Life Queenstown                    </t>
  </si>
  <si>
    <t>XOLISWA</t>
  </si>
  <si>
    <t>kalid</t>
  </si>
  <si>
    <t xml:space="preserve">Tracey Coetzee                     </t>
  </si>
  <si>
    <t>Tracey Coetzee</t>
  </si>
  <si>
    <t>Hold for Collection</t>
  </si>
  <si>
    <t>POD received from cell 0635512359 M</t>
  </si>
  <si>
    <t xml:space="preserve">Sonia Philips                      </t>
  </si>
  <si>
    <t>Sonia Philips</t>
  </si>
  <si>
    <t>CALED</t>
  </si>
  <si>
    <t>CALEDON</t>
  </si>
  <si>
    <t xml:space="preserve">WC Health Caledon                  </t>
  </si>
  <si>
    <t xml:space="preserve">m manuel                      </t>
  </si>
  <si>
    <t xml:space="preserve">POD received from cell 062 522 7944 M   </t>
  </si>
  <si>
    <t xml:space="preserve">Life Flora Hospit Office           </t>
  </si>
  <si>
    <t>SOMMIL</t>
  </si>
  <si>
    <t xml:space="preserve">megan                         </t>
  </si>
  <si>
    <t xml:space="preserve">POD received from cell 0738058187 M     </t>
  </si>
  <si>
    <t>johanna</t>
  </si>
  <si>
    <t>MADELEINE</t>
  </si>
  <si>
    <t>KLAAS</t>
  </si>
  <si>
    <t>malango</t>
  </si>
  <si>
    <t xml:space="preserve">Eye Ear Prop                       </t>
  </si>
  <si>
    <t>Freedom</t>
  </si>
  <si>
    <t>POD received from cell 0677793530 M</t>
  </si>
  <si>
    <t>jon</t>
  </si>
  <si>
    <t>Lilian</t>
  </si>
  <si>
    <t xml:space="preserve">Tzaneen Animal Clinic              </t>
  </si>
  <si>
    <t>elaine</t>
  </si>
  <si>
    <t xml:space="preserve">Netcare Kingsway Pharma            </t>
  </si>
  <si>
    <t>n ramkassoon</t>
  </si>
  <si>
    <t>POD received from cell 0671711975 M</t>
  </si>
  <si>
    <t>LEBOGANG</t>
  </si>
  <si>
    <t>ntsaki</t>
  </si>
  <si>
    <t>pmo</t>
  </si>
  <si>
    <t xml:space="preserve">Elizabeth                     </t>
  </si>
  <si>
    <t xml:space="preserve">POD received from cell 0725065770 M     </t>
  </si>
  <si>
    <t xml:space="preserve">NETCARE UMHLANGA HOSP.             </t>
  </si>
  <si>
    <t>MHLELI</t>
  </si>
  <si>
    <t>Mhleli11</t>
  </si>
  <si>
    <t>POD received from cell 0834941426 M</t>
  </si>
  <si>
    <t xml:space="preserve">Dr Pixley Ka Isaka Seme Memori     </t>
  </si>
  <si>
    <t>VUYISWA</t>
  </si>
  <si>
    <t>Siyanda</t>
  </si>
  <si>
    <t>POD received from cell 0607603696 M</t>
  </si>
  <si>
    <t>EMPAN</t>
  </si>
  <si>
    <t>EMPANGENI</t>
  </si>
  <si>
    <t xml:space="preserve">Ngwelezane Hospital                </t>
  </si>
  <si>
    <t>MR ZULIU</t>
  </si>
  <si>
    <t>N I ZULU</t>
  </si>
  <si>
    <t>POD received from cell 0670888210 M</t>
  </si>
  <si>
    <t>AJ MURPHY</t>
  </si>
  <si>
    <t>POD received from cell 0644108519 M</t>
  </si>
  <si>
    <t xml:space="preserve">1 Military Hospital                </t>
  </si>
  <si>
    <t>BRAAM</t>
  </si>
  <si>
    <t>malemela</t>
  </si>
  <si>
    <t>POD received from cell 0735380938 M</t>
  </si>
  <si>
    <t xml:space="preserve">BOX  MED                      </t>
  </si>
  <si>
    <t>alex</t>
  </si>
  <si>
    <t>POD received from cell 0682690407 M</t>
  </si>
  <si>
    <t>Redirect waybill on waybill number RRGAB</t>
  </si>
  <si>
    <t>Pharmacy</t>
  </si>
  <si>
    <t>MINENHLE</t>
  </si>
  <si>
    <t>Box-Sutures-12</t>
  </si>
  <si>
    <t xml:space="preserve">Netcare Constantia Pharmacy        </t>
  </si>
  <si>
    <t>C Modman</t>
  </si>
  <si>
    <t>POD received from cell 0817753249 M</t>
  </si>
  <si>
    <t>Flyer Sutures-3</t>
  </si>
  <si>
    <t>C.HOOSEN</t>
  </si>
  <si>
    <t>Brandon</t>
  </si>
  <si>
    <t>Christopher  Pharmacy</t>
  </si>
  <si>
    <t>JEROME</t>
  </si>
  <si>
    <t xml:space="preserve">Beacon Bay Hospit PHARMACY         </t>
  </si>
  <si>
    <t>JENNY FIETZE</t>
  </si>
  <si>
    <t>berkhout</t>
  </si>
  <si>
    <t>POD received from cell 0635252784 M</t>
  </si>
  <si>
    <t>FLYEWR SUTURES-2</t>
  </si>
  <si>
    <t>raeeze</t>
  </si>
  <si>
    <t xml:space="preserve">ENTABENI DISPENSARY                </t>
  </si>
  <si>
    <t>R.MISTREY</t>
  </si>
  <si>
    <t>Fanafuthi</t>
  </si>
  <si>
    <t xml:space="preserve">Netcare Greenacres                 </t>
  </si>
  <si>
    <t xml:space="preserve">thembisa                      </t>
  </si>
  <si>
    <t xml:space="preserve">POD received from cell 0659756866 M     </t>
  </si>
  <si>
    <t>amt</t>
  </si>
  <si>
    <t>POD received from cell 0660630212 M</t>
  </si>
  <si>
    <t>FLYERE SUTURES-1</t>
  </si>
  <si>
    <t>mpho</t>
  </si>
  <si>
    <t xml:space="preserve">kuzai                         </t>
  </si>
  <si>
    <t xml:space="preserve">POD received from cell 0815439717 M     </t>
  </si>
  <si>
    <t>retabile</t>
  </si>
  <si>
    <t xml:space="preserve">Victoria Hospit Pharma             </t>
  </si>
  <si>
    <t>SUJAYA RAJOO</t>
  </si>
  <si>
    <t>NICOLEEN</t>
  </si>
  <si>
    <t>Marcus</t>
  </si>
  <si>
    <t>WILMA JANA</t>
  </si>
  <si>
    <t>MAR</t>
  </si>
  <si>
    <t xml:space="preserve">Bergbos ANIMAL CLINIC              </t>
  </si>
  <si>
    <t>Itette</t>
  </si>
  <si>
    <t>Rizwana</t>
  </si>
  <si>
    <t xml:space="preserve">Life Carstenhof Hoispital          </t>
  </si>
  <si>
    <t>ROSCHELLE DHANI</t>
  </si>
  <si>
    <t>itumeleng</t>
  </si>
  <si>
    <t>POD received from cell  27 84 825 6515 M</t>
  </si>
  <si>
    <t>Ellen  Pharmacy</t>
  </si>
  <si>
    <t>R THAKER</t>
  </si>
  <si>
    <t xml:space="preserve">Medicross Krugersdorp              </t>
  </si>
  <si>
    <t>A  Erasmus</t>
  </si>
  <si>
    <t>POD received from cell 0715414711 M</t>
  </si>
  <si>
    <t>chilibay</t>
  </si>
  <si>
    <t>POD received from cell 0795637015 M</t>
  </si>
  <si>
    <t>alchona</t>
  </si>
  <si>
    <t>S.VAN DER BERG</t>
  </si>
  <si>
    <t>Returned to sender on waybill number RRG</t>
  </si>
  <si>
    <t>BOX SUTURES-164 Box Sutures-196</t>
  </si>
  <si>
    <t>MPUMELELO YAME</t>
  </si>
  <si>
    <t>percy</t>
  </si>
  <si>
    <t>MONIQUE M</t>
  </si>
  <si>
    <t>monique</t>
  </si>
  <si>
    <t>0169</t>
  </si>
  <si>
    <t xml:space="preserve">Mediclinic Newcastle               </t>
  </si>
  <si>
    <t>Innocent Gumbi</t>
  </si>
  <si>
    <t>Lidia</t>
  </si>
  <si>
    <t xml:space="preserve">Life Peglerae                      </t>
  </si>
  <si>
    <t>Theas</t>
  </si>
  <si>
    <t>0299</t>
  </si>
  <si>
    <t>SINIA</t>
  </si>
  <si>
    <t>yca</t>
  </si>
  <si>
    <t>ERMEL</t>
  </si>
  <si>
    <t>ERMELO</t>
  </si>
  <si>
    <t xml:space="preserve">Mediclinic Ermelo                  </t>
  </si>
  <si>
    <t>Sr Hilda</t>
  </si>
  <si>
    <t>christel</t>
  </si>
  <si>
    <t>POD received from cell 0715822367 M</t>
  </si>
  <si>
    <t>KNYSN</t>
  </si>
  <si>
    <t>KNYSNA</t>
  </si>
  <si>
    <t xml:space="preserve">WC HEALTH KNYSNA Hospit            </t>
  </si>
  <si>
    <t>B.Kitching</t>
  </si>
  <si>
    <t>A REIN</t>
  </si>
  <si>
    <t>Mutshinya</t>
  </si>
  <si>
    <t xml:space="preserve">MAMELODI REGIONAL HOSPITAL         </t>
  </si>
  <si>
    <t xml:space="preserve">gift                          </t>
  </si>
  <si>
    <t xml:space="preserve">POD received from cell 0631521874 M     </t>
  </si>
  <si>
    <t>0122</t>
  </si>
  <si>
    <t xml:space="preserve">Test Africa                        </t>
  </si>
  <si>
    <t>Gerhard Holtzhausen Bianka</t>
  </si>
  <si>
    <t xml:space="preserve">BIANCA                        </t>
  </si>
  <si>
    <t>0184</t>
  </si>
  <si>
    <t xml:space="preserve">Pallet M                      </t>
  </si>
  <si>
    <t xml:space="preserve">Addington Hospit                   </t>
  </si>
  <si>
    <t>MOLLY</t>
  </si>
  <si>
    <t xml:space="preserve">NONJABULO                     </t>
  </si>
  <si>
    <t xml:space="preserve">POD received from cell 0682690407 M     </t>
  </si>
  <si>
    <t xml:space="preserve">Isipingo PHY                       </t>
  </si>
  <si>
    <t>Jacob  Pharmacy</t>
  </si>
  <si>
    <t xml:space="preserve">UMTATA MEDICAL DEPOT               </t>
  </si>
  <si>
    <t>MATTHEW MAURE</t>
  </si>
  <si>
    <t>vanash receiveing</t>
  </si>
  <si>
    <t>POD received from cell 0717859225 M</t>
  </si>
  <si>
    <t xml:space="preserve">BOXES LI                      </t>
  </si>
  <si>
    <t>PRETTY NTULI</t>
  </si>
  <si>
    <t xml:space="preserve">Shylock                       </t>
  </si>
  <si>
    <t xml:space="preserve">POD received from cell 0636608674 M     </t>
  </si>
  <si>
    <t>MOUN1</t>
  </si>
  <si>
    <t>MOUNT AYLIFF</t>
  </si>
  <si>
    <t xml:space="preserve">ST PATRICKS HOSPITAL               </t>
  </si>
  <si>
    <t>Samantha</t>
  </si>
  <si>
    <t>leandre</t>
  </si>
  <si>
    <t>NGF</t>
  </si>
  <si>
    <t xml:space="preserve">geraldine                     </t>
  </si>
  <si>
    <t xml:space="preserve">POD received from cell 0813352451 M     </t>
  </si>
  <si>
    <t>z adams</t>
  </si>
  <si>
    <t>POD received from cell 062 522 7944 M</t>
  </si>
  <si>
    <t>BOX SUTURES-14</t>
  </si>
  <si>
    <t xml:space="preserve">Beacon Bay Hospit                  </t>
  </si>
  <si>
    <t>phiwo</t>
  </si>
  <si>
    <t>FLKYER SUTURES-2</t>
  </si>
  <si>
    <t xml:space="preserve">RMC PHARMACY (PTY) LTD             </t>
  </si>
  <si>
    <t>MAX</t>
  </si>
  <si>
    <t xml:space="preserve">Nelspruit Surgiclinic              </t>
  </si>
  <si>
    <t>KAREN</t>
  </si>
  <si>
    <t>dudu</t>
  </si>
  <si>
    <t>A.BARNARD</t>
  </si>
  <si>
    <t>A.SEEGER</t>
  </si>
  <si>
    <t>Xolani</t>
  </si>
  <si>
    <t xml:space="preserve">THE CROMPTON HOSPITAL PHY          </t>
  </si>
  <si>
    <t>HAZEL PILLAY</t>
  </si>
  <si>
    <t>SAHIL</t>
  </si>
  <si>
    <t>POD received from cell 0676609687 M</t>
  </si>
  <si>
    <t xml:space="preserve">M Kozain                      </t>
  </si>
  <si>
    <t xml:space="preserve">POD received from cell 0671392487 M     </t>
  </si>
  <si>
    <t xml:space="preserve">DR J.W BRONNER                     </t>
  </si>
  <si>
    <t>THERESA</t>
  </si>
  <si>
    <t>Karen</t>
  </si>
  <si>
    <t>POD received from cell 0784468189 M</t>
  </si>
  <si>
    <t>FLYER SUTUYRES-3</t>
  </si>
  <si>
    <t>FLYER SUTURES1</t>
  </si>
  <si>
    <t>D SHERRY</t>
  </si>
  <si>
    <t>JLC</t>
  </si>
  <si>
    <t xml:space="preserve">Lyttelton Animal Hospit            </t>
  </si>
  <si>
    <t>petro</t>
  </si>
  <si>
    <t>POD received from cell 0684441096 M</t>
  </si>
  <si>
    <t>BOX SUTIURES-10</t>
  </si>
  <si>
    <t>M.OBERHOLZER</t>
  </si>
  <si>
    <t>D  malgas</t>
  </si>
  <si>
    <t>marresa</t>
  </si>
  <si>
    <t>POD received from cell 0621494126 M</t>
  </si>
  <si>
    <t>STANG</t>
  </si>
  <si>
    <t>STANGER</t>
  </si>
  <si>
    <t xml:space="preserve">Kwadukuza Private Hospit           </t>
  </si>
  <si>
    <t>vinay</t>
  </si>
  <si>
    <t>POD received from cell 0820534942 M</t>
  </si>
  <si>
    <t xml:space="preserve">Kilner Park Day Clinic             </t>
  </si>
  <si>
    <t>Gerdi</t>
  </si>
  <si>
    <t>POD received from cell 0729104995 M</t>
  </si>
  <si>
    <t>SR LYDIA</t>
  </si>
  <si>
    <t xml:space="preserve">JEROME                        </t>
  </si>
  <si>
    <t xml:space="preserve">POD received from cell 0732794063 M     </t>
  </si>
  <si>
    <t>Damon</t>
  </si>
  <si>
    <t>PIM</t>
  </si>
  <si>
    <t>Charmaine</t>
  </si>
  <si>
    <t>Selina</t>
  </si>
  <si>
    <t>0083</t>
  </si>
  <si>
    <t>Box Sutures-2</t>
  </si>
  <si>
    <t>BOX SUTURES-26</t>
  </si>
  <si>
    <t xml:space="preserve">SKYNET DURBAN DEPOT                </t>
  </si>
  <si>
    <t>preethum</t>
  </si>
  <si>
    <t xml:space="preserve">Kelly                         </t>
  </si>
  <si>
    <t xml:space="preserve">POD received from cell 0797809417 M     </t>
  </si>
  <si>
    <t>HERMA</t>
  </si>
  <si>
    <t>HERMANUS</t>
  </si>
  <si>
    <t xml:space="preserve">Disa Med Pharmacy Hermanus         </t>
  </si>
  <si>
    <t>NITA</t>
  </si>
  <si>
    <t>xanti</t>
  </si>
  <si>
    <t>POD received from cell 0627198686 M</t>
  </si>
  <si>
    <t xml:space="preserve">abby                          </t>
  </si>
  <si>
    <t xml:space="preserve">Citivet Monte Vista                </t>
  </si>
  <si>
    <t>Mitchell</t>
  </si>
  <si>
    <t>Richard</t>
  </si>
  <si>
    <t>ON2</t>
  </si>
  <si>
    <t>Rian Oliphant</t>
  </si>
  <si>
    <t>Flyer Medical Equipm</t>
  </si>
  <si>
    <t xml:space="preserve">Netcare The Bay Hospit             </t>
  </si>
  <si>
    <t xml:space="preserve">Intercare Day Hospit Century       </t>
  </si>
  <si>
    <t>F.REYNOLDS</t>
  </si>
  <si>
    <t xml:space="preserve">ILLEG                         </t>
  </si>
  <si>
    <t xml:space="preserve">POD received from cell 0719539417 M     </t>
  </si>
  <si>
    <t xml:space="preserve">Netcare Cuyler Hosp.               </t>
  </si>
  <si>
    <t>Sr Van Staden</t>
  </si>
  <si>
    <t>themba</t>
  </si>
  <si>
    <t xml:space="preserve">Box Medi                      </t>
  </si>
  <si>
    <t>Stores</t>
  </si>
  <si>
    <t xml:space="preserve">DR Moatshe                         </t>
  </si>
  <si>
    <t>FLOYD</t>
  </si>
  <si>
    <t xml:space="preserve">thembi                        </t>
  </si>
  <si>
    <t xml:space="preserve">POD received from cell 0729194064 M     </t>
  </si>
  <si>
    <t xml:space="preserve">Charlotte Maxeke Hospital          </t>
  </si>
  <si>
    <t>COLES</t>
  </si>
  <si>
    <t>COLESBERG</t>
  </si>
  <si>
    <t xml:space="preserve">COLESBURG HOSPITAL                 </t>
  </si>
  <si>
    <t>MONIQUE MOSTAR 1</t>
  </si>
  <si>
    <t xml:space="preserve">MEDICAL HOSPITAL OF LEBOWAKGOM     </t>
  </si>
  <si>
    <t>sindy</t>
  </si>
  <si>
    <t>BESSIE POSATUMAS</t>
  </si>
  <si>
    <t>ebert</t>
  </si>
  <si>
    <t>MIDRA</t>
  </si>
  <si>
    <t>MIDRAND</t>
  </si>
  <si>
    <t xml:space="preserve">Blue Hills Veterinary Hospit       </t>
  </si>
  <si>
    <t>KIRSTEN</t>
  </si>
  <si>
    <t xml:space="preserve">Rustenburg Medicare Private Ho     </t>
  </si>
  <si>
    <t>Victor Moseki</t>
  </si>
  <si>
    <t xml:space="preserve">danie                         </t>
  </si>
  <si>
    <t xml:space="preserve">SABS                               </t>
  </si>
  <si>
    <t>LORATO MARETELA</t>
  </si>
  <si>
    <t>ME mathonsi</t>
  </si>
  <si>
    <t>FLYER SUTURE SAMPLES</t>
  </si>
  <si>
    <t xml:space="preserve">ASPIRATA  PORTION 5  GAZELLE C     </t>
  </si>
  <si>
    <t>JOHAN JACOBS</t>
  </si>
  <si>
    <t>delight</t>
  </si>
  <si>
    <t>POD received from cell 0833616148 M</t>
  </si>
  <si>
    <t xml:space="preserve">Lyns Vet Supplies                  </t>
  </si>
  <si>
    <t>Jacky</t>
  </si>
  <si>
    <t xml:space="preserve">Netcare Park Lane Pharmacy         </t>
  </si>
  <si>
    <t>lesetsa</t>
  </si>
  <si>
    <t>POD received from cell 0723597963 M</t>
  </si>
  <si>
    <t xml:space="preserve">Life Brenthurst Hospital Phy       </t>
  </si>
  <si>
    <t>SOLOMON</t>
  </si>
  <si>
    <t xml:space="preserve">puleng                        </t>
  </si>
  <si>
    <t xml:space="preserve">POD received from cell 0810363753 M     </t>
  </si>
  <si>
    <t>Alfred</t>
  </si>
  <si>
    <t xml:space="preserve">Vincent                       </t>
  </si>
  <si>
    <t xml:space="preserve">johanna                       </t>
  </si>
  <si>
    <t>PHARMACY</t>
  </si>
  <si>
    <t xml:space="preserve">nadiera                       </t>
  </si>
  <si>
    <t xml:space="preserve">POD received from cell 0727759089 M     </t>
  </si>
  <si>
    <t xml:space="preserve">Cure Day Clinic Midstream          </t>
  </si>
  <si>
    <t>JERELDA</t>
  </si>
  <si>
    <t xml:space="preserve">Nesha                         </t>
  </si>
  <si>
    <t xml:space="preserve">POD received from cell 0814028850 M     </t>
  </si>
  <si>
    <t xml:space="preserve">BE SAFE PARAMEDICAL -PIA           </t>
  </si>
  <si>
    <t>DINASE</t>
  </si>
  <si>
    <t xml:space="preserve">marin                         </t>
  </si>
  <si>
    <t xml:space="preserve">POD received from cell 0785995125 M     </t>
  </si>
  <si>
    <t xml:space="preserve">MEDICROSS BLUFF                    </t>
  </si>
  <si>
    <t xml:space="preserve">MEDICAL FORUM THEARTE              </t>
  </si>
  <si>
    <t xml:space="preserve">David                         </t>
  </si>
  <si>
    <t>POD received from cell 0725065770 M</t>
  </si>
  <si>
    <t>mzzi</t>
  </si>
  <si>
    <t>Flyer Sutures-6</t>
  </si>
  <si>
    <t>FLYER SUTUIRES-1</t>
  </si>
  <si>
    <t xml:space="preserve">Dr Dagmar Whitaker                 </t>
  </si>
  <si>
    <t>DR DAGMAR</t>
  </si>
  <si>
    <t>keanon</t>
  </si>
  <si>
    <t>TAJ</t>
  </si>
  <si>
    <t>POD received from cell 0644233937 M</t>
  </si>
  <si>
    <t xml:space="preserve">Netcare Polokwane Pharmacy         </t>
  </si>
  <si>
    <t>0700</t>
  </si>
  <si>
    <t xml:space="preserve">A McDonald  Pharmacy          </t>
  </si>
  <si>
    <t xml:space="preserve">Life Rosepark Hospital Phy         </t>
  </si>
  <si>
    <t>LORINDA</t>
  </si>
  <si>
    <t>Hennie</t>
  </si>
  <si>
    <t xml:space="preserve">Jabulani                      </t>
  </si>
  <si>
    <t xml:space="preserve">POD received from cell 0817753249 M     </t>
  </si>
  <si>
    <t xml:space="preserve">alice                         </t>
  </si>
  <si>
    <t xml:space="preserve">POD received from cell 0790678352 M     </t>
  </si>
  <si>
    <t>POD received from cell 0726316905 M</t>
  </si>
  <si>
    <t>ROSCHELLE</t>
  </si>
  <si>
    <t xml:space="preserve">Kenneth  Pharmacy             </t>
  </si>
  <si>
    <t>BOX SUTURES-3</t>
  </si>
  <si>
    <t>Chido</t>
  </si>
  <si>
    <t>POD received from cell 0665274072 M</t>
  </si>
  <si>
    <t xml:space="preserve">GABLES                             </t>
  </si>
  <si>
    <t xml:space="preserve">GABER                              </t>
  </si>
  <si>
    <t>MONIQUE MOSTERS  ANDREW WHIT</t>
  </si>
  <si>
    <t>SONIA PHILLIPS</t>
  </si>
  <si>
    <t>SYSTEM</t>
  </si>
  <si>
    <t>Mr J Combrink</t>
  </si>
  <si>
    <t>WITSI</t>
  </si>
  <si>
    <t>WITZIESHOEK</t>
  </si>
  <si>
    <t xml:space="preserve">MANAPO Hospit                      </t>
  </si>
  <si>
    <t>MR MARIUS</t>
  </si>
  <si>
    <t xml:space="preserve">BETHLEHEM  DIHLABENG REGIONAL      </t>
  </si>
  <si>
    <t xml:space="preserve">Phekolong Hospit                   </t>
  </si>
  <si>
    <t>A SHREIDER</t>
  </si>
  <si>
    <t xml:space="preserve">Elizabeth Ross Hospit              </t>
  </si>
  <si>
    <t>N EBRAHIM</t>
  </si>
  <si>
    <t xml:space="preserve">Livingstone Hospit                 </t>
  </si>
  <si>
    <t xml:space="preserve">lizel                         </t>
  </si>
  <si>
    <t xml:space="preserve">BLUE CROSS VET HOSPITAL            </t>
  </si>
  <si>
    <t>PHILIPA</t>
  </si>
  <si>
    <t>LUCIAN</t>
  </si>
  <si>
    <t>COBIE</t>
  </si>
  <si>
    <t xml:space="preserve">Specialized Mouldings              </t>
  </si>
  <si>
    <t>WAYNE</t>
  </si>
  <si>
    <t>MaHALI</t>
  </si>
  <si>
    <t xml:space="preserve">Sunninghill HospitICU              </t>
  </si>
  <si>
    <t>PAULINE</t>
  </si>
  <si>
    <t>TRACEY  COETZEE</t>
  </si>
  <si>
    <t>T Coetzee</t>
  </si>
  <si>
    <t xml:space="preserve">HOLD FOR COLLECTION                </t>
  </si>
  <si>
    <t>SDX</t>
  </si>
  <si>
    <t>HOLD FOR COLLECT AT DURBAN DEPOT</t>
  </si>
  <si>
    <t>ROXANNE JEFFREY</t>
  </si>
  <si>
    <t>DSD / FUE / doc</t>
  </si>
  <si>
    <t xml:space="preserve">Netcare Unitas Hospit              </t>
  </si>
  <si>
    <t xml:space="preserve">Bloemfontein Mediclinic            </t>
  </si>
  <si>
    <t>MARTIE</t>
  </si>
  <si>
    <t>VRED3</t>
  </si>
  <si>
    <t>VREDENBURG</t>
  </si>
  <si>
    <t xml:space="preserve">Life West Coast Private Hospit     </t>
  </si>
  <si>
    <t>ELNETTE</t>
  </si>
  <si>
    <t>HUSH</t>
  </si>
  <si>
    <t>keisha</t>
  </si>
  <si>
    <t xml:space="preserve">Life Wilgeheuwel Private           </t>
  </si>
  <si>
    <t>Lydia</t>
  </si>
  <si>
    <t>BOX SUTURES-17</t>
  </si>
  <si>
    <t xml:space="preserve">Netcare Moot General Hospital      </t>
  </si>
  <si>
    <t>FLYER SUTURE-1</t>
  </si>
  <si>
    <t xml:space="preserve">NETCARE UMHLANGA                   </t>
  </si>
  <si>
    <t>THEATRE PHY</t>
  </si>
  <si>
    <t xml:space="preserve">Netcare Kingsway Pharmacy          </t>
  </si>
  <si>
    <t>HEID2</t>
  </si>
  <si>
    <t>HEIDELBERG (TVL)</t>
  </si>
  <si>
    <t xml:space="preserve">Life Suikerbosrand Hospital        </t>
  </si>
  <si>
    <t>CRISTINE</t>
  </si>
  <si>
    <t xml:space="preserve">Netcare Pholoso Hospital           </t>
  </si>
  <si>
    <t xml:space="preserve">N17 Private Hospit                 </t>
  </si>
  <si>
    <t>FRED</t>
  </si>
  <si>
    <t xml:space="preserve">MEDICARE HOSQUIP                   </t>
  </si>
  <si>
    <t xml:space="preserve">Netcare Femina Clinic              </t>
  </si>
  <si>
    <t>YOLANDI</t>
  </si>
  <si>
    <t xml:space="preserve">Mamelodi Hospit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</si>
</sst>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4E57-4ACA-44C2-BE07-EBDE45D283DC}">
  <dimension ref="A1:CN625"/>
  <sheetViews>
    <sheetView tabSelected="1" topLeftCell="A615" workbookViewId="0">
      <selection activeCell="A626" sqref="A626:XFD1020"/>
    </sheetView>
  </sheetViews>
  <sheetFormatPr defaultRowHeight="14.4" x14ac:dyDescent="0.3"/>
  <cols>
    <col min="5" max="5" width="14.6640625" customWidth="1"/>
    <col min="6" max="6" width="9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"080011452843"</f>
        <v>080011452843</v>
      </c>
      <c r="F2" s="3">
        <v>45719</v>
      </c>
      <c r="G2">
        <v>202512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85.85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7</v>
      </c>
      <c r="BK2">
        <v>7</v>
      </c>
      <c r="BL2">
        <v>255.85</v>
      </c>
      <c r="BM2">
        <v>38.380000000000003</v>
      </c>
      <c r="BN2">
        <v>294.23</v>
      </c>
      <c r="BO2">
        <v>294.23</v>
      </c>
      <c r="BP2" t="s">
        <v>83</v>
      </c>
      <c r="BQ2" t="s">
        <v>84</v>
      </c>
      <c r="BR2" t="s">
        <v>85</v>
      </c>
      <c r="BS2" s="3">
        <v>45721</v>
      </c>
      <c r="BT2" s="4">
        <v>0.37361111111111112</v>
      </c>
      <c r="BU2" t="s">
        <v>86</v>
      </c>
      <c r="BV2" t="s">
        <v>87</v>
      </c>
      <c r="BW2" t="s">
        <v>88</v>
      </c>
      <c r="BX2" t="s">
        <v>89</v>
      </c>
      <c r="BY2">
        <v>35136</v>
      </c>
      <c r="BZ2" t="s">
        <v>90</v>
      </c>
      <c r="CA2" t="s">
        <v>91</v>
      </c>
      <c r="CC2" t="s">
        <v>80</v>
      </c>
      <c r="CD2" s="5" t="s">
        <v>92</v>
      </c>
      <c r="CE2" t="s">
        <v>93</v>
      </c>
      <c r="CF2" s="3">
        <v>45721</v>
      </c>
      <c r="CI2">
        <v>1</v>
      </c>
      <c r="CJ2">
        <v>2</v>
      </c>
      <c r="CK2">
        <v>21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"RGAB2024458"</f>
        <v>RGAB2024458</v>
      </c>
      <c r="F3" s="3">
        <v>45719</v>
      </c>
      <c r="G3">
        <v>202512</v>
      </c>
      <c r="H3" t="s">
        <v>94</v>
      </c>
      <c r="I3" t="s">
        <v>95</v>
      </c>
      <c r="J3" t="s">
        <v>96</v>
      </c>
      <c r="K3" t="s">
        <v>78</v>
      </c>
      <c r="L3" t="s">
        <v>97</v>
      </c>
      <c r="M3" t="s">
        <v>98</v>
      </c>
      <c r="N3" t="s">
        <v>99</v>
      </c>
      <c r="O3" t="s">
        <v>100</v>
      </c>
      <c r="P3" t="str">
        <f>"INV-000379 00374              "</f>
        <v xml:space="preserve">INV-000379 00374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16.739999999999998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66.94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</v>
      </c>
      <c r="BJ3">
        <v>8.3000000000000007</v>
      </c>
      <c r="BK3">
        <v>9</v>
      </c>
      <c r="BL3">
        <v>221.8</v>
      </c>
      <c r="BM3">
        <v>33.270000000000003</v>
      </c>
      <c r="BN3">
        <v>255.07</v>
      </c>
      <c r="BO3">
        <v>255.07</v>
      </c>
      <c r="BQ3" t="s">
        <v>101</v>
      </c>
      <c r="BR3" t="s">
        <v>102</v>
      </c>
      <c r="BS3" s="3">
        <v>45723</v>
      </c>
      <c r="BT3" s="4">
        <v>0.52777777777777779</v>
      </c>
      <c r="BU3" t="s">
        <v>103</v>
      </c>
      <c r="BV3" t="s">
        <v>87</v>
      </c>
      <c r="BY3">
        <v>41291.33</v>
      </c>
      <c r="BZ3" t="s">
        <v>21</v>
      </c>
      <c r="CA3" t="s">
        <v>104</v>
      </c>
      <c r="CC3" t="s">
        <v>98</v>
      </c>
      <c r="CD3">
        <v>8000</v>
      </c>
      <c r="CE3" t="s">
        <v>105</v>
      </c>
      <c r="CF3" s="3">
        <v>45741</v>
      </c>
      <c r="CI3">
        <v>3</v>
      </c>
      <c r="CJ3">
        <v>4</v>
      </c>
      <c r="CK3">
        <v>43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"GAB2024618"</f>
        <v>GAB2024618</v>
      </c>
      <c r="F4" s="3">
        <v>45719</v>
      </c>
      <c r="G4">
        <v>202512</v>
      </c>
      <c r="H4" t="s">
        <v>97</v>
      </c>
      <c r="I4" t="s">
        <v>98</v>
      </c>
      <c r="J4" t="s">
        <v>99</v>
      </c>
      <c r="K4" t="s">
        <v>78</v>
      </c>
      <c r="L4" t="s">
        <v>79</v>
      </c>
      <c r="M4" t="s">
        <v>80</v>
      </c>
      <c r="N4" t="s">
        <v>106</v>
      </c>
      <c r="O4" t="s">
        <v>100</v>
      </c>
      <c r="P4" t="str">
        <f>"INV-00115701 CT092796         "</f>
        <v xml:space="preserve">INV-00115701 CT092796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47.46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6.1</v>
      </c>
      <c r="BK4">
        <v>7</v>
      </c>
      <c r="BL4">
        <v>147.01</v>
      </c>
      <c r="BM4">
        <v>22.05</v>
      </c>
      <c r="BN4">
        <v>169.06</v>
      </c>
      <c r="BO4">
        <v>169.06</v>
      </c>
      <c r="BQ4" t="s">
        <v>107</v>
      </c>
      <c r="BR4" t="s">
        <v>101</v>
      </c>
      <c r="BS4" s="3">
        <v>45721</v>
      </c>
      <c r="BT4" s="4">
        <v>0.34861111111111109</v>
      </c>
      <c r="BU4" t="s">
        <v>108</v>
      </c>
      <c r="BV4" t="s">
        <v>109</v>
      </c>
      <c r="BY4">
        <v>30369.15</v>
      </c>
      <c r="CA4" t="s">
        <v>110</v>
      </c>
      <c r="CC4" t="s">
        <v>80</v>
      </c>
      <c r="CD4" s="5" t="s">
        <v>92</v>
      </c>
      <c r="CE4" t="s">
        <v>111</v>
      </c>
      <c r="CF4" s="3">
        <v>45721</v>
      </c>
      <c r="CI4">
        <v>3</v>
      </c>
      <c r="CJ4">
        <v>2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"GAB2024634"</f>
        <v>GAB2024634</v>
      </c>
      <c r="F5" s="3">
        <v>45719</v>
      </c>
      <c r="G5">
        <v>202512</v>
      </c>
      <c r="H5" t="s">
        <v>97</v>
      </c>
      <c r="I5" t="s">
        <v>98</v>
      </c>
      <c r="J5" t="s">
        <v>99</v>
      </c>
      <c r="K5" t="s">
        <v>78</v>
      </c>
      <c r="L5" t="s">
        <v>112</v>
      </c>
      <c r="M5" t="s">
        <v>113</v>
      </c>
      <c r="N5" t="s">
        <v>114</v>
      </c>
      <c r="O5" t="s">
        <v>100</v>
      </c>
      <c r="P5" t="str">
        <f>"INV-00115730 CT092854         "</f>
        <v xml:space="preserve">INV-00115730 CT092854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47.46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4.2</v>
      </c>
      <c r="BJ5">
        <v>12.6</v>
      </c>
      <c r="BK5">
        <v>13</v>
      </c>
      <c r="BL5">
        <v>147.01</v>
      </c>
      <c r="BM5">
        <v>22.05</v>
      </c>
      <c r="BN5">
        <v>169.06</v>
      </c>
      <c r="BO5">
        <v>169.06</v>
      </c>
      <c r="BQ5" t="s">
        <v>115</v>
      </c>
      <c r="BR5" t="s">
        <v>101</v>
      </c>
      <c r="BS5" s="3">
        <v>45721</v>
      </c>
      <c r="BT5" s="4">
        <v>0.58194444444444449</v>
      </c>
      <c r="BU5" t="s">
        <v>116</v>
      </c>
      <c r="BV5" t="s">
        <v>109</v>
      </c>
      <c r="BY5">
        <v>62751.26</v>
      </c>
      <c r="CA5" t="s">
        <v>117</v>
      </c>
      <c r="CC5" t="s">
        <v>113</v>
      </c>
      <c r="CD5">
        <v>9301</v>
      </c>
      <c r="CE5" t="s">
        <v>118</v>
      </c>
      <c r="CF5" s="3">
        <v>45722</v>
      </c>
      <c r="CI5">
        <v>4</v>
      </c>
      <c r="CJ5">
        <v>2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"GAB2024635"</f>
        <v>GAB2024635</v>
      </c>
      <c r="F6" s="3">
        <v>45719</v>
      </c>
      <c r="G6">
        <v>202512</v>
      </c>
      <c r="H6" t="s">
        <v>97</v>
      </c>
      <c r="I6" t="s">
        <v>98</v>
      </c>
      <c r="J6" t="s">
        <v>99</v>
      </c>
      <c r="K6" t="s">
        <v>78</v>
      </c>
      <c r="L6" t="s">
        <v>79</v>
      </c>
      <c r="M6" t="s">
        <v>80</v>
      </c>
      <c r="N6" t="s">
        <v>119</v>
      </c>
      <c r="O6" t="s">
        <v>82</v>
      </c>
      <c r="P6" t="str">
        <f>"ATT:MINETTE  BIANKA           "</f>
        <v xml:space="preserve">ATT:MINETTE  BIANKA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30.67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2.4</v>
      </c>
      <c r="BK6">
        <v>2.5</v>
      </c>
      <c r="BL6">
        <v>91.41</v>
      </c>
      <c r="BM6">
        <v>13.71</v>
      </c>
      <c r="BN6">
        <v>105.12</v>
      </c>
      <c r="BO6">
        <v>105.12</v>
      </c>
      <c r="BQ6" t="s">
        <v>120</v>
      </c>
      <c r="BR6" t="s">
        <v>101</v>
      </c>
      <c r="BS6" s="3">
        <v>45720</v>
      </c>
      <c r="BT6" s="4">
        <v>0.42916666666666664</v>
      </c>
      <c r="BU6" t="s">
        <v>121</v>
      </c>
      <c r="BV6" t="s">
        <v>109</v>
      </c>
      <c r="BY6">
        <v>11783.52</v>
      </c>
      <c r="BZ6" t="s">
        <v>90</v>
      </c>
      <c r="CA6" t="s">
        <v>122</v>
      </c>
      <c r="CC6" t="s">
        <v>80</v>
      </c>
      <c r="CD6" s="5" t="s">
        <v>92</v>
      </c>
      <c r="CE6" t="s">
        <v>123</v>
      </c>
      <c r="CF6" s="3">
        <v>45720</v>
      </c>
      <c r="CI6">
        <v>1</v>
      </c>
      <c r="CJ6">
        <v>1</v>
      </c>
      <c r="CK6">
        <v>21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"GAB2024615"</f>
        <v>GAB2024615</v>
      </c>
      <c r="F7" s="3">
        <v>45719</v>
      </c>
      <c r="G7">
        <v>202512</v>
      </c>
      <c r="H7" t="s">
        <v>97</v>
      </c>
      <c r="I7" t="s">
        <v>98</v>
      </c>
      <c r="J7" t="s">
        <v>99</v>
      </c>
      <c r="K7" t="s">
        <v>78</v>
      </c>
      <c r="L7" t="s">
        <v>124</v>
      </c>
      <c r="M7" t="s">
        <v>125</v>
      </c>
      <c r="N7" t="s">
        <v>126</v>
      </c>
      <c r="O7" t="s">
        <v>82</v>
      </c>
      <c r="P7" t="str">
        <f>"INV-00115711 CT092817         "</f>
        <v xml:space="preserve">INV-00115711 CT092817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30.67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0.4</v>
      </c>
      <c r="BJ7">
        <v>2.2999999999999998</v>
      </c>
      <c r="BK7">
        <v>2.5</v>
      </c>
      <c r="BL7">
        <v>91.41</v>
      </c>
      <c r="BM7">
        <v>13.71</v>
      </c>
      <c r="BN7">
        <v>105.12</v>
      </c>
      <c r="BO7">
        <v>105.12</v>
      </c>
      <c r="BR7" t="s">
        <v>101</v>
      </c>
      <c r="BS7" s="3">
        <v>45720</v>
      </c>
      <c r="BT7" s="4">
        <v>0.41666666666666669</v>
      </c>
      <c r="BU7" t="s">
        <v>127</v>
      </c>
      <c r="BV7" t="s">
        <v>109</v>
      </c>
      <c r="BY7">
        <v>11612.45</v>
      </c>
      <c r="BZ7" t="s">
        <v>90</v>
      </c>
      <c r="CA7" t="s">
        <v>128</v>
      </c>
      <c r="CC7" t="s">
        <v>125</v>
      </c>
      <c r="CD7">
        <v>2146</v>
      </c>
      <c r="CE7" t="s">
        <v>129</v>
      </c>
      <c r="CF7" s="3">
        <v>45721</v>
      </c>
      <c r="CI7">
        <v>1</v>
      </c>
      <c r="CJ7">
        <v>1</v>
      </c>
      <c r="CK7">
        <v>21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"GAB2024621"</f>
        <v>GAB2024621</v>
      </c>
      <c r="F8" s="3">
        <v>45719</v>
      </c>
      <c r="G8">
        <v>202512</v>
      </c>
      <c r="H8" t="s">
        <v>97</v>
      </c>
      <c r="I8" t="s">
        <v>98</v>
      </c>
      <c r="J8" t="s">
        <v>99</v>
      </c>
      <c r="K8" t="s">
        <v>78</v>
      </c>
      <c r="L8" t="s">
        <v>130</v>
      </c>
      <c r="M8" t="s">
        <v>131</v>
      </c>
      <c r="N8" t="s">
        <v>132</v>
      </c>
      <c r="O8" t="s">
        <v>82</v>
      </c>
      <c r="P8" t="str">
        <f>"INV-00115704 CT092808         "</f>
        <v xml:space="preserve">INV-00115704 CT092808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30.67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2.1</v>
      </c>
      <c r="BK8">
        <v>2.5</v>
      </c>
      <c r="BL8">
        <v>91.41</v>
      </c>
      <c r="BM8">
        <v>13.71</v>
      </c>
      <c r="BN8">
        <v>105.12</v>
      </c>
      <c r="BO8">
        <v>105.12</v>
      </c>
      <c r="BQ8" t="s">
        <v>133</v>
      </c>
      <c r="BR8" t="s">
        <v>101</v>
      </c>
      <c r="BS8" s="3">
        <v>45721</v>
      </c>
      <c r="BT8" s="4">
        <v>0.39513888888888887</v>
      </c>
      <c r="BU8" t="s">
        <v>134</v>
      </c>
      <c r="BV8" t="s">
        <v>109</v>
      </c>
      <c r="BY8">
        <v>10376.1</v>
      </c>
      <c r="BZ8" t="s">
        <v>90</v>
      </c>
      <c r="CA8" t="s">
        <v>135</v>
      </c>
      <c r="CC8" t="s">
        <v>131</v>
      </c>
      <c r="CD8" s="5" t="s">
        <v>136</v>
      </c>
      <c r="CE8" t="s">
        <v>137</v>
      </c>
      <c r="CF8" s="3">
        <v>45721</v>
      </c>
      <c r="CI8">
        <v>2</v>
      </c>
      <c r="CJ8">
        <v>2</v>
      </c>
      <c r="CK8">
        <v>21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"GAB2024622"</f>
        <v>GAB2024622</v>
      </c>
      <c r="F9" s="3">
        <v>45719</v>
      </c>
      <c r="G9">
        <v>202512</v>
      </c>
      <c r="H9" t="s">
        <v>97</v>
      </c>
      <c r="I9" t="s">
        <v>98</v>
      </c>
      <c r="J9" t="s">
        <v>99</v>
      </c>
      <c r="K9" t="s">
        <v>78</v>
      </c>
      <c r="L9" t="s">
        <v>138</v>
      </c>
      <c r="M9" t="s">
        <v>139</v>
      </c>
      <c r="N9" t="s">
        <v>140</v>
      </c>
      <c r="O9" t="s">
        <v>82</v>
      </c>
      <c r="P9" t="str">
        <f>"INV-00115705 CT092806         "</f>
        <v xml:space="preserve">INV-00115705 CT092806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58.29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2.2000000000000002</v>
      </c>
      <c r="BK9">
        <v>2.5</v>
      </c>
      <c r="BL9">
        <v>173.71</v>
      </c>
      <c r="BM9">
        <v>26.06</v>
      </c>
      <c r="BN9">
        <v>199.77</v>
      </c>
      <c r="BO9">
        <v>199.77</v>
      </c>
      <c r="BQ9" t="s">
        <v>141</v>
      </c>
      <c r="BR9" t="s">
        <v>101</v>
      </c>
      <c r="BS9" s="3">
        <v>45720</v>
      </c>
      <c r="BT9" s="4">
        <v>0.3659722222222222</v>
      </c>
      <c r="BU9" t="s">
        <v>142</v>
      </c>
      <c r="BV9" t="s">
        <v>109</v>
      </c>
      <c r="BY9">
        <v>10942.48</v>
      </c>
      <c r="BZ9" t="s">
        <v>90</v>
      </c>
      <c r="CA9" t="s">
        <v>143</v>
      </c>
      <c r="CC9" t="s">
        <v>139</v>
      </c>
      <c r="CD9">
        <v>1900</v>
      </c>
      <c r="CE9" t="s">
        <v>137</v>
      </c>
      <c r="CF9" s="3">
        <v>45720</v>
      </c>
      <c r="CI9">
        <v>1</v>
      </c>
      <c r="CJ9">
        <v>1</v>
      </c>
      <c r="CK9">
        <v>23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"GAB2024624"</f>
        <v>GAB2024624</v>
      </c>
      <c r="F10" s="3">
        <v>45719</v>
      </c>
      <c r="G10">
        <v>202512</v>
      </c>
      <c r="H10" t="s">
        <v>97</v>
      </c>
      <c r="I10" t="s">
        <v>98</v>
      </c>
      <c r="J10" t="s">
        <v>99</v>
      </c>
      <c r="K10" t="s">
        <v>78</v>
      </c>
      <c r="L10" t="s">
        <v>144</v>
      </c>
      <c r="M10" t="s">
        <v>145</v>
      </c>
      <c r="N10" t="s">
        <v>146</v>
      </c>
      <c r="O10" t="s">
        <v>82</v>
      </c>
      <c r="P10" t="str">
        <f>"INV-00033103 030619           "</f>
        <v xml:space="preserve">INV-00033103 030619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58.29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2.1</v>
      </c>
      <c r="BK10">
        <v>2.5</v>
      </c>
      <c r="BL10">
        <v>173.71</v>
      </c>
      <c r="BM10">
        <v>26.06</v>
      </c>
      <c r="BN10">
        <v>199.77</v>
      </c>
      <c r="BO10">
        <v>199.77</v>
      </c>
      <c r="BQ10" t="s">
        <v>147</v>
      </c>
      <c r="BR10" t="s">
        <v>101</v>
      </c>
      <c r="BS10" s="3">
        <v>45720</v>
      </c>
      <c r="BT10" s="4">
        <v>0.38194444444444442</v>
      </c>
      <c r="BU10" t="s">
        <v>148</v>
      </c>
      <c r="BV10" t="s">
        <v>109</v>
      </c>
      <c r="BY10">
        <v>10519.6</v>
      </c>
      <c r="BZ10" t="s">
        <v>90</v>
      </c>
      <c r="CC10" t="s">
        <v>145</v>
      </c>
      <c r="CD10">
        <v>1055</v>
      </c>
      <c r="CE10" t="s">
        <v>149</v>
      </c>
      <c r="CF10" s="3">
        <v>45720</v>
      </c>
      <c r="CI10">
        <v>1</v>
      </c>
      <c r="CJ10">
        <v>1</v>
      </c>
      <c r="CK10">
        <v>23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"GAB2024629"</f>
        <v>GAB2024629</v>
      </c>
      <c r="F11" s="3">
        <v>45719</v>
      </c>
      <c r="G11">
        <v>202512</v>
      </c>
      <c r="H11" t="s">
        <v>97</v>
      </c>
      <c r="I11" t="s">
        <v>98</v>
      </c>
      <c r="J11" t="s">
        <v>99</v>
      </c>
      <c r="K11" t="s">
        <v>78</v>
      </c>
      <c r="L11" t="s">
        <v>150</v>
      </c>
      <c r="M11" t="s">
        <v>151</v>
      </c>
      <c r="N11" t="s">
        <v>152</v>
      </c>
      <c r="O11" t="s">
        <v>82</v>
      </c>
      <c r="P11" t="str">
        <f>"ATT:NOKULUNGA                 "</f>
        <v xml:space="preserve">ATT:NOKULUNGA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69.02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2.6</v>
      </c>
      <c r="BK11">
        <v>3</v>
      </c>
      <c r="BL11">
        <v>205.7</v>
      </c>
      <c r="BM11">
        <v>30.86</v>
      </c>
      <c r="BN11">
        <v>236.56</v>
      </c>
      <c r="BO11">
        <v>236.56</v>
      </c>
      <c r="BQ11" t="s">
        <v>153</v>
      </c>
      <c r="BR11" t="s">
        <v>101</v>
      </c>
      <c r="BS11" s="3">
        <v>45720</v>
      </c>
      <c r="BT11" s="4">
        <v>0.43472222222222223</v>
      </c>
      <c r="BU11" t="s">
        <v>154</v>
      </c>
      <c r="BV11" t="s">
        <v>109</v>
      </c>
      <c r="BY11">
        <v>12846.68</v>
      </c>
      <c r="BZ11" t="s">
        <v>90</v>
      </c>
      <c r="CA11" t="s">
        <v>155</v>
      </c>
      <c r="CC11" t="s">
        <v>151</v>
      </c>
      <c r="CD11">
        <v>2940</v>
      </c>
      <c r="CE11" t="s">
        <v>123</v>
      </c>
      <c r="CF11" s="3">
        <v>45721</v>
      </c>
      <c r="CI11">
        <v>2</v>
      </c>
      <c r="CJ11">
        <v>1</v>
      </c>
      <c r="CK11">
        <v>23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"GAB2024620"</f>
        <v>GAB2024620</v>
      </c>
      <c r="F12" s="3">
        <v>45719</v>
      </c>
      <c r="G12">
        <v>202512</v>
      </c>
      <c r="H12" t="s">
        <v>97</v>
      </c>
      <c r="I12" t="s">
        <v>98</v>
      </c>
      <c r="J12" t="s">
        <v>99</v>
      </c>
      <c r="K12" t="s">
        <v>78</v>
      </c>
      <c r="L12" t="s">
        <v>144</v>
      </c>
      <c r="M12" t="s">
        <v>145</v>
      </c>
      <c r="N12" t="s">
        <v>156</v>
      </c>
      <c r="O12" t="s">
        <v>82</v>
      </c>
      <c r="P12" t="str">
        <f>"INV-00115703 CT092812         "</f>
        <v xml:space="preserve">INV-00115703 CT092812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47.55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</v>
      </c>
      <c r="BK12">
        <v>2</v>
      </c>
      <c r="BL12">
        <v>141.71</v>
      </c>
      <c r="BM12">
        <v>21.26</v>
      </c>
      <c r="BN12">
        <v>162.97</v>
      </c>
      <c r="BO12">
        <v>162.97</v>
      </c>
      <c r="BQ12" t="s">
        <v>157</v>
      </c>
      <c r="BR12" t="s">
        <v>101</v>
      </c>
      <c r="BS12" s="3">
        <v>45720</v>
      </c>
      <c r="BT12" s="4">
        <v>0.36388888888888887</v>
      </c>
      <c r="BU12" t="s">
        <v>158</v>
      </c>
      <c r="BV12" t="s">
        <v>109</v>
      </c>
      <c r="BY12">
        <v>10043.5</v>
      </c>
      <c r="BZ12" t="s">
        <v>90</v>
      </c>
      <c r="CA12" t="s">
        <v>159</v>
      </c>
      <c r="CC12" t="s">
        <v>145</v>
      </c>
      <c r="CD12">
        <v>1039</v>
      </c>
      <c r="CE12" t="s">
        <v>137</v>
      </c>
      <c r="CF12" s="3">
        <v>45720</v>
      </c>
      <c r="CI12">
        <v>1</v>
      </c>
      <c r="CJ12">
        <v>1</v>
      </c>
      <c r="CK12">
        <v>23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"GAB2024626"</f>
        <v>GAB2024626</v>
      </c>
      <c r="F13" s="3">
        <v>45719</v>
      </c>
      <c r="G13">
        <v>202512</v>
      </c>
      <c r="H13" t="s">
        <v>97</v>
      </c>
      <c r="I13" t="s">
        <v>98</v>
      </c>
      <c r="J13" t="s">
        <v>99</v>
      </c>
      <c r="K13" t="s">
        <v>78</v>
      </c>
      <c r="L13" t="s">
        <v>144</v>
      </c>
      <c r="M13" t="s">
        <v>145</v>
      </c>
      <c r="N13" t="s">
        <v>160</v>
      </c>
      <c r="O13" t="s">
        <v>82</v>
      </c>
      <c r="P13" t="str">
        <f>"INV-00033099 030617           "</f>
        <v xml:space="preserve">INV-00033099 030617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47.55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</v>
      </c>
      <c r="BK13">
        <v>2</v>
      </c>
      <c r="BL13">
        <v>141.71</v>
      </c>
      <c r="BM13">
        <v>21.26</v>
      </c>
      <c r="BN13">
        <v>162.97</v>
      </c>
      <c r="BO13">
        <v>162.97</v>
      </c>
      <c r="BQ13" t="s">
        <v>161</v>
      </c>
      <c r="BR13" t="s">
        <v>101</v>
      </c>
      <c r="BS13" s="3">
        <v>45720</v>
      </c>
      <c r="BT13" s="4">
        <v>0.33333333333333331</v>
      </c>
      <c r="BU13" t="s">
        <v>162</v>
      </c>
      <c r="BV13" t="s">
        <v>109</v>
      </c>
      <c r="BY13">
        <v>10155.6</v>
      </c>
      <c r="BZ13" t="s">
        <v>90</v>
      </c>
      <c r="CA13" t="s">
        <v>159</v>
      </c>
      <c r="CC13" t="s">
        <v>145</v>
      </c>
      <c r="CD13">
        <v>1035</v>
      </c>
      <c r="CE13" t="s">
        <v>149</v>
      </c>
      <c r="CF13" s="3">
        <v>45720</v>
      </c>
      <c r="CI13">
        <v>0</v>
      </c>
      <c r="CJ13">
        <v>0</v>
      </c>
      <c r="CK13">
        <v>23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"GAB2024619"</f>
        <v>GAB2024619</v>
      </c>
      <c r="F14" s="3">
        <v>45719</v>
      </c>
      <c r="G14">
        <v>202512</v>
      </c>
      <c r="H14" t="s">
        <v>97</v>
      </c>
      <c r="I14" t="s">
        <v>98</v>
      </c>
      <c r="J14" t="s">
        <v>99</v>
      </c>
      <c r="K14" t="s">
        <v>78</v>
      </c>
      <c r="L14" t="s">
        <v>163</v>
      </c>
      <c r="M14" t="s">
        <v>164</v>
      </c>
      <c r="N14" t="s">
        <v>165</v>
      </c>
      <c r="O14" t="s">
        <v>82</v>
      </c>
      <c r="P14" t="str">
        <f>"INV-00115702 CT092600         "</f>
        <v xml:space="preserve">INV-00115702 CT092600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47.55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1.6</v>
      </c>
      <c r="BK14">
        <v>2</v>
      </c>
      <c r="BL14">
        <v>141.71</v>
      </c>
      <c r="BM14">
        <v>21.26</v>
      </c>
      <c r="BN14">
        <v>162.97</v>
      </c>
      <c r="BO14">
        <v>162.97</v>
      </c>
      <c r="BQ14" t="s">
        <v>166</v>
      </c>
      <c r="BR14" t="s">
        <v>101</v>
      </c>
      <c r="BS14" s="3">
        <v>45721</v>
      </c>
      <c r="BT14" s="4">
        <v>0.39305555555555555</v>
      </c>
      <c r="BU14" t="s">
        <v>167</v>
      </c>
      <c r="BV14" t="s">
        <v>109</v>
      </c>
      <c r="BY14">
        <v>8188.79</v>
      </c>
      <c r="BZ14" t="s">
        <v>90</v>
      </c>
      <c r="CA14" t="s">
        <v>168</v>
      </c>
      <c r="CC14" t="s">
        <v>164</v>
      </c>
      <c r="CD14">
        <v>9459</v>
      </c>
      <c r="CE14" t="s">
        <v>169</v>
      </c>
      <c r="CF14" s="3">
        <v>45721</v>
      </c>
      <c r="CI14">
        <v>2</v>
      </c>
      <c r="CJ14">
        <v>2</v>
      </c>
      <c r="CK14">
        <v>23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"GAB2024627"</f>
        <v>GAB2024627</v>
      </c>
      <c r="F15" s="3">
        <v>45719</v>
      </c>
      <c r="G15">
        <v>202512</v>
      </c>
      <c r="H15" t="s">
        <v>97</v>
      </c>
      <c r="I15" t="s">
        <v>98</v>
      </c>
      <c r="J15" t="s">
        <v>99</v>
      </c>
      <c r="K15" t="s">
        <v>78</v>
      </c>
      <c r="L15" t="s">
        <v>170</v>
      </c>
      <c r="M15" t="s">
        <v>171</v>
      </c>
      <c r="N15" t="s">
        <v>172</v>
      </c>
      <c r="O15" t="s">
        <v>82</v>
      </c>
      <c r="P15" t="str">
        <f>"INV-00115716 CT092837         "</f>
        <v xml:space="preserve">INV-00115716 CT092837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58.29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0.9</v>
      </c>
      <c r="BJ15">
        <v>2.4</v>
      </c>
      <c r="BK15">
        <v>2.5</v>
      </c>
      <c r="BL15">
        <v>173.71</v>
      </c>
      <c r="BM15">
        <v>26.06</v>
      </c>
      <c r="BN15">
        <v>199.77</v>
      </c>
      <c r="BO15">
        <v>199.77</v>
      </c>
      <c r="BQ15" t="s">
        <v>173</v>
      </c>
      <c r="BR15" t="s">
        <v>101</v>
      </c>
      <c r="BS15" s="3">
        <v>45721</v>
      </c>
      <c r="BT15" s="4">
        <v>0.41666666666666669</v>
      </c>
      <c r="BU15" t="s">
        <v>174</v>
      </c>
      <c r="BV15" t="s">
        <v>109</v>
      </c>
      <c r="BY15">
        <v>11776.9</v>
      </c>
      <c r="BZ15" t="s">
        <v>90</v>
      </c>
      <c r="CA15" t="s">
        <v>175</v>
      </c>
      <c r="CC15" t="s">
        <v>171</v>
      </c>
      <c r="CD15">
        <v>9700</v>
      </c>
      <c r="CE15" t="s">
        <v>176</v>
      </c>
      <c r="CF15" s="3">
        <v>45721</v>
      </c>
      <c r="CI15">
        <v>2</v>
      </c>
      <c r="CJ15">
        <v>2</v>
      </c>
      <c r="CK15">
        <v>23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"GAB2024630"</f>
        <v>GAB2024630</v>
      </c>
      <c r="F16" s="3">
        <v>45719</v>
      </c>
      <c r="G16">
        <v>202512</v>
      </c>
      <c r="H16" t="s">
        <v>97</v>
      </c>
      <c r="I16" t="s">
        <v>98</v>
      </c>
      <c r="J16" t="s">
        <v>99</v>
      </c>
      <c r="K16" t="s">
        <v>78</v>
      </c>
      <c r="L16" t="s">
        <v>112</v>
      </c>
      <c r="M16" t="s">
        <v>113</v>
      </c>
      <c r="N16" t="s">
        <v>177</v>
      </c>
      <c r="O16" t="s">
        <v>82</v>
      </c>
      <c r="P16" t="str">
        <f>"ATT:TRACEY                    "</f>
        <v xml:space="preserve">ATT:TRACEY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36.799999999999997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2.6</v>
      </c>
      <c r="BK16">
        <v>3</v>
      </c>
      <c r="BL16">
        <v>109.68</v>
      </c>
      <c r="BM16">
        <v>16.45</v>
      </c>
      <c r="BN16">
        <v>126.13</v>
      </c>
      <c r="BO16">
        <v>126.13</v>
      </c>
      <c r="BQ16" t="s">
        <v>178</v>
      </c>
      <c r="BR16" t="s">
        <v>101</v>
      </c>
      <c r="BS16" s="3">
        <v>45733</v>
      </c>
      <c r="BT16" s="4">
        <v>0.5</v>
      </c>
      <c r="BU16" t="s">
        <v>179</v>
      </c>
      <c r="BV16" t="s">
        <v>87</v>
      </c>
      <c r="BW16" t="s">
        <v>180</v>
      </c>
      <c r="BX16" t="s">
        <v>181</v>
      </c>
      <c r="BY16">
        <v>13213.2</v>
      </c>
      <c r="BZ16" t="s">
        <v>90</v>
      </c>
      <c r="CC16" t="s">
        <v>113</v>
      </c>
      <c r="CD16">
        <v>9301</v>
      </c>
      <c r="CE16" t="s">
        <v>123</v>
      </c>
      <c r="CF16" s="3">
        <v>45734</v>
      </c>
      <c r="CI16">
        <v>2</v>
      </c>
      <c r="CJ16">
        <v>10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"GAB2024616"</f>
        <v>GAB2024616</v>
      </c>
      <c r="F17" s="3">
        <v>45719</v>
      </c>
      <c r="G17">
        <v>202512</v>
      </c>
      <c r="H17" t="s">
        <v>97</v>
      </c>
      <c r="I17" t="s">
        <v>98</v>
      </c>
      <c r="J17" t="s">
        <v>99</v>
      </c>
      <c r="K17" t="s">
        <v>78</v>
      </c>
      <c r="L17" t="s">
        <v>182</v>
      </c>
      <c r="M17" t="s">
        <v>183</v>
      </c>
      <c r="N17" t="s">
        <v>184</v>
      </c>
      <c r="O17" t="s">
        <v>82</v>
      </c>
      <c r="P17" t="str">
        <f>"INV-00115699 CT092799         "</f>
        <v xml:space="preserve">INV-00115699 CT092799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24.54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1.9</v>
      </c>
      <c r="BK17">
        <v>2</v>
      </c>
      <c r="BL17">
        <v>73.14</v>
      </c>
      <c r="BM17">
        <v>10.97</v>
      </c>
      <c r="BN17">
        <v>84.11</v>
      </c>
      <c r="BO17">
        <v>84.11</v>
      </c>
      <c r="BQ17" t="s">
        <v>185</v>
      </c>
      <c r="BR17" t="s">
        <v>101</v>
      </c>
      <c r="BS17" s="3">
        <v>45721</v>
      </c>
      <c r="BT17" s="4">
        <v>0.61944444444444446</v>
      </c>
      <c r="BU17" t="s">
        <v>186</v>
      </c>
      <c r="BV17" t="s">
        <v>87</v>
      </c>
      <c r="BW17" t="s">
        <v>187</v>
      </c>
      <c r="BX17" t="s">
        <v>188</v>
      </c>
      <c r="BY17">
        <v>9688</v>
      </c>
      <c r="BZ17" t="s">
        <v>90</v>
      </c>
      <c r="CA17" t="s">
        <v>189</v>
      </c>
      <c r="CC17" t="s">
        <v>183</v>
      </c>
      <c r="CD17">
        <v>3610</v>
      </c>
      <c r="CE17" t="s">
        <v>129</v>
      </c>
      <c r="CF17" s="3">
        <v>45722</v>
      </c>
      <c r="CI17">
        <v>2</v>
      </c>
      <c r="CJ17">
        <v>2</v>
      </c>
      <c r="CK17">
        <v>21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"GAB2024617"</f>
        <v>GAB2024617</v>
      </c>
      <c r="F18" s="3">
        <v>45719</v>
      </c>
      <c r="G18">
        <v>202512</v>
      </c>
      <c r="H18" t="s">
        <v>97</v>
      </c>
      <c r="I18" t="s">
        <v>98</v>
      </c>
      <c r="J18" t="s">
        <v>99</v>
      </c>
      <c r="K18" t="s">
        <v>78</v>
      </c>
      <c r="L18" t="s">
        <v>75</v>
      </c>
      <c r="M18" t="s">
        <v>76</v>
      </c>
      <c r="N18" t="s">
        <v>190</v>
      </c>
      <c r="O18" t="s">
        <v>82</v>
      </c>
      <c r="P18" t="str">
        <f>"INV-00115700 CT092801         "</f>
        <v xml:space="preserve">INV-00115700 CT092801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24.54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0.6</v>
      </c>
      <c r="BJ18">
        <v>1.6</v>
      </c>
      <c r="BK18">
        <v>2</v>
      </c>
      <c r="BL18">
        <v>73.14</v>
      </c>
      <c r="BM18">
        <v>10.97</v>
      </c>
      <c r="BN18">
        <v>84.11</v>
      </c>
      <c r="BO18">
        <v>84.11</v>
      </c>
      <c r="BQ18" t="s">
        <v>191</v>
      </c>
      <c r="BR18" t="s">
        <v>101</v>
      </c>
      <c r="BS18" s="3">
        <v>45721</v>
      </c>
      <c r="BT18" s="4">
        <v>0.45</v>
      </c>
      <c r="BU18" t="s">
        <v>121</v>
      </c>
      <c r="BV18" t="s">
        <v>87</v>
      </c>
      <c r="BW18" t="s">
        <v>187</v>
      </c>
      <c r="BX18" t="s">
        <v>188</v>
      </c>
      <c r="BY18">
        <v>8168.16</v>
      </c>
      <c r="BZ18" t="s">
        <v>90</v>
      </c>
      <c r="CA18" t="s">
        <v>192</v>
      </c>
      <c r="CC18" t="s">
        <v>76</v>
      </c>
      <c r="CD18">
        <v>4001</v>
      </c>
      <c r="CE18" t="s">
        <v>193</v>
      </c>
      <c r="CF18" s="3">
        <v>45722</v>
      </c>
      <c r="CI18">
        <v>2</v>
      </c>
      <c r="CJ18">
        <v>2</v>
      </c>
      <c r="CK18">
        <v>21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"009944695126"</f>
        <v>009944695126</v>
      </c>
      <c r="F19" s="3">
        <v>45719</v>
      </c>
      <c r="G19">
        <v>202512</v>
      </c>
      <c r="H19" t="s">
        <v>79</v>
      </c>
      <c r="I19" t="s">
        <v>80</v>
      </c>
      <c r="J19" t="s">
        <v>194</v>
      </c>
      <c r="K19" t="s">
        <v>78</v>
      </c>
      <c r="L19" t="s">
        <v>75</v>
      </c>
      <c r="M19" t="s">
        <v>76</v>
      </c>
      <c r="N19" t="s">
        <v>119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30.67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2.4</v>
      </c>
      <c r="BK19">
        <v>2.5</v>
      </c>
      <c r="BL19">
        <v>91.41</v>
      </c>
      <c r="BM19">
        <v>13.71</v>
      </c>
      <c r="BN19">
        <v>105.12</v>
      </c>
      <c r="BO19">
        <v>105.12</v>
      </c>
      <c r="BQ19" t="s">
        <v>195</v>
      </c>
      <c r="BR19" t="s">
        <v>196</v>
      </c>
      <c r="BS19" s="3">
        <v>45720</v>
      </c>
      <c r="BT19" s="4">
        <v>0.49930555555555556</v>
      </c>
      <c r="BU19" t="s">
        <v>197</v>
      </c>
      <c r="BV19" t="s">
        <v>87</v>
      </c>
      <c r="BW19" t="s">
        <v>198</v>
      </c>
      <c r="BX19" t="s">
        <v>199</v>
      </c>
      <c r="BY19">
        <v>12000</v>
      </c>
      <c r="BZ19" t="s">
        <v>90</v>
      </c>
      <c r="CC19" t="s">
        <v>76</v>
      </c>
      <c r="CD19">
        <v>4000</v>
      </c>
      <c r="CE19" t="s">
        <v>200</v>
      </c>
      <c r="CF19" s="3">
        <v>45720</v>
      </c>
      <c r="CI19">
        <v>1</v>
      </c>
      <c r="CJ19">
        <v>1</v>
      </c>
      <c r="CK19">
        <v>21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"009944695125"</f>
        <v>009944695125</v>
      </c>
      <c r="F20" s="3">
        <v>45719</v>
      </c>
      <c r="G20">
        <v>202512</v>
      </c>
      <c r="H20" t="s">
        <v>79</v>
      </c>
      <c r="I20" t="s">
        <v>80</v>
      </c>
      <c r="J20" t="s">
        <v>194</v>
      </c>
      <c r="K20" t="s">
        <v>78</v>
      </c>
      <c r="L20" t="s">
        <v>97</v>
      </c>
      <c r="M20" t="s">
        <v>98</v>
      </c>
      <c r="N20" t="s">
        <v>201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30.67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2.4</v>
      </c>
      <c r="BK20">
        <v>2.5</v>
      </c>
      <c r="BL20">
        <v>91.41</v>
      </c>
      <c r="BM20">
        <v>13.71</v>
      </c>
      <c r="BN20">
        <v>105.12</v>
      </c>
      <c r="BO20">
        <v>105.12</v>
      </c>
      <c r="BQ20" t="s">
        <v>202</v>
      </c>
      <c r="BR20" t="s">
        <v>196</v>
      </c>
      <c r="BS20" s="3">
        <v>45721</v>
      </c>
      <c r="BT20" s="4">
        <v>0.46180555555555558</v>
      </c>
      <c r="BU20" t="s">
        <v>203</v>
      </c>
      <c r="BV20" t="s">
        <v>87</v>
      </c>
      <c r="BW20" t="s">
        <v>204</v>
      </c>
      <c r="BX20" t="s">
        <v>205</v>
      </c>
      <c r="BY20">
        <v>12000</v>
      </c>
      <c r="BZ20" t="s">
        <v>90</v>
      </c>
      <c r="CA20" t="s">
        <v>104</v>
      </c>
      <c r="CC20" t="s">
        <v>98</v>
      </c>
      <c r="CD20">
        <v>7460</v>
      </c>
      <c r="CE20" t="s">
        <v>200</v>
      </c>
      <c r="CF20" s="3">
        <v>45722</v>
      </c>
      <c r="CI20">
        <v>1</v>
      </c>
      <c r="CJ20">
        <v>2</v>
      </c>
      <c r="CK20">
        <v>21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"GAB2024614"</f>
        <v>GAB2024614</v>
      </c>
      <c r="F21" s="3">
        <v>45719</v>
      </c>
      <c r="G21">
        <v>202512</v>
      </c>
      <c r="H21" t="s">
        <v>97</v>
      </c>
      <c r="I21" t="s">
        <v>98</v>
      </c>
      <c r="J21" t="s">
        <v>99</v>
      </c>
      <c r="K21" t="s">
        <v>78</v>
      </c>
      <c r="L21" t="s">
        <v>97</v>
      </c>
      <c r="M21" t="s">
        <v>98</v>
      </c>
      <c r="N21" t="s">
        <v>206</v>
      </c>
      <c r="O21" t="s">
        <v>82</v>
      </c>
      <c r="P21" t="str">
        <f>"INV-00115710 CT092815         "</f>
        <v xml:space="preserve">INV-00115710 CT092815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19.170000000000002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2.2999999999999998</v>
      </c>
      <c r="BK21">
        <v>3</v>
      </c>
      <c r="BL21">
        <v>57.13</v>
      </c>
      <c r="BM21">
        <v>8.57</v>
      </c>
      <c r="BN21">
        <v>65.7</v>
      </c>
      <c r="BO21">
        <v>65.7</v>
      </c>
      <c r="BQ21" t="s">
        <v>207</v>
      </c>
      <c r="BR21" t="s">
        <v>101</v>
      </c>
      <c r="BS21" s="3">
        <v>45720</v>
      </c>
      <c r="BT21" s="4">
        <v>0.41666666666666669</v>
      </c>
      <c r="BU21" t="s">
        <v>208</v>
      </c>
      <c r="BV21" t="s">
        <v>109</v>
      </c>
      <c r="BY21">
        <v>11307.8</v>
      </c>
      <c r="BZ21" t="s">
        <v>90</v>
      </c>
      <c r="CC21" t="s">
        <v>98</v>
      </c>
      <c r="CD21">
        <v>7550</v>
      </c>
      <c r="CE21" t="s">
        <v>137</v>
      </c>
      <c r="CF21" s="3">
        <v>45721</v>
      </c>
      <c r="CI21">
        <v>1</v>
      </c>
      <c r="CJ21">
        <v>1</v>
      </c>
      <c r="CK21">
        <v>22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"GAB2024625"</f>
        <v>GAB2024625</v>
      </c>
      <c r="F22" s="3">
        <v>45719</v>
      </c>
      <c r="G22">
        <v>202512</v>
      </c>
      <c r="H22" t="s">
        <v>97</v>
      </c>
      <c r="I22" t="s">
        <v>98</v>
      </c>
      <c r="J22" t="s">
        <v>99</v>
      </c>
      <c r="K22" t="s">
        <v>78</v>
      </c>
      <c r="L22" t="s">
        <v>97</v>
      </c>
      <c r="M22" t="s">
        <v>98</v>
      </c>
      <c r="N22" t="s">
        <v>209</v>
      </c>
      <c r="O22" t="s">
        <v>82</v>
      </c>
      <c r="P22" t="str">
        <f>"INV-00033097 030660           "</f>
        <v xml:space="preserve">INV-00033097 030660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19.170000000000002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2.7</v>
      </c>
      <c r="BK22">
        <v>3</v>
      </c>
      <c r="BL22">
        <v>57.13</v>
      </c>
      <c r="BM22">
        <v>8.57</v>
      </c>
      <c r="BN22">
        <v>65.7</v>
      </c>
      <c r="BO22">
        <v>65.7</v>
      </c>
      <c r="BQ22" t="s">
        <v>210</v>
      </c>
      <c r="BR22" t="s">
        <v>101</v>
      </c>
      <c r="BS22" s="3">
        <v>45720</v>
      </c>
      <c r="BT22" s="4">
        <v>0.41597222222222224</v>
      </c>
      <c r="BU22" t="s">
        <v>211</v>
      </c>
      <c r="BV22" t="s">
        <v>109</v>
      </c>
      <c r="BY22">
        <v>13668.38</v>
      </c>
      <c r="BZ22" t="s">
        <v>90</v>
      </c>
      <c r="CA22" t="s">
        <v>212</v>
      </c>
      <c r="CC22" t="s">
        <v>98</v>
      </c>
      <c r="CD22">
        <v>7441</v>
      </c>
      <c r="CE22" t="s">
        <v>213</v>
      </c>
      <c r="CF22" s="3">
        <v>45721</v>
      </c>
      <c r="CI22">
        <v>1</v>
      </c>
      <c r="CJ22">
        <v>1</v>
      </c>
      <c r="CK22">
        <v>22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"GAB2024628"</f>
        <v>GAB2024628</v>
      </c>
      <c r="F23" s="3">
        <v>45719</v>
      </c>
      <c r="G23">
        <v>202512</v>
      </c>
      <c r="H23" t="s">
        <v>97</v>
      </c>
      <c r="I23" t="s">
        <v>98</v>
      </c>
      <c r="J23" t="s">
        <v>99</v>
      </c>
      <c r="K23" t="s">
        <v>78</v>
      </c>
      <c r="L23" t="s">
        <v>214</v>
      </c>
      <c r="M23" t="s">
        <v>215</v>
      </c>
      <c r="N23" t="s">
        <v>216</v>
      </c>
      <c r="O23" t="s">
        <v>82</v>
      </c>
      <c r="P23" t="str">
        <f>"INV-00115719 CT092827         "</f>
        <v xml:space="preserve">INV-00115719 CT092827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30.67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2.2999999999999998</v>
      </c>
      <c r="BK23">
        <v>2.5</v>
      </c>
      <c r="BL23">
        <v>91.41</v>
      </c>
      <c r="BM23">
        <v>13.71</v>
      </c>
      <c r="BN23">
        <v>105.12</v>
      </c>
      <c r="BO23">
        <v>105.12</v>
      </c>
      <c r="BQ23" t="s">
        <v>217</v>
      </c>
      <c r="BR23" t="s">
        <v>101</v>
      </c>
      <c r="BS23" s="3">
        <v>45720</v>
      </c>
      <c r="BT23" s="4">
        <v>0.42569444444444443</v>
      </c>
      <c r="BU23" t="s">
        <v>218</v>
      </c>
      <c r="BV23" t="s">
        <v>109</v>
      </c>
      <c r="BY23">
        <v>11702.4</v>
      </c>
      <c r="BZ23" t="s">
        <v>90</v>
      </c>
      <c r="CA23" t="s">
        <v>219</v>
      </c>
      <c r="CC23" t="s">
        <v>215</v>
      </c>
      <c r="CD23">
        <v>6529</v>
      </c>
      <c r="CE23" t="s">
        <v>149</v>
      </c>
      <c r="CF23" s="3">
        <v>45721</v>
      </c>
      <c r="CI23">
        <v>1</v>
      </c>
      <c r="CJ23">
        <v>1</v>
      </c>
      <c r="CK23">
        <v>21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"GAB2024631"</f>
        <v>GAB2024631</v>
      </c>
      <c r="F24" s="3">
        <v>45719</v>
      </c>
      <c r="G24">
        <v>202512</v>
      </c>
      <c r="H24" t="s">
        <v>97</v>
      </c>
      <c r="I24" t="s">
        <v>98</v>
      </c>
      <c r="J24" t="s">
        <v>99</v>
      </c>
      <c r="K24" t="s">
        <v>78</v>
      </c>
      <c r="L24" t="s">
        <v>97</v>
      </c>
      <c r="M24" t="s">
        <v>98</v>
      </c>
      <c r="N24" t="s">
        <v>220</v>
      </c>
      <c r="O24" t="s">
        <v>82</v>
      </c>
      <c r="P24" t="str">
        <f>"INV-00115715 00115718 CT092835"</f>
        <v>INV-00115715 00115718 CT092835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19.170000000000002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1.7</v>
      </c>
      <c r="BK24">
        <v>2</v>
      </c>
      <c r="BL24">
        <v>57.13</v>
      </c>
      <c r="BM24">
        <v>8.57</v>
      </c>
      <c r="BN24">
        <v>65.7</v>
      </c>
      <c r="BO24">
        <v>65.7</v>
      </c>
      <c r="BQ24" t="s">
        <v>221</v>
      </c>
      <c r="BR24" t="s">
        <v>101</v>
      </c>
      <c r="BS24" s="3">
        <v>45720</v>
      </c>
      <c r="BT24" s="4">
        <v>0.42708333333333331</v>
      </c>
      <c r="BU24" t="s">
        <v>222</v>
      </c>
      <c r="BV24" t="s">
        <v>109</v>
      </c>
      <c r="BY24">
        <v>8426.06</v>
      </c>
      <c r="BZ24" t="s">
        <v>90</v>
      </c>
      <c r="CA24" t="s">
        <v>223</v>
      </c>
      <c r="CC24" t="s">
        <v>98</v>
      </c>
      <c r="CD24">
        <v>7800</v>
      </c>
      <c r="CE24" t="s">
        <v>224</v>
      </c>
      <c r="CF24" s="3">
        <v>45721</v>
      </c>
      <c r="CI24">
        <v>1</v>
      </c>
      <c r="CJ24">
        <v>1</v>
      </c>
      <c r="CK24">
        <v>22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"GAB2024633"</f>
        <v>GAB2024633</v>
      </c>
      <c r="F25" s="3">
        <v>45719</v>
      </c>
      <c r="G25">
        <v>202512</v>
      </c>
      <c r="H25" t="s">
        <v>97</v>
      </c>
      <c r="I25" t="s">
        <v>98</v>
      </c>
      <c r="J25" t="s">
        <v>99</v>
      </c>
      <c r="K25" t="s">
        <v>78</v>
      </c>
      <c r="L25" t="s">
        <v>97</v>
      </c>
      <c r="M25" t="s">
        <v>98</v>
      </c>
      <c r="N25" t="s">
        <v>225</v>
      </c>
      <c r="O25" t="s">
        <v>82</v>
      </c>
      <c r="P25" t="str">
        <f>"INV-00115728 CT092484         "</f>
        <v xml:space="preserve">INV-00115728 CT092484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19.170000000000002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1.6</v>
      </c>
      <c r="BK25">
        <v>2</v>
      </c>
      <c r="BL25">
        <v>57.13</v>
      </c>
      <c r="BM25">
        <v>8.57</v>
      </c>
      <c r="BN25">
        <v>65.7</v>
      </c>
      <c r="BO25">
        <v>65.7</v>
      </c>
      <c r="BQ25" t="s">
        <v>226</v>
      </c>
      <c r="BR25" t="s">
        <v>101</v>
      </c>
      <c r="BS25" s="3">
        <v>45720</v>
      </c>
      <c r="BT25" s="4">
        <v>0.38958333333333334</v>
      </c>
      <c r="BU25" t="s">
        <v>227</v>
      </c>
      <c r="BV25" t="s">
        <v>109</v>
      </c>
      <c r="BY25">
        <v>8045.4</v>
      </c>
      <c r="BZ25" t="s">
        <v>90</v>
      </c>
      <c r="CA25" t="s">
        <v>228</v>
      </c>
      <c r="CC25" t="s">
        <v>98</v>
      </c>
      <c r="CD25">
        <v>7441</v>
      </c>
      <c r="CE25" t="s">
        <v>229</v>
      </c>
      <c r="CF25" s="3">
        <v>45721</v>
      </c>
      <c r="CI25">
        <v>1</v>
      </c>
      <c r="CJ25">
        <v>1</v>
      </c>
      <c r="CK25">
        <v>22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"GAB2024640"</f>
        <v>GAB2024640</v>
      </c>
      <c r="F26" s="3">
        <v>45720</v>
      </c>
      <c r="G26">
        <v>202512</v>
      </c>
      <c r="H26" t="s">
        <v>97</v>
      </c>
      <c r="I26" t="s">
        <v>98</v>
      </c>
      <c r="J26" t="s">
        <v>99</v>
      </c>
      <c r="K26" t="s">
        <v>78</v>
      </c>
      <c r="L26" t="s">
        <v>79</v>
      </c>
      <c r="M26" t="s">
        <v>80</v>
      </c>
      <c r="N26" t="s">
        <v>119</v>
      </c>
      <c r="O26" t="s">
        <v>100</v>
      </c>
      <c r="P26" t="str">
        <f>"INV-00115725 CT092573         "</f>
        <v xml:space="preserve">INV-00115725 CT092573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272.79000000000002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8</v>
      </c>
      <c r="BI26">
        <v>21.6</v>
      </c>
      <c r="BJ26">
        <v>129.4</v>
      </c>
      <c r="BK26">
        <v>130</v>
      </c>
      <c r="BL26">
        <v>818.54</v>
      </c>
      <c r="BM26">
        <v>122.78</v>
      </c>
      <c r="BN26">
        <v>941.32</v>
      </c>
      <c r="BO26">
        <v>941.32</v>
      </c>
      <c r="BQ26" t="s">
        <v>230</v>
      </c>
      <c r="BR26" t="s">
        <v>101</v>
      </c>
      <c r="BS26" s="3">
        <v>45722</v>
      </c>
      <c r="BT26" s="4">
        <v>0.44791666666666669</v>
      </c>
      <c r="BU26" t="s">
        <v>121</v>
      </c>
      <c r="BV26" t="s">
        <v>109</v>
      </c>
      <c r="BY26">
        <v>647175.84</v>
      </c>
      <c r="CA26" t="s">
        <v>231</v>
      </c>
      <c r="CC26" t="s">
        <v>80</v>
      </c>
      <c r="CD26" s="5" t="s">
        <v>92</v>
      </c>
      <c r="CE26" t="s">
        <v>232</v>
      </c>
      <c r="CF26" s="3">
        <v>45722</v>
      </c>
      <c r="CI26">
        <v>3</v>
      </c>
      <c r="CJ26">
        <v>2</v>
      </c>
      <c r="CK26">
        <v>41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"GAB2024638"</f>
        <v>GAB2024638</v>
      </c>
      <c r="F27" s="3">
        <v>45720</v>
      </c>
      <c r="G27">
        <v>202512</v>
      </c>
      <c r="H27" t="s">
        <v>97</v>
      </c>
      <c r="I27" t="s">
        <v>98</v>
      </c>
      <c r="J27" t="s">
        <v>99</v>
      </c>
      <c r="K27" t="s">
        <v>78</v>
      </c>
      <c r="L27" t="s">
        <v>97</v>
      </c>
      <c r="M27" t="s">
        <v>98</v>
      </c>
      <c r="N27" t="s">
        <v>233</v>
      </c>
      <c r="O27" t="s">
        <v>82</v>
      </c>
      <c r="P27" t="str">
        <f>"INV-00033137 030676           "</f>
        <v xml:space="preserve">INV-00033137 030676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19.170000000000002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0.4</v>
      </c>
      <c r="BJ27">
        <v>2.8</v>
      </c>
      <c r="BK27">
        <v>3</v>
      </c>
      <c r="BL27">
        <v>57.13</v>
      </c>
      <c r="BM27">
        <v>8.57</v>
      </c>
      <c r="BN27">
        <v>65.7</v>
      </c>
      <c r="BO27">
        <v>65.7</v>
      </c>
      <c r="BQ27" t="s">
        <v>234</v>
      </c>
      <c r="BR27" t="s">
        <v>101</v>
      </c>
      <c r="BS27" s="3">
        <v>45721</v>
      </c>
      <c r="BT27" s="4">
        <v>0.39930555555555558</v>
      </c>
      <c r="BU27" t="s">
        <v>235</v>
      </c>
      <c r="BV27" t="s">
        <v>109</v>
      </c>
      <c r="BY27">
        <v>13824</v>
      </c>
      <c r="BZ27" t="s">
        <v>90</v>
      </c>
      <c r="CA27" t="s">
        <v>236</v>
      </c>
      <c r="CC27" t="s">
        <v>98</v>
      </c>
      <c r="CD27">
        <v>7708</v>
      </c>
      <c r="CE27" t="s">
        <v>237</v>
      </c>
      <c r="CF27" s="3">
        <v>45722</v>
      </c>
      <c r="CI27">
        <v>1</v>
      </c>
      <c r="CJ27">
        <v>1</v>
      </c>
      <c r="CK27">
        <v>22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"GAB2024639"</f>
        <v>GAB2024639</v>
      </c>
      <c r="F28" s="3">
        <v>45720</v>
      </c>
      <c r="G28">
        <v>202512</v>
      </c>
      <c r="H28" t="s">
        <v>97</v>
      </c>
      <c r="I28" t="s">
        <v>98</v>
      </c>
      <c r="J28" t="s">
        <v>99</v>
      </c>
      <c r="K28" t="s">
        <v>78</v>
      </c>
      <c r="L28" t="s">
        <v>170</v>
      </c>
      <c r="M28" t="s">
        <v>171</v>
      </c>
      <c r="N28" t="s">
        <v>172</v>
      </c>
      <c r="O28" t="s">
        <v>82</v>
      </c>
      <c r="P28" t="str">
        <f>"INV-00115726 CT092858         "</f>
        <v xml:space="preserve">INV-00115726 CT092858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58.29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2.4</v>
      </c>
      <c r="BK28">
        <v>2.5</v>
      </c>
      <c r="BL28">
        <v>173.71</v>
      </c>
      <c r="BM28">
        <v>26.06</v>
      </c>
      <c r="BN28">
        <v>199.77</v>
      </c>
      <c r="BO28">
        <v>199.77</v>
      </c>
      <c r="BQ28" t="s">
        <v>173</v>
      </c>
      <c r="BR28" t="s">
        <v>101</v>
      </c>
      <c r="BS28" t="s">
        <v>83</v>
      </c>
      <c r="BY28">
        <v>12000</v>
      </c>
      <c r="CC28" t="s">
        <v>171</v>
      </c>
      <c r="CD28">
        <v>9700</v>
      </c>
      <c r="CE28" t="s">
        <v>137</v>
      </c>
      <c r="CI28">
        <v>2</v>
      </c>
      <c r="CJ28" t="s">
        <v>83</v>
      </c>
      <c r="CK28">
        <v>23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"GAB2024641"</f>
        <v>GAB2024641</v>
      </c>
      <c r="F29" s="3">
        <v>45720</v>
      </c>
      <c r="G29">
        <v>202512</v>
      </c>
      <c r="H29" t="s">
        <v>97</v>
      </c>
      <c r="I29" t="s">
        <v>98</v>
      </c>
      <c r="J29" t="s">
        <v>99</v>
      </c>
      <c r="K29" t="s">
        <v>78</v>
      </c>
      <c r="L29" t="s">
        <v>238</v>
      </c>
      <c r="M29" t="s">
        <v>239</v>
      </c>
      <c r="N29" t="s">
        <v>240</v>
      </c>
      <c r="O29" t="s">
        <v>82</v>
      </c>
      <c r="P29" t="str">
        <f>"INV-00033093 030655           "</f>
        <v xml:space="preserve">INV-00033093 030655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24.54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1.9</v>
      </c>
      <c r="BK29">
        <v>2</v>
      </c>
      <c r="BL29">
        <v>73.14</v>
      </c>
      <c r="BM29">
        <v>10.97</v>
      </c>
      <c r="BN29">
        <v>84.11</v>
      </c>
      <c r="BO29">
        <v>84.11</v>
      </c>
      <c r="BQ29" t="s">
        <v>241</v>
      </c>
      <c r="BR29" t="s">
        <v>101</v>
      </c>
      <c r="BS29" s="3">
        <v>45721</v>
      </c>
      <c r="BT29" s="4">
        <v>0.41249999999999998</v>
      </c>
      <c r="BU29" t="s">
        <v>242</v>
      </c>
      <c r="BV29" t="s">
        <v>109</v>
      </c>
      <c r="BY29">
        <v>9495.68</v>
      </c>
      <c r="BZ29" t="s">
        <v>90</v>
      </c>
      <c r="CA29" t="s">
        <v>243</v>
      </c>
      <c r="CC29" t="s">
        <v>239</v>
      </c>
      <c r="CD29">
        <v>2040</v>
      </c>
      <c r="CE29" t="s">
        <v>149</v>
      </c>
      <c r="CF29" s="3">
        <v>45722</v>
      </c>
      <c r="CI29">
        <v>1</v>
      </c>
      <c r="CJ29">
        <v>1</v>
      </c>
      <c r="CK29">
        <v>21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"GAB2024642"</f>
        <v>GAB2024642</v>
      </c>
      <c r="F30" s="3">
        <v>45720</v>
      </c>
      <c r="G30">
        <v>202512</v>
      </c>
      <c r="H30" t="s">
        <v>97</v>
      </c>
      <c r="I30" t="s">
        <v>98</v>
      </c>
      <c r="J30" t="s">
        <v>99</v>
      </c>
      <c r="K30" t="s">
        <v>78</v>
      </c>
      <c r="L30" t="s">
        <v>244</v>
      </c>
      <c r="M30" t="s">
        <v>245</v>
      </c>
      <c r="N30" t="s">
        <v>246</v>
      </c>
      <c r="O30" t="s">
        <v>82</v>
      </c>
      <c r="P30" t="str">
        <f>"INV-00115723 00115735 CT092839"</f>
        <v>INV-00115723 00115735 CT092839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58.29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1.3</v>
      </c>
      <c r="BJ30">
        <v>2.4</v>
      </c>
      <c r="BK30">
        <v>2.5</v>
      </c>
      <c r="BL30">
        <v>173.71</v>
      </c>
      <c r="BM30">
        <v>26.06</v>
      </c>
      <c r="BN30">
        <v>199.77</v>
      </c>
      <c r="BO30">
        <v>199.77</v>
      </c>
      <c r="BQ30" t="s">
        <v>247</v>
      </c>
      <c r="BR30" t="s">
        <v>101</v>
      </c>
      <c r="BS30" s="3">
        <v>45721</v>
      </c>
      <c r="BT30" s="4">
        <v>0.43125000000000002</v>
      </c>
      <c r="BU30" t="s">
        <v>248</v>
      </c>
      <c r="BV30" t="s">
        <v>109</v>
      </c>
      <c r="BY30">
        <v>12180.32</v>
      </c>
      <c r="BZ30" t="s">
        <v>90</v>
      </c>
      <c r="CC30" t="s">
        <v>245</v>
      </c>
      <c r="CD30" s="5" t="s">
        <v>249</v>
      </c>
      <c r="CE30" t="s">
        <v>250</v>
      </c>
      <c r="CF30" s="3">
        <v>45722</v>
      </c>
      <c r="CI30">
        <v>2</v>
      </c>
      <c r="CJ30">
        <v>1</v>
      </c>
      <c r="CK30">
        <v>23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"009944695123"</f>
        <v>009944695123</v>
      </c>
      <c r="F31" s="3">
        <v>45720</v>
      </c>
      <c r="G31">
        <v>202512</v>
      </c>
      <c r="H31" t="s">
        <v>79</v>
      </c>
      <c r="I31" t="s">
        <v>80</v>
      </c>
      <c r="J31" t="s">
        <v>194</v>
      </c>
      <c r="K31" t="s">
        <v>78</v>
      </c>
      <c r="L31" t="s">
        <v>75</v>
      </c>
      <c r="M31" t="s">
        <v>76</v>
      </c>
      <c r="N31" t="s">
        <v>119</v>
      </c>
      <c r="O31" t="s">
        <v>82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30.67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2.4</v>
      </c>
      <c r="BK31">
        <v>2.5</v>
      </c>
      <c r="BL31">
        <v>91.41</v>
      </c>
      <c r="BM31">
        <v>13.71</v>
      </c>
      <c r="BN31">
        <v>105.12</v>
      </c>
      <c r="BO31">
        <v>105.12</v>
      </c>
      <c r="BQ31" t="s">
        <v>251</v>
      </c>
      <c r="BR31" t="s">
        <v>252</v>
      </c>
      <c r="BS31" s="3">
        <v>45721</v>
      </c>
      <c r="BT31" s="4">
        <v>0.42708333333333331</v>
      </c>
      <c r="BU31" t="s">
        <v>253</v>
      </c>
      <c r="BV31" t="s">
        <v>109</v>
      </c>
      <c r="BY31">
        <v>12000</v>
      </c>
      <c r="BZ31" t="s">
        <v>90</v>
      </c>
      <c r="CC31" t="s">
        <v>76</v>
      </c>
      <c r="CD31">
        <v>4000</v>
      </c>
      <c r="CE31" t="s">
        <v>200</v>
      </c>
      <c r="CF31" s="3">
        <v>45722</v>
      </c>
      <c r="CI31">
        <v>1</v>
      </c>
      <c r="CJ31">
        <v>1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"009944695124"</f>
        <v>009944695124</v>
      </c>
      <c r="F32" s="3">
        <v>45720</v>
      </c>
      <c r="G32">
        <v>202512</v>
      </c>
      <c r="H32" t="s">
        <v>79</v>
      </c>
      <c r="I32" t="s">
        <v>80</v>
      </c>
      <c r="J32" t="s">
        <v>194</v>
      </c>
      <c r="K32" t="s">
        <v>78</v>
      </c>
      <c r="L32" t="s">
        <v>254</v>
      </c>
      <c r="M32" t="s">
        <v>255</v>
      </c>
      <c r="N32" t="s">
        <v>256</v>
      </c>
      <c r="O32" t="s">
        <v>100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47.46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147.01</v>
      </c>
      <c r="BM32">
        <v>22.05</v>
      </c>
      <c r="BN32">
        <v>169.06</v>
      </c>
      <c r="BO32">
        <v>169.06</v>
      </c>
      <c r="BQ32" t="s">
        <v>257</v>
      </c>
      <c r="BR32" t="s">
        <v>258</v>
      </c>
      <c r="BS32" s="3">
        <v>45723</v>
      </c>
      <c r="BT32" s="4">
        <v>0.66666666666666663</v>
      </c>
      <c r="BU32" t="s">
        <v>259</v>
      </c>
      <c r="BV32" t="s">
        <v>109</v>
      </c>
      <c r="BY32">
        <v>1200</v>
      </c>
      <c r="BZ32" t="s">
        <v>260</v>
      </c>
      <c r="CA32" t="s">
        <v>261</v>
      </c>
      <c r="CC32" t="s">
        <v>255</v>
      </c>
      <c r="CD32">
        <v>6229</v>
      </c>
      <c r="CE32" t="s">
        <v>200</v>
      </c>
      <c r="CF32" s="3">
        <v>45723</v>
      </c>
      <c r="CI32">
        <v>3</v>
      </c>
      <c r="CJ32">
        <v>3</v>
      </c>
      <c r="CK32">
        <v>41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"009944695122"</f>
        <v>009944695122</v>
      </c>
      <c r="F33" s="3">
        <v>45720</v>
      </c>
      <c r="G33">
        <v>202512</v>
      </c>
      <c r="H33" t="s">
        <v>262</v>
      </c>
      <c r="I33" t="s">
        <v>263</v>
      </c>
      <c r="J33" t="s">
        <v>194</v>
      </c>
      <c r="K33" t="s">
        <v>78</v>
      </c>
      <c r="L33" t="s">
        <v>97</v>
      </c>
      <c r="M33" t="s">
        <v>98</v>
      </c>
      <c r="N33" t="s">
        <v>119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24.54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73.14</v>
      </c>
      <c r="BM33">
        <v>10.97</v>
      </c>
      <c r="BN33">
        <v>84.11</v>
      </c>
      <c r="BO33">
        <v>84.11</v>
      </c>
      <c r="BQ33" t="s">
        <v>264</v>
      </c>
      <c r="BR33" t="s">
        <v>258</v>
      </c>
      <c r="BS33" s="3">
        <v>45721</v>
      </c>
      <c r="BT33" s="4">
        <v>0.45347222222222222</v>
      </c>
      <c r="BU33" t="s">
        <v>203</v>
      </c>
      <c r="BV33" t="s">
        <v>87</v>
      </c>
      <c r="BY33">
        <v>1200</v>
      </c>
      <c r="BZ33" t="s">
        <v>90</v>
      </c>
      <c r="CA33" t="s">
        <v>104</v>
      </c>
      <c r="CC33" t="s">
        <v>98</v>
      </c>
      <c r="CD33">
        <v>7460</v>
      </c>
      <c r="CE33" t="s">
        <v>265</v>
      </c>
      <c r="CF33" s="3">
        <v>45722</v>
      </c>
      <c r="CI33">
        <v>1</v>
      </c>
      <c r="CJ33">
        <v>1</v>
      </c>
      <c r="CK33">
        <v>21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"GAB2024681"</f>
        <v>GAB2024681</v>
      </c>
      <c r="F34" s="3">
        <v>45721</v>
      </c>
      <c r="G34">
        <v>202512</v>
      </c>
      <c r="H34" t="s">
        <v>97</v>
      </c>
      <c r="I34" t="s">
        <v>98</v>
      </c>
      <c r="J34" t="s">
        <v>99</v>
      </c>
      <c r="K34" t="s">
        <v>78</v>
      </c>
      <c r="L34" t="s">
        <v>75</v>
      </c>
      <c r="M34" t="s">
        <v>76</v>
      </c>
      <c r="N34" t="s">
        <v>266</v>
      </c>
      <c r="O34" t="s">
        <v>100</v>
      </c>
      <c r="P34" t="str">
        <f>"INV-00115807 CT092899         "</f>
        <v xml:space="preserve">INV-00115807 CT092899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92.61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15</v>
      </c>
      <c r="BJ34">
        <v>38.6</v>
      </c>
      <c r="BK34">
        <v>39</v>
      </c>
      <c r="BL34">
        <v>285.27999999999997</v>
      </c>
      <c r="BM34">
        <v>42.79</v>
      </c>
      <c r="BN34">
        <v>328.07</v>
      </c>
      <c r="BO34">
        <v>328.07</v>
      </c>
      <c r="BQ34" t="s">
        <v>267</v>
      </c>
      <c r="BR34" t="s">
        <v>101</v>
      </c>
      <c r="BS34" s="3">
        <v>45726</v>
      </c>
      <c r="BT34" s="4">
        <v>0.56180555555555556</v>
      </c>
      <c r="BU34" t="s">
        <v>268</v>
      </c>
      <c r="BV34" t="s">
        <v>109</v>
      </c>
      <c r="BY34">
        <v>64380</v>
      </c>
      <c r="CA34" t="s">
        <v>269</v>
      </c>
      <c r="CC34" t="s">
        <v>76</v>
      </c>
      <c r="CD34">
        <v>4001</v>
      </c>
      <c r="CE34" t="s">
        <v>118</v>
      </c>
      <c r="CF34" s="3">
        <v>45727</v>
      </c>
      <c r="CI34">
        <v>3</v>
      </c>
      <c r="CJ34">
        <v>3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"GAB2024643"</f>
        <v>GAB2024643</v>
      </c>
      <c r="F35" s="3">
        <v>45721</v>
      </c>
      <c r="G35">
        <v>202512</v>
      </c>
      <c r="H35" t="s">
        <v>97</v>
      </c>
      <c r="I35" t="s">
        <v>98</v>
      </c>
      <c r="J35" t="s">
        <v>99</v>
      </c>
      <c r="K35" t="s">
        <v>78</v>
      </c>
      <c r="L35" t="s">
        <v>262</v>
      </c>
      <c r="M35" t="s">
        <v>263</v>
      </c>
      <c r="N35" t="s">
        <v>270</v>
      </c>
      <c r="O35" t="s">
        <v>82</v>
      </c>
      <c r="P35" t="str">
        <f>"INV-00033179 030396           "</f>
        <v xml:space="preserve">INV-00033179 030396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24.06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0.7</v>
      </c>
      <c r="BJ35">
        <v>1.7</v>
      </c>
      <c r="BK35">
        <v>2</v>
      </c>
      <c r="BL35">
        <v>72.66</v>
      </c>
      <c r="BM35">
        <v>10.9</v>
      </c>
      <c r="BN35">
        <v>83.56</v>
      </c>
      <c r="BO35">
        <v>83.56</v>
      </c>
      <c r="BQ35" t="s">
        <v>271</v>
      </c>
      <c r="BR35" t="s">
        <v>101</v>
      </c>
      <c r="BS35" s="3">
        <v>45722</v>
      </c>
      <c r="BT35" s="4">
        <v>0.39652777777777776</v>
      </c>
      <c r="BU35" t="s">
        <v>272</v>
      </c>
      <c r="BV35" t="s">
        <v>109</v>
      </c>
      <c r="BY35">
        <v>8278.3799999999992</v>
      </c>
      <c r="BZ35" t="s">
        <v>90</v>
      </c>
      <c r="CA35" t="s">
        <v>273</v>
      </c>
      <c r="CC35" t="s">
        <v>263</v>
      </c>
      <c r="CD35" s="5" t="s">
        <v>274</v>
      </c>
      <c r="CE35" t="s">
        <v>193</v>
      </c>
      <c r="CF35" s="3">
        <v>45722</v>
      </c>
      <c r="CI35">
        <v>1</v>
      </c>
      <c r="CJ35">
        <v>1</v>
      </c>
      <c r="CK35">
        <v>21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"GAB2024644"</f>
        <v>GAB2024644</v>
      </c>
      <c r="F36" s="3">
        <v>45721</v>
      </c>
      <c r="G36">
        <v>202512</v>
      </c>
      <c r="H36" t="s">
        <v>97</v>
      </c>
      <c r="I36" t="s">
        <v>98</v>
      </c>
      <c r="J36" t="s">
        <v>99</v>
      </c>
      <c r="K36" t="s">
        <v>78</v>
      </c>
      <c r="L36" t="s">
        <v>144</v>
      </c>
      <c r="M36" t="s">
        <v>145</v>
      </c>
      <c r="N36" t="s">
        <v>156</v>
      </c>
      <c r="O36" t="s">
        <v>82</v>
      </c>
      <c r="P36" t="str">
        <f>"INV-00115770  CT092843        "</f>
        <v xml:space="preserve">INV-00115770  CT092843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46.61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1.8</v>
      </c>
      <c r="BK36">
        <v>2</v>
      </c>
      <c r="BL36">
        <v>140.77000000000001</v>
      </c>
      <c r="BM36">
        <v>21.12</v>
      </c>
      <c r="BN36">
        <v>161.88999999999999</v>
      </c>
      <c r="BO36">
        <v>161.88999999999999</v>
      </c>
      <c r="BQ36" t="s">
        <v>157</v>
      </c>
      <c r="BR36" t="s">
        <v>101</v>
      </c>
      <c r="BS36" s="3">
        <v>45722</v>
      </c>
      <c r="BT36" s="4">
        <v>0.37847222222222221</v>
      </c>
      <c r="BU36" t="s">
        <v>275</v>
      </c>
      <c r="BV36" t="s">
        <v>109</v>
      </c>
      <c r="BY36">
        <v>8977.68</v>
      </c>
      <c r="BZ36" t="s">
        <v>90</v>
      </c>
      <c r="CA36" t="s">
        <v>159</v>
      </c>
      <c r="CC36" t="s">
        <v>145</v>
      </c>
      <c r="CD36">
        <v>1039</v>
      </c>
      <c r="CE36" t="s">
        <v>137</v>
      </c>
      <c r="CF36" s="3">
        <v>45722</v>
      </c>
      <c r="CI36">
        <v>1</v>
      </c>
      <c r="CJ36">
        <v>1</v>
      </c>
      <c r="CK36">
        <v>23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"GAB2024645"</f>
        <v>GAB2024645</v>
      </c>
      <c r="F37" s="3">
        <v>45721</v>
      </c>
      <c r="G37">
        <v>202512</v>
      </c>
      <c r="H37" t="s">
        <v>97</v>
      </c>
      <c r="I37" t="s">
        <v>98</v>
      </c>
      <c r="J37" t="s">
        <v>99</v>
      </c>
      <c r="K37" t="s">
        <v>78</v>
      </c>
      <c r="L37" t="s">
        <v>75</v>
      </c>
      <c r="M37" t="s">
        <v>76</v>
      </c>
      <c r="N37" t="s">
        <v>276</v>
      </c>
      <c r="O37" t="s">
        <v>82</v>
      </c>
      <c r="P37" t="str">
        <f>"INV-00115767 CT092881         "</f>
        <v xml:space="preserve">INV-00115767 CT092881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48.09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3.8</v>
      </c>
      <c r="BK37">
        <v>4</v>
      </c>
      <c r="BL37">
        <v>145.25</v>
      </c>
      <c r="BM37">
        <v>21.79</v>
      </c>
      <c r="BN37">
        <v>167.04</v>
      </c>
      <c r="BO37">
        <v>167.04</v>
      </c>
      <c r="BR37" t="s">
        <v>101</v>
      </c>
      <c r="BS37" s="3">
        <v>45723</v>
      </c>
      <c r="BT37" s="4">
        <v>0.59375</v>
      </c>
      <c r="BU37" t="s">
        <v>277</v>
      </c>
      <c r="BV37" t="s">
        <v>87</v>
      </c>
      <c r="BW37" t="s">
        <v>187</v>
      </c>
      <c r="BX37" t="s">
        <v>278</v>
      </c>
      <c r="BY37">
        <v>19200</v>
      </c>
      <c r="BZ37" t="s">
        <v>90</v>
      </c>
      <c r="CA37" t="s">
        <v>279</v>
      </c>
      <c r="CC37" t="s">
        <v>76</v>
      </c>
      <c r="CD37">
        <v>4001</v>
      </c>
      <c r="CE37" t="s">
        <v>213</v>
      </c>
      <c r="CF37" s="3">
        <v>45724</v>
      </c>
      <c r="CI37">
        <v>2</v>
      </c>
      <c r="CJ37">
        <v>2</v>
      </c>
      <c r="CK37">
        <v>21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"GAB2024646"</f>
        <v>GAB2024646</v>
      </c>
      <c r="F38" s="3">
        <v>45721</v>
      </c>
      <c r="G38">
        <v>202512</v>
      </c>
      <c r="H38" t="s">
        <v>97</v>
      </c>
      <c r="I38" t="s">
        <v>98</v>
      </c>
      <c r="J38" t="s">
        <v>99</v>
      </c>
      <c r="K38" t="s">
        <v>78</v>
      </c>
      <c r="L38" t="s">
        <v>280</v>
      </c>
      <c r="M38" t="s">
        <v>281</v>
      </c>
      <c r="N38" t="s">
        <v>282</v>
      </c>
      <c r="O38" t="s">
        <v>82</v>
      </c>
      <c r="P38" t="str">
        <f>"INV-00115768 CT092880         "</f>
        <v xml:space="preserve">INV-00115768 CT092880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48.09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3.8</v>
      </c>
      <c r="BK38">
        <v>4</v>
      </c>
      <c r="BL38">
        <v>145.25</v>
      </c>
      <c r="BM38">
        <v>21.79</v>
      </c>
      <c r="BN38">
        <v>167.04</v>
      </c>
      <c r="BO38">
        <v>167.04</v>
      </c>
      <c r="BQ38" t="s">
        <v>210</v>
      </c>
      <c r="BR38" t="s">
        <v>101</v>
      </c>
      <c r="BS38" s="3">
        <v>45723</v>
      </c>
      <c r="BT38" s="4">
        <v>0.34791666666666665</v>
      </c>
      <c r="BU38" t="s">
        <v>283</v>
      </c>
      <c r="BV38" t="s">
        <v>87</v>
      </c>
      <c r="BY38">
        <v>19200</v>
      </c>
      <c r="BZ38" t="s">
        <v>90</v>
      </c>
      <c r="CA38" t="s">
        <v>284</v>
      </c>
      <c r="CC38" t="s">
        <v>281</v>
      </c>
      <c r="CD38">
        <v>3201</v>
      </c>
      <c r="CE38" t="s">
        <v>129</v>
      </c>
      <c r="CF38" s="3">
        <v>45741</v>
      </c>
      <c r="CI38">
        <v>1</v>
      </c>
      <c r="CJ38">
        <v>2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"GAB2024649"</f>
        <v>GAB2024649</v>
      </c>
      <c r="F39" s="3">
        <v>45721</v>
      </c>
      <c r="G39">
        <v>202512</v>
      </c>
      <c r="H39" t="s">
        <v>97</v>
      </c>
      <c r="I39" t="s">
        <v>98</v>
      </c>
      <c r="J39" t="s">
        <v>99</v>
      </c>
      <c r="K39" t="s">
        <v>78</v>
      </c>
      <c r="L39" t="s">
        <v>238</v>
      </c>
      <c r="M39" t="s">
        <v>239</v>
      </c>
      <c r="N39" t="s">
        <v>285</v>
      </c>
      <c r="O39" t="s">
        <v>82</v>
      </c>
      <c r="P39" t="str">
        <f>"INV-00115773 CT092889         "</f>
        <v xml:space="preserve">INV-00115773 CT092889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30.07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2.1</v>
      </c>
      <c r="BK39">
        <v>2.5</v>
      </c>
      <c r="BL39">
        <v>90.81</v>
      </c>
      <c r="BM39">
        <v>13.62</v>
      </c>
      <c r="BN39">
        <v>104.43</v>
      </c>
      <c r="BO39">
        <v>104.43</v>
      </c>
      <c r="BQ39" t="s">
        <v>286</v>
      </c>
      <c r="BR39" t="s">
        <v>101</v>
      </c>
      <c r="BS39" s="3">
        <v>45722</v>
      </c>
      <c r="BT39" s="4">
        <v>0.39583333333333331</v>
      </c>
      <c r="BU39" t="s">
        <v>287</v>
      </c>
      <c r="BV39" t="s">
        <v>109</v>
      </c>
      <c r="BY39">
        <v>10349.89</v>
      </c>
      <c r="BZ39" t="s">
        <v>90</v>
      </c>
      <c r="CA39" t="s">
        <v>288</v>
      </c>
      <c r="CC39" t="s">
        <v>239</v>
      </c>
      <c r="CD39">
        <v>2021</v>
      </c>
      <c r="CE39" t="s">
        <v>149</v>
      </c>
      <c r="CF39" s="3">
        <v>45723</v>
      </c>
      <c r="CI39">
        <v>1</v>
      </c>
      <c r="CJ39">
        <v>1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"GAB2024650"</f>
        <v>GAB2024650</v>
      </c>
      <c r="F40" s="3">
        <v>45721</v>
      </c>
      <c r="G40">
        <v>202512</v>
      </c>
      <c r="H40" t="s">
        <v>97</v>
      </c>
      <c r="I40" t="s">
        <v>98</v>
      </c>
      <c r="J40" t="s">
        <v>99</v>
      </c>
      <c r="K40" t="s">
        <v>78</v>
      </c>
      <c r="L40" t="s">
        <v>238</v>
      </c>
      <c r="M40" t="s">
        <v>239</v>
      </c>
      <c r="N40" t="s">
        <v>289</v>
      </c>
      <c r="O40" t="s">
        <v>82</v>
      </c>
      <c r="P40" t="str">
        <f>"INV-00115777 CT092871         "</f>
        <v xml:space="preserve">INV-00115777 CT092871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24.06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1.7</v>
      </c>
      <c r="BK40">
        <v>2</v>
      </c>
      <c r="BL40">
        <v>72.66</v>
      </c>
      <c r="BM40">
        <v>10.9</v>
      </c>
      <c r="BN40">
        <v>83.56</v>
      </c>
      <c r="BO40">
        <v>83.56</v>
      </c>
      <c r="BQ40" t="s">
        <v>290</v>
      </c>
      <c r="BR40" t="s">
        <v>101</v>
      </c>
      <c r="BS40" s="3">
        <v>45722</v>
      </c>
      <c r="BT40" s="4">
        <v>0.40277777777777779</v>
      </c>
      <c r="BU40" t="s">
        <v>291</v>
      </c>
      <c r="BV40" t="s">
        <v>109</v>
      </c>
      <c r="BY40">
        <v>8640.59</v>
      </c>
      <c r="BZ40" t="s">
        <v>90</v>
      </c>
      <c r="CA40" t="s">
        <v>292</v>
      </c>
      <c r="CC40" t="s">
        <v>239</v>
      </c>
      <c r="CD40">
        <v>2196</v>
      </c>
      <c r="CE40" t="s">
        <v>149</v>
      </c>
      <c r="CF40" s="3">
        <v>45722</v>
      </c>
      <c r="CI40">
        <v>1</v>
      </c>
      <c r="CJ40">
        <v>1</v>
      </c>
      <c r="CK40">
        <v>21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"GAB2024651"</f>
        <v>GAB2024651</v>
      </c>
      <c r="F41" s="3">
        <v>45721</v>
      </c>
      <c r="G41">
        <v>202512</v>
      </c>
      <c r="H41" t="s">
        <v>97</v>
      </c>
      <c r="I41" t="s">
        <v>98</v>
      </c>
      <c r="J41" t="s">
        <v>99</v>
      </c>
      <c r="K41" t="s">
        <v>78</v>
      </c>
      <c r="L41" t="s">
        <v>262</v>
      </c>
      <c r="M41" t="s">
        <v>263</v>
      </c>
      <c r="N41" t="s">
        <v>293</v>
      </c>
      <c r="O41" t="s">
        <v>82</v>
      </c>
      <c r="P41" t="str">
        <f>"INV-00115783 CT092859         "</f>
        <v xml:space="preserve">INV-00115783 CT092859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30.07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16.739999999999998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2.2999999999999998</v>
      </c>
      <c r="BK41">
        <v>2.5</v>
      </c>
      <c r="BL41">
        <v>107.55</v>
      </c>
      <c r="BM41">
        <v>16.13</v>
      </c>
      <c r="BN41">
        <v>123.68</v>
      </c>
      <c r="BO41">
        <v>123.68</v>
      </c>
      <c r="BQ41" t="s">
        <v>294</v>
      </c>
      <c r="BR41" t="s">
        <v>101</v>
      </c>
      <c r="BS41" s="3">
        <v>45722</v>
      </c>
      <c r="BT41" s="4">
        <v>0.66180555555555554</v>
      </c>
      <c r="BU41" t="s">
        <v>295</v>
      </c>
      <c r="BV41" t="s">
        <v>109</v>
      </c>
      <c r="BY41">
        <v>11617.76</v>
      </c>
      <c r="BZ41" t="s">
        <v>296</v>
      </c>
      <c r="CA41" t="s">
        <v>297</v>
      </c>
      <c r="CC41" t="s">
        <v>263</v>
      </c>
      <c r="CD41" s="5" t="s">
        <v>298</v>
      </c>
      <c r="CE41" t="s">
        <v>129</v>
      </c>
      <c r="CF41" s="3">
        <v>45723</v>
      </c>
      <c r="CI41">
        <v>1</v>
      </c>
      <c r="CJ41">
        <v>1</v>
      </c>
      <c r="CK41">
        <v>21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"GAB2024652"</f>
        <v>GAB2024652</v>
      </c>
      <c r="F42" s="3">
        <v>45721</v>
      </c>
      <c r="G42">
        <v>202512</v>
      </c>
      <c r="H42" t="s">
        <v>97</v>
      </c>
      <c r="I42" t="s">
        <v>98</v>
      </c>
      <c r="J42" t="s">
        <v>99</v>
      </c>
      <c r="K42" t="s">
        <v>78</v>
      </c>
      <c r="L42" t="s">
        <v>299</v>
      </c>
      <c r="M42" t="s">
        <v>300</v>
      </c>
      <c r="N42" t="s">
        <v>301</v>
      </c>
      <c r="O42" t="s">
        <v>82</v>
      </c>
      <c r="P42" t="str">
        <f>"INV-00115784 CT092864         "</f>
        <v xml:space="preserve">INV-00115784 CT092864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30.07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2.2000000000000002</v>
      </c>
      <c r="BK42">
        <v>2.5</v>
      </c>
      <c r="BL42">
        <v>90.81</v>
      </c>
      <c r="BM42">
        <v>13.62</v>
      </c>
      <c r="BN42">
        <v>104.43</v>
      </c>
      <c r="BO42">
        <v>104.43</v>
      </c>
      <c r="BQ42" t="s">
        <v>302</v>
      </c>
      <c r="BR42" t="s">
        <v>101</v>
      </c>
      <c r="BS42" s="3">
        <v>45722</v>
      </c>
      <c r="BT42" s="4">
        <v>0.37152777777777779</v>
      </c>
      <c r="BU42" t="s">
        <v>303</v>
      </c>
      <c r="BV42" t="s">
        <v>109</v>
      </c>
      <c r="BY42">
        <v>10792.34</v>
      </c>
      <c r="BZ42" t="s">
        <v>90</v>
      </c>
      <c r="CA42" t="s">
        <v>304</v>
      </c>
      <c r="CC42" t="s">
        <v>300</v>
      </c>
      <c r="CD42">
        <v>2194</v>
      </c>
      <c r="CE42" t="s">
        <v>129</v>
      </c>
      <c r="CF42" s="3">
        <v>45723</v>
      </c>
      <c r="CI42">
        <v>1</v>
      </c>
      <c r="CJ42">
        <v>1</v>
      </c>
      <c r="CK42">
        <v>21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"GAB2024656"</f>
        <v>GAB2024656</v>
      </c>
      <c r="F43" s="3">
        <v>45721</v>
      </c>
      <c r="G43">
        <v>202512</v>
      </c>
      <c r="H43" t="s">
        <v>97</v>
      </c>
      <c r="I43" t="s">
        <v>98</v>
      </c>
      <c r="J43" t="s">
        <v>99</v>
      </c>
      <c r="K43" t="s">
        <v>78</v>
      </c>
      <c r="L43" t="s">
        <v>305</v>
      </c>
      <c r="M43" t="s">
        <v>306</v>
      </c>
      <c r="N43" t="s">
        <v>307</v>
      </c>
      <c r="O43" t="s">
        <v>82</v>
      </c>
      <c r="P43" t="str">
        <f>"INV-00115788 CT092873         "</f>
        <v xml:space="preserve">INV-00115788 CT092873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57.13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2.1</v>
      </c>
      <c r="BK43">
        <v>2.5</v>
      </c>
      <c r="BL43">
        <v>172.55</v>
      </c>
      <c r="BM43">
        <v>25.88</v>
      </c>
      <c r="BN43">
        <v>198.43</v>
      </c>
      <c r="BO43">
        <v>198.43</v>
      </c>
      <c r="BQ43" t="s">
        <v>308</v>
      </c>
      <c r="BR43" t="s">
        <v>101</v>
      </c>
      <c r="BS43" s="3">
        <v>45723</v>
      </c>
      <c r="BT43" s="4">
        <v>0.61041666666666672</v>
      </c>
      <c r="BU43" t="s">
        <v>309</v>
      </c>
      <c r="BV43" t="s">
        <v>109</v>
      </c>
      <c r="BY43">
        <v>10730.88</v>
      </c>
      <c r="BZ43" t="s">
        <v>90</v>
      </c>
      <c r="CA43" t="s">
        <v>310</v>
      </c>
      <c r="CC43" t="s">
        <v>306</v>
      </c>
      <c r="CD43" s="5" t="s">
        <v>311</v>
      </c>
      <c r="CE43" t="s">
        <v>149</v>
      </c>
      <c r="CF43" s="3">
        <v>45723</v>
      </c>
      <c r="CI43">
        <v>2</v>
      </c>
      <c r="CJ43">
        <v>2</v>
      </c>
      <c r="CK43">
        <v>23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"GAB2024658"</f>
        <v>GAB2024658</v>
      </c>
      <c r="F44" s="3">
        <v>45721</v>
      </c>
      <c r="G44">
        <v>202512</v>
      </c>
      <c r="H44" t="s">
        <v>97</v>
      </c>
      <c r="I44" t="s">
        <v>98</v>
      </c>
      <c r="J44" t="s">
        <v>99</v>
      </c>
      <c r="K44" t="s">
        <v>78</v>
      </c>
      <c r="L44" t="s">
        <v>97</v>
      </c>
      <c r="M44" t="s">
        <v>98</v>
      </c>
      <c r="N44" t="s">
        <v>312</v>
      </c>
      <c r="O44" t="s">
        <v>82</v>
      </c>
      <c r="P44" t="str">
        <f>"INV-00115764 CT092834         "</f>
        <v xml:space="preserve">INV-00115764 CT092834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18.79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1.6</v>
      </c>
      <c r="BK44">
        <v>2</v>
      </c>
      <c r="BL44">
        <v>56.75</v>
      </c>
      <c r="BM44">
        <v>8.51</v>
      </c>
      <c r="BN44">
        <v>65.260000000000005</v>
      </c>
      <c r="BO44">
        <v>65.260000000000005</v>
      </c>
      <c r="BQ44" t="s">
        <v>313</v>
      </c>
      <c r="BR44" t="s">
        <v>101</v>
      </c>
      <c r="BS44" s="3">
        <v>45722</v>
      </c>
      <c r="BT44" s="4">
        <v>0.4</v>
      </c>
      <c r="BU44" t="s">
        <v>314</v>
      </c>
      <c r="BV44" t="s">
        <v>109</v>
      </c>
      <c r="BY44">
        <v>8205.1200000000008</v>
      </c>
      <c r="BZ44" t="s">
        <v>90</v>
      </c>
      <c r="CA44" t="s">
        <v>315</v>
      </c>
      <c r="CC44" t="s">
        <v>98</v>
      </c>
      <c r="CD44">
        <v>7550</v>
      </c>
      <c r="CE44" t="s">
        <v>193</v>
      </c>
      <c r="CF44" s="3">
        <v>45723</v>
      </c>
      <c r="CI44">
        <v>1</v>
      </c>
      <c r="CJ44">
        <v>1</v>
      </c>
      <c r="CK44">
        <v>22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"GAB2024660"</f>
        <v>GAB2024660</v>
      </c>
      <c r="F45" s="3">
        <v>45721</v>
      </c>
      <c r="G45">
        <v>202512</v>
      </c>
      <c r="H45" t="s">
        <v>97</v>
      </c>
      <c r="I45" t="s">
        <v>98</v>
      </c>
      <c r="J45" t="s">
        <v>99</v>
      </c>
      <c r="K45" t="s">
        <v>78</v>
      </c>
      <c r="L45" t="s">
        <v>316</v>
      </c>
      <c r="M45" t="s">
        <v>317</v>
      </c>
      <c r="N45" t="s">
        <v>318</v>
      </c>
      <c r="O45" t="s">
        <v>82</v>
      </c>
      <c r="P45" t="str">
        <f>"INV-00115775 00115766 CT092893"</f>
        <v>INV-00115775 00115766 CT092893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57.13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2.4</v>
      </c>
      <c r="BK45">
        <v>2.5</v>
      </c>
      <c r="BL45">
        <v>172.55</v>
      </c>
      <c r="BM45">
        <v>25.88</v>
      </c>
      <c r="BN45">
        <v>198.43</v>
      </c>
      <c r="BO45">
        <v>198.43</v>
      </c>
      <c r="BQ45" t="s">
        <v>319</v>
      </c>
      <c r="BR45" t="s">
        <v>101</v>
      </c>
      <c r="BS45" s="3">
        <v>45723</v>
      </c>
      <c r="BT45" s="4">
        <v>0.4375</v>
      </c>
      <c r="BU45" t="s">
        <v>320</v>
      </c>
      <c r="BV45" t="s">
        <v>109</v>
      </c>
      <c r="BY45">
        <v>11999.33</v>
      </c>
      <c r="BZ45" t="s">
        <v>90</v>
      </c>
      <c r="CA45" t="s">
        <v>321</v>
      </c>
      <c r="CC45" t="s">
        <v>317</v>
      </c>
      <c r="CD45" s="5" t="s">
        <v>322</v>
      </c>
      <c r="CE45" t="s">
        <v>213</v>
      </c>
      <c r="CF45" s="3">
        <v>45723</v>
      </c>
      <c r="CI45">
        <v>2</v>
      </c>
      <c r="CJ45">
        <v>2</v>
      </c>
      <c r="CK45">
        <v>23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"GAB2024661"</f>
        <v>GAB2024661</v>
      </c>
      <c r="F46" s="3">
        <v>45721</v>
      </c>
      <c r="G46">
        <v>202512</v>
      </c>
      <c r="H46" t="s">
        <v>97</v>
      </c>
      <c r="I46" t="s">
        <v>98</v>
      </c>
      <c r="J46" t="s">
        <v>99</v>
      </c>
      <c r="K46" t="s">
        <v>78</v>
      </c>
      <c r="L46" t="s">
        <v>170</v>
      </c>
      <c r="M46" t="s">
        <v>171</v>
      </c>
      <c r="N46" t="s">
        <v>172</v>
      </c>
      <c r="O46" t="s">
        <v>82</v>
      </c>
      <c r="P46" t="str">
        <f>"INV-00115726 CT092858         "</f>
        <v xml:space="preserve">INV-00115726 CT092858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57.13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2.1</v>
      </c>
      <c r="BK46">
        <v>2.5</v>
      </c>
      <c r="BL46">
        <v>172.55</v>
      </c>
      <c r="BM46">
        <v>25.88</v>
      </c>
      <c r="BN46">
        <v>198.43</v>
      </c>
      <c r="BO46">
        <v>198.43</v>
      </c>
      <c r="BQ46" t="s">
        <v>323</v>
      </c>
      <c r="BR46" t="s">
        <v>101</v>
      </c>
      <c r="BS46" s="3">
        <v>45723</v>
      </c>
      <c r="BT46" s="4">
        <v>0.43194444444444446</v>
      </c>
      <c r="BU46" t="s">
        <v>324</v>
      </c>
      <c r="BV46" t="s">
        <v>109</v>
      </c>
      <c r="BY46">
        <v>10281.459999999999</v>
      </c>
      <c r="BZ46" t="s">
        <v>90</v>
      </c>
      <c r="CA46" t="s">
        <v>175</v>
      </c>
      <c r="CC46" t="s">
        <v>171</v>
      </c>
      <c r="CD46">
        <v>9700</v>
      </c>
      <c r="CE46" t="s">
        <v>137</v>
      </c>
      <c r="CF46" s="3">
        <v>45723</v>
      </c>
      <c r="CI46">
        <v>2</v>
      </c>
      <c r="CJ46">
        <v>2</v>
      </c>
      <c r="CK46">
        <v>23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"GAB2024662"</f>
        <v>GAB2024662</v>
      </c>
      <c r="F47" s="3">
        <v>45721</v>
      </c>
      <c r="G47">
        <v>202512</v>
      </c>
      <c r="H47" t="s">
        <v>97</v>
      </c>
      <c r="I47" t="s">
        <v>98</v>
      </c>
      <c r="J47" t="s">
        <v>99</v>
      </c>
      <c r="K47" t="s">
        <v>78</v>
      </c>
      <c r="L47" t="s">
        <v>97</v>
      </c>
      <c r="M47" t="s">
        <v>98</v>
      </c>
      <c r="N47" t="s">
        <v>325</v>
      </c>
      <c r="O47" t="s">
        <v>82</v>
      </c>
      <c r="P47" t="str">
        <f>"INV-00115727 CT092847         "</f>
        <v xml:space="preserve">INV-00115727 CT092847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18.79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2.4</v>
      </c>
      <c r="BK47">
        <v>3</v>
      </c>
      <c r="BL47">
        <v>56.75</v>
      </c>
      <c r="BM47">
        <v>8.51</v>
      </c>
      <c r="BN47">
        <v>65.260000000000005</v>
      </c>
      <c r="BO47">
        <v>65.260000000000005</v>
      </c>
      <c r="BR47" t="s">
        <v>101</v>
      </c>
      <c r="BS47" s="3">
        <v>45722</v>
      </c>
      <c r="BT47" s="4">
        <v>0.43402777777777779</v>
      </c>
      <c r="BU47" t="s">
        <v>326</v>
      </c>
      <c r="BV47" t="s">
        <v>109</v>
      </c>
      <c r="BY47">
        <v>12199.32</v>
      </c>
      <c r="BZ47" t="s">
        <v>90</v>
      </c>
      <c r="CA47" t="s">
        <v>327</v>
      </c>
      <c r="CC47" t="s">
        <v>98</v>
      </c>
      <c r="CD47">
        <v>8001</v>
      </c>
      <c r="CE47" t="s">
        <v>129</v>
      </c>
      <c r="CF47" s="3">
        <v>45723</v>
      </c>
      <c r="CI47">
        <v>1</v>
      </c>
      <c r="CJ47">
        <v>1</v>
      </c>
      <c r="CK47">
        <v>22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"GAB2024663"</f>
        <v>GAB2024663</v>
      </c>
      <c r="F48" s="3">
        <v>45721</v>
      </c>
      <c r="G48">
        <v>202512</v>
      </c>
      <c r="H48" t="s">
        <v>97</v>
      </c>
      <c r="I48" t="s">
        <v>98</v>
      </c>
      <c r="J48" t="s">
        <v>99</v>
      </c>
      <c r="K48" t="s">
        <v>78</v>
      </c>
      <c r="L48" t="s">
        <v>328</v>
      </c>
      <c r="M48" t="s">
        <v>329</v>
      </c>
      <c r="N48" t="s">
        <v>330</v>
      </c>
      <c r="O48" t="s">
        <v>82</v>
      </c>
      <c r="P48" t="str">
        <f>"INV-00115797 CT092884         "</f>
        <v xml:space="preserve">INV-00115797 CT092884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24.06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16.739999999999998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1.7</v>
      </c>
      <c r="BK48">
        <v>2</v>
      </c>
      <c r="BL48">
        <v>89.4</v>
      </c>
      <c r="BM48">
        <v>13.41</v>
      </c>
      <c r="BN48">
        <v>102.81</v>
      </c>
      <c r="BO48">
        <v>102.81</v>
      </c>
      <c r="BQ48" t="s">
        <v>331</v>
      </c>
      <c r="BR48" t="s">
        <v>101</v>
      </c>
      <c r="BS48" s="3">
        <v>45722</v>
      </c>
      <c r="BT48" s="4">
        <v>0.44374999999999998</v>
      </c>
      <c r="BU48" t="s">
        <v>332</v>
      </c>
      <c r="BV48" t="s">
        <v>109</v>
      </c>
      <c r="BY48">
        <v>8713.7999999999993</v>
      </c>
      <c r="BZ48" t="s">
        <v>296</v>
      </c>
      <c r="CA48" t="s">
        <v>333</v>
      </c>
      <c r="CC48" t="s">
        <v>329</v>
      </c>
      <c r="CD48">
        <v>1475</v>
      </c>
      <c r="CE48" t="s">
        <v>137</v>
      </c>
      <c r="CF48" s="3">
        <v>45722</v>
      </c>
      <c r="CI48">
        <v>1</v>
      </c>
      <c r="CJ48">
        <v>1</v>
      </c>
      <c r="CK48">
        <v>21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"GAB2024664"</f>
        <v>GAB2024664</v>
      </c>
      <c r="F49" s="3">
        <v>45721</v>
      </c>
      <c r="G49">
        <v>202512</v>
      </c>
      <c r="H49" t="s">
        <v>97</v>
      </c>
      <c r="I49" t="s">
        <v>98</v>
      </c>
      <c r="J49" t="s">
        <v>99</v>
      </c>
      <c r="K49" t="s">
        <v>78</v>
      </c>
      <c r="L49" t="s">
        <v>124</v>
      </c>
      <c r="M49" t="s">
        <v>125</v>
      </c>
      <c r="N49" t="s">
        <v>126</v>
      </c>
      <c r="O49" t="s">
        <v>82</v>
      </c>
      <c r="P49" t="str">
        <f>"INV-00115722 CT092787         "</f>
        <v xml:space="preserve">INV-00115722 CT092787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30.07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2.2000000000000002</v>
      </c>
      <c r="BK49">
        <v>2.5</v>
      </c>
      <c r="BL49">
        <v>90.81</v>
      </c>
      <c r="BM49">
        <v>13.62</v>
      </c>
      <c r="BN49">
        <v>104.43</v>
      </c>
      <c r="BO49">
        <v>104.43</v>
      </c>
      <c r="BR49" t="s">
        <v>101</v>
      </c>
      <c r="BS49" s="3">
        <v>45722</v>
      </c>
      <c r="BT49" s="4">
        <v>0.4375</v>
      </c>
      <c r="BU49" t="s">
        <v>334</v>
      </c>
      <c r="BV49" t="s">
        <v>109</v>
      </c>
      <c r="BY49">
        <v>10842.81</v>
      </c>
      <c r="BZ49" t="s">
        <v>90</v>
      </c>
      <c r="CA49" t="s">
        <v>335</v>
      </c>
      <c r="CC49" t="s">
        <v>125</v>
      </c>
      <c r="CD49">
        <v>2146</v>
      </c>
      <c r="CE49" t="s">
        <v>129</v>
      </c>
      <c r="CF49" s="3">
        <v>45723</v>
      </c>
      <c r="CI49">
        <v>1</v>
      </c>
      <c r="CJ49">
        <v>1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"GAB2024665"</f>
        <v>GAB2024665</v>
      </c>
      <c r="F50" s="3">
        <v>45721</v>
      </c>
      <c r="G50">
        <v>202512</v>
      </c>
      <c r="H50" t="s">
        <v>97</v>
      </c>
      <c r="I50" t="s">
        <v>98</v>
      </c>
      <c r="J50" t="s">
        <v>99</v>
      </c>
      <c r="K50" t="s">
        <v>78</v>
      </c>
      <c r="L50" t="s">
        <v>138</v>
      </c>
      <c r="M50" t="s">
        <v>139</v>
      </c>
      <c r="N50" t="s">
        <v>140</v>
      </c>
      <c r="O50" t="s">
        <v>82</v>
      </c>
      <c r="P50" t="str">
        <f>"INV-00115739 CT092806         "</f>
        <v xml:space="preserve">INV-00115739 CT092806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57.13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2.1</v>
      </c>
      <c r="BK50">
        <v>2.5</v>
      </c>
      <c r="BL50">
        <v>172.55</v>
      </c>
      <c r="BM50">
        <v>25.88</v>
      </c>
      <c r="BN50">
        <v>198.43</v>
      </c>
      <c r="BO50">
        <v>198.43</v>
      </c>
      <c r="BQ50" t="s">
        <v>141</v>
      </c>
      <c r="BR50" t="s">
        <v>101</v>
      </c>
      <c r="BS50" s="3">
        <v>45722</v>
      </c>
      <c r="BT50" s="4">
        <v>0.36666666666666664</v>
      </c>
      <c r="BU50" t="s">
        <v>336</v>
      </c>
      <c r="BV50" t="s">
        <v>109</v>
      </c>
      <c r="BY50">
        <v>10487.62</v>
      </c>
      <c r="BZ50" t="s">
        <v>90</v>
      </c>
      <c r="CA50" t="s">
        <v>337</v>
      </c>
      <c r="CC50" t="s">
        <v>139</v>
      </c>
      <c r="CD50">
        <v>1900</v>
      </c>
      <c r="CE50" t="s">
        <v>149</v>
      </c>
      <c r="CF50" s="3">
        <v>45722</v>
      </c>
      <c r="CI50">
        <v>1</v>
      </c>
      <c r="CJ50">
        <v>1</v>
      </c>
      <c r="CK50">
        <v>23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"GAB2024666"</f>
        <v>GAB2024666</v>
      </c>
      <c r="F51" s="3">
        <v>45721</v>
      </c>
      <c r="G51">
        <v>202512</v>
      </c>
      <c r="H51" t="s">
        <v>97</v>
      </c>
      <c r="I51" t="s">
        <v>98</v>
      </c>
      <c r="J51" t="s">
        <v>99</v>
      </c>
      <c r="K51" t="s">
        <v>78</v>
      </c>
      <c r="L51" t="s">
        <v>214</v>
      </c>
      <c r="M51" t="s">
        <v>215</v>
      </c>
      <c r="N51" t="s">
        <v>216</v>
      </c>
      <c r="O51" t="s">
        <v>82</v>
      </c>
      <c r="P51" t="str">
        <f>"INV-00115742 CT092827         "</f>
        <v xml:space="preserve">INV-00115742 CT092827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24.06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</v>
      </c>
      <c r="BK51">
        <v>2</v>
      </c>
      <c r="BL51">
        <v>72.66</v>
      </c>
      <c r="BM51">
        <v>10.9</v>
      </c>
      <c r="BN51">
        <v>83.56</v>
      </c>
      <c r="BO51">
        <v>83.56</v>
      </c>
      <c r="BQ51" t="s">
        <v>217</v>
      </c>
      <c r="BR51" t="s">
        <v>101</v>
      </c>
      <c r="BS51" s="3">
        <v>45722</v>
      </c>
      <c r="BT51" s="4">
        <v>0.4236111111111111</v>
      </c>
      <c r="BU51" t="s">
        <v>338</v>
      </c>
      <c r="BV51" t="s">
        <v>109</v>
      </c>
      <c r="BY51">
        <v>9935.82</v>
      </c>
      <c r="BZ51" t="s">
        <v>90</v>
      </c>
      <c r="CA51" t="s">
        <v>219</v>
      </c>
      <c r="CC51" t="s">
        <v>215</v>
      </c>
      <c r="CD51">
        <v>6529</v>
      </c>
      <c r="CE51" t="s">
        <v>149</v>
      </c>
      <c r="CF51" s="3">
        <v>45723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"GAB2024667"</f>
        <v>GAB2024667</v>
      </c>
      <c r="F52" s="3">
        <v>45721</v>
      </c>
      <c r="G52">
        <v>202512</v>
      </c>
      <c r="H52" t="s">
        <v>97</v>
      </c>
      <c r="I52" t="s">
        <v>98</v>
      </c>
      <c r="J52" t="s">
        <v>99</v>
      </c>
      <c r="K52" t="s">
        <v>78</v>
      </c>
      <c r="L52" t="s">
        <v>339</v>
      </c>
      <c r="M52" t="s">
        <v>340</v>
      </c>
      <c r="N52" t="s">
        <v>341</v>
      </c>
      <c r="O52" t="s">
        <v>82</v>
      </c>
      <c r="P52" t="str">
        <f>"INV-00115740 CT092821         "</f>
        <v xml:space="preserve">INV-00115740 CT092821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18.79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2.8</v>
      </c>
      <c r="BK52">
        <v>3</v>
      </c>
      <c r="BL52">
        <v>56.75</v>
      </c>
      <c r="BM52">
        <v>8.51</v>
      </c>
      <c r="BN52">
        <v>65.260000000000005</v>
      </c>
      <c r="BO52">
        <v>65.260000000000005</v>
      </c>
      <c r="BQ52" t="s">
        <v>342</v>
      </c>
      <c r="BR52" t="s">
        <v>101</v>
      </c>
      <c r="BS52" s="3">
        <v>45722</v>
      </c>
      <c r="BT52" s="4">
        <v>0.39166666666666666</v>
      </c>
      <c r="BU52" t="s">
        <v>343</v>
      </c>
      <c r="BV52" t="s">
        <v>109</v>
      </c>
      <c r="BY52">
        <v>13855.2</v>
      </c>
      <c r="BZ52" t="s">
        <v>90</v>
      </c>
      <c r="CA52" t="s">
        <v>344</v>
      </c>
      <c r="CC52" t="s">
        <v>340</v>
      </c>
      <c r="CD52">
        <v>7600</v>
      </c>
      <c r="CE52" t="s">
        <v>137</v>
      </c>
      <c r="CF52" s="3">
        <v>45723</v>
      </c>
      <c r="CI52">
        <v>1</v>
      </c>
      <c r="CJ52">
        <v>1</v>
      </c>
      <c r="CK52">
        <v>22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"GAB2024668"</f>
        <v>GAB2024668</v>
      </c>
      <c r="F53" s="3">
        <v>45721</v>
      </c>
      <c r="G53">
        <v>202512</v>
      </c>
      <c r="H53" t="s">
        <v>97</v>
      </c>
      <c r="I53" t="s">
        <v>98</v>
      </c>
      <c r="J53" t="s">
        <v>99</v>
      </c>
      <c r="K53" t="s">
        <v>78</v>
      </c>
      <c r="L53" t="s">
        <v>238</v>
      </c>
      <c r="M53" t="s">
        <v>239</v>
      </c>
      <c r="N53" t="s">
        <v>345</v>
      </c>
      <c r="O53" t="s">
        <v>82</v>
      </c>
      <c r="P53" t="str">
        <f>"INV-00033189 030650           "</f>
        <v xml:space="preserve">INV-00033189 030650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30.07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2.2999999999999998</v>
      </c>
      <c r="BK53">
        <v>2.5</v>
      </c>
      <c r="BL53">
        <v>90.81</v>
      </c>
      <c r="BM53">
        <v>13.62</v>
      </c>
      <c r="BN53">
        <v>104.43</v>
      </c>
      <c r="BO53">
        <v>104.43</v>
      </c>
      <c r="BQ53" t="s">
        <v>346</v>
      </c>
      <c r="BR53" t="s">
        <v>101</v>
      </c>
      <c r="BS53" s="3">
        <v>45722</v>
      </c>
      <c r="BT53" s="4">
        <v>0.33333333333333331</v>
      </c>
      <c r="BU53" t="s">
        <v>347</v>
      </c>
      <c r="BV53" t="s">
        <v>109</v>
      </c>
      <c r="BY53">
        <v>11572.38</v>
      </c>
      <c r="BZ53" t="s">
        <v>90</v>
      </c>
      <c r="CA53" t="s">
        <v>348</v>
      </c>
      <c r="CC53" t="s">
        <v>239</v>
      </c>
      <c r="CD53">
        <v>2047</v>
      </c>
      <c r="CE53" t="s">
        <v>129</v>
      </c>
      <c r="CF53" s="3">
        <v>45723</v>
      </c>
      <c r="CI53">
        <v>1</v>
      </c>
      <c r="CJ53">
        <v>1</v>
      </c>
      <c r="CK53">
        <v>21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"GAB2024669"</f>
        <v>GAB2024669</v>
      </c>
      <c r="F54" s="3">
        <v>45721</v>
      </c>
      <c r="G54">
        <v>202512</v>
      </c>
      <c r="H54" t="s">
        <v>97</v>
      </c>
      <c r="I54" t="s">
        <v>98</v>
      </c>
      <c r="J54" t="s">
        <v>99</v>
      </c>
      <c r="K54" t="s">
        <v>78</v>
      </c>
      <c r="L54" t="s">
        <v>182</v>
      </c>
      <c r="M54" t="s">
        <v>183</v>
      </c>
      <c r="N54" t="s">
        <v>349</v>
      </c>
      <c r="O54" t="s">
        <v>82</v>
      </c>
      <c r="P54" t="str">
        <f>"INV-00033190 030695           "</f>
        <v xml:space="preserve">INV-00033190 030695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48.09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3.8</v>
      </c>
      <c r="BK54">
        <v>4</v>
      </c>
      <c r="BL54">
        <v>145.25</v>
      </c>
      <c r="BM54">
        <v>21.79</v>
      </c>
      <c r="BN54">
        <v>167.04</v>
      </c>
      <c r="BO54">
        <v>167.04</v>
      </c>
      <c r="BQ54" t="s">
        <v>350</v>
      </c>
      <c r="BR54" t="s">
        <v>101</v>
      </c>
      <c r="BS54" s="3">
        <v>45723</v>
      </c>
      <c r="BT54" s="4">
        <v>0.50277777777777777</v>
      </c>
      <c r="BU54" t="s">
        <v>351</v>
      </c>
      <c r="BV54" t="s">
        <v>109</v>
      </c>
      <c r="BY54">
        <v>19200</v>
      </c>
      <c r="BZ54" t="s">
        <v>90</v>
      </c>
      <c r="CC54" t="s">
        <v>183</v>
      </c>
      <c r="CD54">
        <v>3610</v>
      </c>
      <c r="CE54" t="s">
        <v>352</v>
      </c>
      <c r="CF54" s="3">
        <v>45726</v>
      </c>
      <c r="CI54">
        <v>2</v>
      </c>
      <c r="CJ54">
        <v>2</v>
      </c>
      <c r="CK54">
        <v>21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"GAB2024670"</f>
        <v>GAB2024670</v>
      </c>
      <c r="F55" s="3">
        <v>45721</v>
      </c>
      <c r="G55">
        <v>202512</v>
      </c>
      <c r="H55" t="s">
        <v>97</v>
      </c>
      <c r="I55" t="s">
        <v>98</v>
      </c>
      <c r="J55" t="s">
        <v>99</v>
      </c>
      <c r="K55" t="s">
        <v>78</v>
      </c>
      <c r="L55" t="s">
        <v>353</v>
      </c>
      <c r="M55" t="s">
        <v>354</v>
      </c>
      <c r="N55" t="s">
        <v>355</v>
      </c>
      <c r="O55" t="s">
        <v>82</v>
      </c>
      <c r="P55" t="str">
        <f>"INV-00033191 030753           "</f>
        <v xml:space="preserve">INV-00033191 030753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57.13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2.4</v>
      </c>
      <c r="BK55">
        <v>2.5</v>
      </c>
      <c r="BL55">
        <v>172.55</v>
      </c>
      <c r="BM55">
        <v>25.88</v>
      </c>
      <c r="BN55">
        <v>198.43</v>
      </c>
      <c r="BO55">
        <v>198.43</v>
      </c>
      <c r="BQ55" t="s">
        <v>356</v>
      </c>
      <c r="BR55" t="s">
        <v>101</v>
      </c>
      <c r="BS55" s="3">
        <v>45723</v>
      </c>
      <c r="BT55" s="4">
        <v>0.37569444444444444</v>
      </c>
      <c r="BU55" t="s">
        <v>357</v>
      </c>
      <c r="BV55" t="s">
        <v>109</v>
      </c>
      <c r="BY55">
        <v>12000</v>
      </c>
      <c r="BZ55" t="s">
        <v>90</v>
      </c>
      <c r="CA55" t="s">
        <v>358</v>
      </c>
      <c r="CC55" t="s">
        <v>354</v>
      </c>
      <c r="CD55">
        <v>3900</v>
      </c>
      <c r="CE55" t="s">
        <v>137</v>
      </c>
      <c r="CF55" s="3">
        <v>45723</v>
      </c>
      <c r="CI55">
        <v>2</v>
      </c>
      <c r="CJ55">
        <v>2</v>
      </c>
      <c r="CK55">
        <v>23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"GAB2024671"</f>
        <v>GAB2024671</v>
      </c>
      <c r="F56" s="3">
        <v>45721</v>
      </c>
      <c r="G56">
        <v>202512</v>
      </c>
      <c r="H56" t="s">
        <v>97</v>
      </c>
      <c r="I56" t="s">
        <v>98</v>
      </c>
      <c r="J56" t="s">
        <v>99</v>
      </c>
      <c r="K56" t="s">
        <v>78</v>
      </c>
      <c r="L56" t="s">
        <v>359</v>
      </c>
      <c r="M56" t="s">
        <v>360</v>
      </c>
      <c r="N56" t="s">
        <v>361</v>
      </c>
      <c r="O56" t="s">
        <v>82</v>
      </c>
      <c r="P56" t="str">
        <f>"INV-00115802 CT092900         "</f>
        <v xml:space="preserve">INV-00115802 CT092900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48.09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3.8</v>
      </c>
      <c r="BK56">
        <v>4</v>
      </c>
      <c r="BL56">
        <v>145.25</v>
      </c>
      <c r="BM56">
        <v>21.79</v>
      </c>
      <c r="BN56">
        <v>167.04</v>
      </c>
      <c r="BO56">
        <v>167.04</v>
      </c>
      <c r="BQ56" t="s">
        <v>362</v>
      </c>
      <c r="BR56" t="s">
        <v>101</v>
      </c>
      <c r="BS56" s="3">
        <v>45723</v>
      </c>
      <c r="BT56" s="4">
        <v>0.53819444444444442</v>
      </c>
      <c r="BU56" t="s">
        <v>363</v>
      </c>
      <c r="BV56" t="s">
        <v>87</v>
      </c>
      <c r="BW56" t="s">
        <v>198</v>
      </c>
      <c r="BX56" t="s">
        <v>364</v>
      </c>
      <c r="BY56">
        <v>19200</v>
      </c>
      <c r="BZ56" t="s">
        <v>90</v>
      </c>
      <c r="CA56" t="s">
        <v>365</v>
      </c>
      <c r="CC56" t="s">
        <v>360</v>
      </c>
      <c r="CD56">
        <v>4320</v>
      </c>
      <c r="CE56" t="s">
        <v>213</v>
      </c>
      <c r="CF56" s="3">
        <v>45726</v>
      </c>
      <c r="CI56">
        <v>2</v>
      </c>
      <c r="CJ56">
        <v>2</v>
      </c>
      <c r="CK56">
        <v>21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"GAB2024672"</f>
        <v>GAB2024672</v>
      </c>
      <c r="F57" s="3">
        <v>45721</v>
      </c>
      <c r="G57">
        <v>202512</v>
      </c>
      <c r="H57" t="s">
        <v>97</v>
      </c>
      <c r="I57" t="s">
        <v>98</v>
      </c>
      <c r="J57" t="s">
        <v>99</v>
      </c>
      <c r="K57" t="s">
        <v>78</v>
      </c>
      <c r="L57" t="s">
        <v>280</v>
      </c>
      <c r="M57" t="s">
        <v>281</v>
      </c>
      <c r="N57" t="s">
        <v>366</v>
      </c>
      <c r="O57" t="s">
        <v>82</v>
      </c>
      <c r="P57" t="str">
        <f>"INV-00115800 CT092902         "</f>
        <v xml:space="preserve">INV-00115800 CT092902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30.07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2.4</v>
      </c>
      <c r="BK57">
        <v>2.5</v>
      </c>
      <c r="BL57">
        <v>90.81</v>
      </c>
      <c r="BM57">
        <v>13.62</v>
      </c>
      <c r="BN57">
        <v>104.43</v>
      </c>
      <c r="BO57">
        <v>104.43</v>
      </c>
      <c r="BQ57" t="s">
        <v>367</v>
      </c>
      <c r="BR57" t="s">
        <v>101</v>
      </c>
      <c r="BS57" s="3">
        <v>45723</v>
      </c>
      <c r="BT57" s="4">
        <v>0.43611111111111112</v>
      </c>
      <c r="BU57" t="s">
        <v>368</v>
      </c>
      <c r="BV57" t="s">
        <v>87</v>
      </c>
      <c r="BY57">
        <v>12000</v>
      </c>
      <c r="BZ57" t="s">
        <v>90</v>
      </c>
      <c r="CA57" t="s">
        <v>284</v>
      </c>
      <c r="CC57" t="s">
        <v>281</v>
      </c>
      <c r="CD57">
        <v>3201</v>
      </c>
      <c r="CE57" t="s">
        <v>149</v>
      </c>
      <c r="CF57" s="3">
        <v>45726</v>
      </c>
      <c r="CI57">
        <v>1</v>
      </c>
      <c r="CJ57">
        <v>2</v>
      </c>
      <c r="CK57">
        <v>21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"GAB2024674"</f>
        <v>GAB2024674</v>
      </c>
      <c r="F58" s="3">
        <v>45721</v>
      </c>
      <c r="G58">
        <v>202512</v>
      </c>
      <c r="H58" t="s">
        <v>97</v>
      </c>
      <c r="I58" t="s">
        <v>98</v>
      </c>
      <c r="J58" t="s">
        <v>99</v>
      </c>
      <c r="K58" t="s">
        <v>78</v>
      </c>
      <c r="L58" t="s">
        <v>369</v>
      </c>
      <c r="M58" t="s">
        <v>370</v>
      </c>
      <c r="N58" t="s">
        <v>371</v>
      </c>
      <c r="O58" t="s">
        <v>82</v>
      </c>
      <c r="P58" t="str">
        <f>"INV-00033208 030690           "</f>
        <v xml:space="preserve">INV-00033208 030690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42.07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2.2999999999999998</v>
      </c>
      <c r="BK58">
        <v>2.5</v>
      </c>
      <c r="BL58">
        <v>127.06</v>
      </c>
      <c r="BM58">
        <v>19.059999999999999</v>
      </c>
      <c r="BN58">
        <v>146.12</v>
      </c>
      <c r="BO58">
        <v>146.12</v>
      </c>
      <c r="BQ58" t="s">
        <v>372</v>
      </c>
      <c r="BR58" t="s">
        <v>101</v>
      </c>
      <c r="BS58" s="3">
        <v>45722</v>
      </c>
      <c r="BT58" s="4">
        <v>0.60416666666666663</v>
      </c>
      <c r="BU58" t="s">
        <v>373</v>
      </c>
      <c r="BV58" t="s">
        <v>109</v>
      </c>
      <c r="BY58">
        <v>11514.86</v>
      </c>
      <c r="BZ58" t="s">
        <v>90</v>
      </c>
      <c r="CA58" t="s">
        <v>374</v>
      </c>
      <c r="CC58" t="s">
        <v>370</v>
      </c>
      <c r="CD58">
        <v>6850</v>
      </c>
      <c r="CE58" t="s">
        <v>237</v>
      </c>
      <c r="CF58" s="3">
        <v>45723</v>
      </c>
      <c r="CI58">
        <v>2</v>
      </c>
      <c r="CJ58">
        <v>1</v>
      </c>
      <c r="CK58">
        <v>24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"GAB2024675"</f>
        <v>GAB2024675</v>
      </c>
      <c r="F59" s="3">
        <v>45721</v>
      </c>
      <c r="G59">
        <v>202512</v>
      </c>
      <c r="H59" t="s">
        <v>97</v>
      </c>
      <c r="I59" t="s">
        <v>98</v>
      </c>
      <c r="J59" t="s">
        <v>99</v>
      </c>
      <c r="K59" t="s">
        <v>78</v>
      </c>
      <c r="L59" t="s">
        <v>375</v>
      </c>
      <c r="M59" t="s">
        <v>376</v>
      </c>
      <c r="N59" t="s">
        <v>377</v>
      </c>
      <c r="O59" t="s">
        <v>82</v>
      </c>
      <c r="P59" t="str">
        <f>"INV-00033209 0030733          "</f>
        <v xml:space="preserve">INV-00033209 0030733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33.83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0.6</v>
      </c>
      <c r="BJ59">
        <v>1.7</v>
      </c>
      <c r="BK59">
        <v>2</v>
      </c>
      <c r="BL59">
        <v>102.18</v>
      </c>
      <c r="BM59">
        <v>15.33</v>
      </c>
      <c r="BN59">
        <v>117.51</v>
      </c>
      <c r="BO59">
        <v>117.51</v>
      </c>
      <c r="BQ59" t="s">
        <v>378</v>
      </c>
      <c r="BR59" t="s">
        <v>101</v>
      </c>
      <c r="BS59" s="3">
        <v>45722</v>
      </c>
      <c r="BT59" s="4">
        <v>0.51736111111111116</v>
      </c>
      <c r="BU59" t="s">
        <v>379</v>
      </c>
      <c r="BV59" t="s">
        <v>109</v>
      </c>
      <c r="BY59">
        <v>8297.85</v>
      </c>
      <c r="BZ59" t="s">
        <v>90</v>
      </c>
      <c r="CA59" t="s">
        <v>380</v>
      </c>
      <c r="CC59" t="s">
        <v>376</v>
      </c>
      <c r="CD59">
        <v>7130</v>
      </c>
      <c r="CE59" t="s">
        <v>193</v>
      </c>
      <c r="CF59" s="3">
        <v>45723</v>
      </c>
      <c r="CI59">
        <v>1</v>
      </c>
      <c r="CJ59">
        <v>1</v>
      </c>
      <c r="CK59">
        <v>24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"GAB2024677"</f>
        <v>GAB2024677</v>
      </c>
      <c r="F60" s="3">
        <v>45721</v>
      </c>
      <c r="G60">
        <v>202512</v>
      </c>
      <c r="H60" t="s">
        <v>97</v>
      </c>
      <c r="I60" t="s">
        <v>98</v>
      </c>
      <c r="J60" t="s">
        <v>99</v>
      </c>
      <c r="K60" t="s">
        <v>78</v>
      </c>
      <c r="L60" t="s">
        <v>381</v>
      </c>
      <c r="M60" t="s">
        <v>381</v>
      </c>
      <c r="N60" t="s">
        <v>382</v>
      </c>
      <c r="O60" t="s">
        <v>82</v>
      </c>
      <c r="P60" t="str">
        <f>"INV-00115744 CT092857         "</f>
        <v xml:space="preserve">INV-00115744 CT092857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33.83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0.6</v>
      </c>
      <c r="BJ60">
        <v>1.6</v>
      </c>
      <c r="BK60">
        <v>2</v>
      </c>
      <c r="BL60">
        <v>102.18</v>
      </c>
      <c r="BM60">
        <v>15.33</v>
      </c>
      <c r="BN60">
        <v>117.51</v>
      </c>
      <c r="BO60">
        <v>117.51</v>
      </c>
      <c r="BQ60" t="s">
        <v>383</v>
      </c>
      <c r="BR60" t="s">
        <v>101</v>
      </c>
      <c r="BS60" s="3">
        <v>45722</v>
      </c>
      <c r="BT60" s="4">
        <v>0.46388888888888891</v>
      </c>
      <c r="BU60" t="s">
        <v>384</v>
      </c>
      <c r="BV60" t="s">
        <v>109</v>
      </c>
      <c r="BY60">
        <v>8236.7999999999993</v>
      </c>
      <c r="BZ60" t="s">
        <v>90</v>
      </c>
      <c r="CA60" t="s">
        <v>385</v>
      </c>
      <c r="CC60" t="s">
        <v>381</v>
      </c>
      <c r="CD60">
        <v>7646</v>
      </c>
      <c r="CE60" t="s">
        <v>193</v>
      </c>
      <c r="CF60" s="3">
        <v>45723</v>
      </c>
      <c r="CI60">
        <v>1</v>
      </c>
      <c r="CJ60">
        <v>1</v>
      </c>
      <c r="CK60">
        <v>24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"GAB2024678"</f>
        <v>GAB2024678</v>
      </c>
      <c r="F61" s="3">
        <v>45721</v>
      </c>
      <c r="G61">
        <v>202512</v>
      </c>
      <c r="H61" t="s">
        <v>97</v>
      </c>
      <c r="I61" t="s">
        <v>98</v>
      </c>
      <c r="J61" t="s">
        <v>99</v>
      </c>
      <c r="K61" t="s">
        <v>78</v>
      </c>
      <c r="L61" t="s">
        <v>244</v>
      </c>
      <c r="M61" t="s">
        <v>245</v>
      </c>
      <c r="N61" t="s">
        <v>246</v>
      </c>
      <c r="O61" t="s">
        <v>82</v>
      </c>
      <c r="P61" t="str">
        <f>"INV-00115801 00115787 CT092904"</f>
        <v>INV-00115801 00115787 CT092904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46.61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0.6</v>
      </c>
      <c r="BJ61">
        <v>1.7</v>
      </c>
      <c r="BK61">
        <v>2</v>
      </c>
      <c r="BL61">
        <v>140.77000000000001</v>
      </c>
      <c r="BM61">
        <v>21.12</v>
      </c>
      <c r="BN61">
        <v>161.88999999999999</v>
      </c>
      <c r="BO61">
        <v>161.88999999999999</v>
      </c>
      <c r="BQ61" t="s">
        <v>247</v>
      </c>
      <c r="BR61" t="s">
        <v>101</v>
      </c>
      <c r="BS61" s="3">
        <v>45722</v>
      </c>
      <c r="BT61" s="4">
        <v>0.42916666666666664</v>
      </c>
      <c r="BU61" t="s">
        <v>386</v>
      </c>
      <c r="BV61" t="s">
        <v>109</v>
      </c>
      <c r="BY61">
        <v>8265.68</v>
      </c>
      <c r="BZ61" t="s">
        <v>90</v>
      </c>
      <c r="CA61" t="s">
        <v>387</v>
      </c>
      <c r="CC61" t="s">
        <v>245</v>
      </c>
      <c r="CD61" s="5" t="s">
        <v>249</v>
      </c>
      <c r="CE61" t="s">
        <v>388</v>
      </c>
      <c r="CF61" s="3">
        <v>45723</v>
      </c>
      <c r="CI61">
        <v>2</v>
      </c>
      <c r="CJ61">
        <v>1</v>
      </c>
      <c r="CK61">
        <v>23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"GAB2024682"</f>
        <v>GAB2024682</v>
      </c>
      <c r="F62" s="3">
        <v>45721</v>
      </c>
      <c r="G62">
        <v>202512</v>
      </c>
      <c r="H62" t="s">
        <v>97</v>
      </c>
      <c r="I62" t="s">
        <v>98</v>
      </c>
      <c r="J62" t="s">
        <v>99</v>
      </c>
      <c r="K62" t="s">
        <v>78</v>
      </c>
      <c r="L62" t="s">
        <v>299</v>
      </c>
      <c r="M62" t="s">
        <v>300</v>
      </c>
      <c r="N62" t="s">
        <v>389</v>
      </c>
      <c r="O62" t="s">
        <v>82</v>
      </c>
      <c r="P62" t="str">
        <f>"INV-00115810 CT092869         "</f>
        <v xml:space="preserve">INV-00115810 CT092869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36.08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2.7</v>
      </c>
      <c r="BK62">
        <v>3</v>
      </c>
      <c r="BL62">
        <v>108.96</v>
      </c>
      <c r="BM62">
        <v>16.34</v>
      </c>
      <c r="BN62">
        <v>125.3</v>
      </c>
      <c r="BO62">
        <v>125.3</v>
      </c>
      <c r="BQ62" t="s">
        <v>390</v>
      </c>
      <c r="BR62" t="s">
        <v>101</v>
      </c>
      <c r="BS62" s="3">
        <v>45722</v>
      </c>
      <c r="BT62" s="4">
        <v>0.4375</v>
      </c>
      <c r="BU62" t="s">
        <v>391</v>
      </c>
      <c r="BV62" t="s">
        <v>109</v>
      </c>
      <c r="BY62">
        <v>13572.36</v>
      </c>
      <c r="BZ62" t="s">
        <v>90</v>
      </c>
      <c r="CA62" t="s">
        <v>288</v>
      </c>
      <c r="CC62" t="s">
        <v>300</v>
      </c>
      <c r="CD62">
        <v>2194</v>
      </c>
      <c r="CE62" t="s">
        <v>213</v>
      </c>
      <c r="CF62" s="3">
        <v>45723</v>
      </c>
      <c r="CI62">
        <v>1</v>
      </c>
      <c r="CJ62">
        <v>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"GAB2024683"</f>
        <v>GAB2024683</v>
      </c>
      <c r="F63" s="3">
        <v>45721</v>
      </c>
      <c r="G63">
        <v>202512</v>
      </c>
      <c r="H63" t="s">
        <v>97</v>
      </c>
      <c r="I63" t="s">
        <v>98</v>
      </c>
      <c r="J63" t="s">
        <v>99</v>
      </c>
      <c r="K63" t="s">
        <v>78</v>
      </c>
      <c r="L63" t="s">
        <v>392</v>
      </c>
      <c r="M63" t="s">
        <v>393</v>
      </c>
      <c r="N63" t="s">
        <v>394</v>
      </c>
      <c r="O63" t="s">
        <v>82</v>
      </c>
      <c r="P63" t="str">
        <f>"INV-00115812 CT092895         "</f>
        <v xml:space="preserve">INV-00115812 CT092895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57.13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2.4</v>
      </c>
      <c r="BK63">
        <v>2.5</v>
      </c>
      <c r="BL63">
        <v>172.55</v>
      </c>
      <c r="BM63">
        <v>25.88</v>
      </c>
      <c r="BN63">
        <v>198.43</v>
      </c>
      <c r="BO63">
        <v>198.43</v>
      </c>
      <c r="BQ63" t="s">
        <v>395</v>
      </c>
      <c r="BR63" t="s">
        <v>101</v>
      </c>
      <c r="BS63" s="3">
        <v>45724</v>
      </c>
      <c r="BT63" s="4">
        <v>0.60555555555555551</v>
      </c>
      <c r="BU63" t="s">
        <v>396</v>
      </c>
      <c r="BV63" t="s">
        <v>87</v>
      </c>
      <c r="BW63" t="s">
        <v>187</v>
      </c>
      <c r="BX63" t="s">
        <v>278</v>
      </c>
      <c r="BY63">
        <v>12000</v>
      </c>
      <c r="BZ63" t="s">
        <v>90</v>
      </c>
      <c r="CA63" t="s">
        <v>397</v>
      </c>
      <c r="CC63" t="s">
        <v>393</v>
      </c>
      <c r="CD63">
        <v>4420</v>
      </c>
      <c r="CE63" t="s">
        <v>149</v>
      </c>
      <c r="CF63" s="3">
        <v>45741</v>
      </c>
      <c r="CI63">
        <v>2</v>
      </c>
      <c r="CJ63">
        <v>2</v>
      </c>
      <c r="CK63">
        <v>23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"GAB2024684"</f>
        <v>GAB2024684</v>
      </c>
      <c r="F64" s="3">
        <v>45721</v>
      </c>
      <c r="G64">
        <v>202512</v>
      </c>
      <c r="H64" t="s">
        <v>97</v>
      </c>
      <c r="I64" t="s">
        <v>98</v>
      </c>
      <c r="J64" t="s">
        <v>99</v>
      </c>
      <c r="K64" t="s">
        <v>78</v>
      </c>
      <c r="L64" t="s">
        <v>339</v>
      </c>
      <c r="M64" t="s">
        <v>340</v>
      </c>
      <c r="N64" t="s">
        <v>398</v>
      </c>
      <c r="O64" t="s">
        <v>82</v>
      </c>
      <c r="P64" t="str">
        <f>"INV-00115813 092901           "</f>
        <v xml:space="preserve">INV-00115813 092901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18.79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</v>
      </c>
      <c r="BK64">
        <v>2</v>
      </c>
      <c r="BL64">
        <v>56.75</v>
      </c>
      <c r="BM64">
        <v>8.51</v>
      </c>
      <c r="BN64">
        <v>65.260000000000005</v>
      </c>
      <c r="BO64">
        <v>65.260000000000005</v>
      </c>
      <c r="BQ64" t="s">
        <v>399</v>
      </c>
      <c r="BR64" t="s">
        <v>101</v>
      </c>
      <c r="BS64" s="3">
        <v>45722</v>
      </c>
      <c r="BT64" s="4">
        <v>0.48125000000000001</v>
      </c>
      <c r="BU64" t="s">
        <v>400</v>
      </c>
      <c r="BV64" t="s">
        <v>109</v>
      </c>
      <c r="BY64">
        <v>10044</v>
      </c>
      <c r="BZ64" t="s">
        <v>90</v>
      </c>
      <c r="CA64" t="s">
        <v>344</v>
      </c>
      <c r="CC64" t="s">
        <v>340</v>
      </c>
      <c r="CD64">
        <v>7600</v>
      </c>
      <c r="CE64" t="s">
        <v>137</v>
      </c>
      <c r="CF64" s="3">
        <v>45723</v>
      </c>
      <c r="CI64">
        <v>1</v>
      </c>
      <c r="CJ64">
        <v>1</v>
      </c>
      <c r="CK64">
        <v>22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"GAB2024688"</f>
        <v>GAB2024688</v>
      </c>
      <c r="F65" s="3">
        <v>45721</v>
      </c>
      <c r="G65">
        <v>202512</v>
      </c>
      <c r="H65" t="s">
        <v>97</v>
      </c>
      <c r="I65" t="s">
        <v>98</v>
      </c>
      <c r="J65" t="s">
        <v>99</v>
      </c>
      <c r="K65" t="s">
        <v>78</v>
      </c>
      <c r="L65" t="s">
        <v>401</v>
      </c>
      <c r="M65" t="s">
        <v>402</v>
      </c>
      <c r="N65" t="s">
        <v>403</v>
      </c>
      <c r="O65" t="s">
        <v>82</v>
      </c>
      <c r="P65" t="str">
        <f>"INV-00033219 00033218 030769 0"</f>
        <v>INV-00033219 00033218 030769 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57.13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2.4</v>
      </c>
      <c r="BK65">
        <v>2.5</v>
      </c>
      <c r="BL65">
        <v>172.55</v>
      </c>
      <c r="BM65">
        <v>25.88</v>
      </c>
      <c r="BN65">
        <v>198.43</v>
      </c>
      <c r="BO65">
        <v>198.43</v>
      </c>
      <c r="BQ65" t="s">
        <v>404</v>
      </c>
      <c r="BR65" t="s">
        <v>101</v>
      </c>
      <c r="BS65" s="3">
        <v>45722</v>
      </c>
      <c r="BT65" s="4">
        <v>0.40833333333333333</v>
      </c>
      <c r="BU65" t="s">
        <v>405</v>
      </c>
      <c r="BV65" t="s">
        <v>109</v>
      </c>
      <c r="BY65">
        <v>12237.75</v>
      </c>
      <c r="BZ65" t="s">
        <v>90</v>
      </c>
      <c r="CA65" t="s">
        <v>406</v>
      </c>
      <c r="CC65" t="s">
        <v>402</v>
      </c>
      <c r="CD65" s="5" t="s">
        <v>407</v>
      </c>
      <c r="CE65" t="s">
        <v>352</v>
      </c>
      <c r="CF65" s="3">
        <v>45723</v>
      </c>
      <c r="CI65">
        <v>2</v>
      </c>
      <c r="CJ65">
        <v>1</v>
      </c>
      <c r="CK65">
        <v>23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"GAB2024689"</f>
        <v>GAB2024689</v>
      </c>
      <c r="F66" s="3">
        <v>45721</v>
      </c>
      <c r="G66">
        <v>202512</v>
      </c>
      <c r="H66" t="s">
        <v>97</v>
      </c>
      <c r="I66" t="s">
        <v>98</v>
      </c>
      <c r="J66" t="s">
        <v>99</v>
      </c>
      <c r="K66" t="s">
        <v>78</v>
      </c>
      <c r="L66" t="s">
        <v>408</v>
      </c>
      <c r="M66" t="s">
        <v>409</v>
      </c>
      <c r="N66" t="s">
        <v>410</v>
      </c>
      <c r="O66" t="s">
        <v>82</v>
      </c>
      <c r="P66" t="str">
        <f>"INV-00115816 CT092906         "</f>
        <v xml:space="preserve">INV-00115816 CT092906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36.08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2.8</v>
      </c>
      <c r="BK66">
        <v>3</v>
      </c>
      <c r="BL66">
        <v>108.96</v>
      </c>
      <c r="BM66">
        <v>16.34</v>
      </c>
      <c r="BN66">
        <v>125.3</v>
      </c>
      <c r="BO66">
        <v>125.3</v>
      </c>
      <c r="BR66" t="s">
        <v>101</v>
      </c>
      <c r="BS66" s="3">
        <v>45722</v>
      </c>
      <c r="BT66" s="4">
        <v>0.36805555555555558</v>
      </c>
      <c r="BU66" t="s">
        <v>411</v>
      </c>
      <c r="BV66" t="s">
        <v>109</v>
      </c>
      <c r="BY66">
        <v>13967.88</v>
      </c>
      <c r="BZ66" t="s">
        <v>90</v>
      </c>
      <c r="CA66" t="s">
        <v>412</v>
      </c>
      <c r="CC66" t="s">
        <v>409</v>
      </c>
      <c r="CD66">
        <v>1501</v>
      </c>
      <c r="CE66" t="s">
        <v>213</v>
      </c>
      <c r="CF66" s="3">
        <v>45723</v>
      </c>
      <c r="CI66">
        <v>1</v>
      </c>
      <c r="CJ66">
        <v>1</v>
      </c>
      <c r="CK66">
        <v>21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"GAB2024690"</f>
        <v>GAB2024690</v>
      </c>
      <c r="F67" s="3">
        <v>45721</v>
      </c>
      <c r="G67">
        <v>202512</v>
      </c>
      <c r="H67" t="s">
        <v>97</v>
      </c>
      <c r="I67" t="s">
        <v>98</v>
      </c>
      <c r="J67" t="s">
        <v>99</v>
      </c>
      <c r="K67" t="s">
        <v>78</v>
      </c>
      <c r="L67" t="s">
        <v>413</v>
      </c>
      <c r="M67" t="s">
        <v>414</v>
      </c>
      <c r="N67" t="s">
        <v>415</v>
      </c>
      <c r="O67" t="s">
        <v>82</v>
      </c>
      <c r="P67" t="str">
        <f>"INV-00115817 CT092908         "</f>
        <v xml:space="preserve">INV-00115817 CT092908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24.06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1.9</v>
      </c>
      <c r="BK67">
        <v>2</v>
      </c>
      <c r="BL67">
        <v>72.66</v>
      </c>
      <c r="BM67">
        <v>10.9</v>
      </c>
      <c r="BN67">
        <v>83.56</v>
      </c>
      <c r="BO67">
        <v>83.56</v>
      </c>
      <c r="BQ67" t="s">
        <v>210</v>
      </c>
      <c r="BR67" t="s">
        <v>101</v>
      </c>
      <c r="BS67" s="3">
        <v>45723</v>
      </c>
      <c r="BT67" s="4">
        <v>0.35416666666666669</v>
      </c>
      <c r="BU67" t="s">
        <v>416</v>
      </c>
      <c r="BV67" t="s">
        <v>109</v>
      </c>
      <c r="BY67">
        <v>9490.5</v>
      </c>
      <c r="BZ67" t="s">
        <v>90</v>
      </c>
      <c r="CA67" t="s">
        <v>417</v>
      </c>
      <c r="CC67" t="s">
        <v>414</v>
      </c>
      <c r="CD67">
        <v>1201</v>
      </c>
      <c r="CE67" t="s">
        <v>137</v>
      </c>
      <c r="CF67" s="3">
        <v>45723</v>
      </c>
      <c r="CI67">
        <v>2</v>
      </c>
      <c r="CJ67">
        <v>2</v>
      </c>
      <c r="CK67">
        <v>21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"GAB2024691"</f>
        <v>GAB2024691</v>
      </c>
      <c r="F68" s="3">
        <v>45721</v>
      </c>
      <c r="G68">
        <v>202512</v>
      </c>
      <c r="H68" t="s">
        <v>97</v>
      </c>
      <c r="I68" t="s">
        <v>98</v>
      </c>
      <c r="J68" t="s">
        <v>99</v>
      </c>
      <c r="K68" t="s">
        <v>78</v>
      </c>
      <c r="L68" t="s">
        <v>94</v>
      </c>
      <c r="M68" t="s">
        <v>95</v>
      </c>
      <c r="N68" t="s">
        <v>418</v>
      </c>
      <c r="O68" t="s">
        <v>82</v>
      </c>
      <c r="P68" t="str">
        <f>"INV-00115820 CT092910         "</f>
        <v xml:space="preserve">INV-00115820 CT092910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57.13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16.739999999999998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1.2</v>
      </c>
      <c r="BJ68">
        <v>2.2999999999999998</v>
      </c>
      <c r="BK68">
        <v>2.5</v>
      </c>
      <c r="BL68">
        <v>189.29</v>
      </c>
      <c r="BM68">
        <v>28.39</v>
      </c>
      <c r="BN68">
        <v>217.68</v>
      </c>
      <c r="BO68">
        <v>217.68</v>
      </c>
      <c r="BQ68" t="s">
        <v>419</v>
      </c>
      <c r="BR68" t="s">
        <v>101</v>
      </c>
      <c r="BS68" s="3">
        <v>45722</v>
      </c>
      <c r="BT68" s="4">
        <v>0.4152777777777778</v>
      </c>
      <c r="BU68" t="s">
        <v>420</v>
      </c>
      <c r="BV68" t="s">
        <v>109</v>
      </c>
      <c r="BY68">
        <v>11678.32</v>
      </c>
      <c r="BZ68" t="s">
        <v>296</v>
      </c>
      <c r="CA68" t="s">
        <v>421</v>
      </c>
      <c r="CC68" t="s">
        <v>95</v>
      </c>
      <c r="CD68">
        <v>2745</v>
      </c>
      <c r="CE68" t="s">
        <v>422</v>
      </c>
      <c r="CF68" s="3">
        <v>45723</v>
      </c>
      <c r="CI68">
        <v>2</v>
      </c>
      <c r="CJ68">
        <v>1</v>
      </c>
      <c r="CK68">
        <v>23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"GAB2024692"</f>
        <v>GAB2024692</v>
      </c>
      <c r="F69" s="3">
        <v>45721</v>
      </c>
      <c r="G69">
        <v>202512</v>
      </c>
      <c r="H69" t="s">
        <v>97</v>
      </c>
      <c r="I69" t="s">
        <v>98</v>
      </c>
      <c r="J69" t="s">
        <v>99</v>
      </c>
      <c r="K69" t="s">
        <v>78</v>
      </c>
      <c r="L69" t="s">
        <v>408</v>
      </c>
      <c r="M69" t="s">
        <v>409</v>
      </c>
      <c r="N69" t="s">
        <v>423</v>
      </c>
      <c r="O69" t="s">
        <v>82</v>
      </c>
      <c r="P69" t="str">
        <f>"INV-00115808 CT092845         "</f>
        <v xml:space="preserve">INV-00115808 CT092845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24.06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0.4</v>
      </c>
      <c r="BJ69">
        <v>1.9</v>
      </c>
      <c r="BK69">
        <v>2</v>
      </c>
      <c r="BL69">
        <v>72.66</v>
      </c>
      <c r="BM69">
        <v>10.9</v>
      </c>
      <c r="BN69">
        <v>83.56</v>
      </c>
      <c r="BO69">
        <v>83.56</v>
      </c>
      <c r="BQ69" t="s">
        <v>424</v>
      </c>
      <c r="BR69" t="s">
        <v>101</v>
      </c>
      <c r="BS69" s="3">
        <v>45722</v>
      </c>
      <c r="BT69" s="4">
        <v>0.39791666666666664</v>
      </c>
      <c r="BU69" t="s">
        <v>425</v>
      </c>
      <c r="BV69" t="s">
        <v>109</v>
      </c>
      <c r="BY69">
        <v>9329.6</v>
      </c>
      <c r="BZ69" t="s">
        <v>90</v>
      </c>
      <c r="CA69" t="s">
        <v>426</v>
      </c>
      <c r="CC69" t="s">
        <v>409</v>
      </c>
      <c r="CD69">
        <v>1501</v>
      </c>
      <c r="CE69" t="s">
        <v>237</v>
      </c>
      <c r="CF69" s="3">
        <v>45722</v>
      </c>
      <c r="CI69">
        <v>1</v>
      </c>
      <c r="CJ69">
        <v>1</v>
      </c>
      <c r="CK69">
        <v>21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"GAB2024695"</f>
        <v>GAB2024695</v>
      </c>
      <c r="F70" s="3">
        <v>45722</v>
      </c>
      <c r="G70">
        <v>202512</v>
      </c>
      <c r="H70" t="s">
        <v>97</v>
      </c>
      <c r="I70" t="s">
        <v>98</v>
      </c>
      <c r="J70" t="s">
        <v>99</v>
      </c>
      <c r="K70" t="s">
        <v>78</v>
      </c>
      <c r="L70" t="s">
        <v>79</v>
      </c>
      <c r="M70" t="s">
        <v>80</v>
      </c>
      <c r="N70" t="s">
        <v>119</v>
      </c>
      <c r="O70" t="s">
        <v>100</v>
      </c>
      <c r="P70" t="str">
        <f>"INVOICE 00115827 CT092819     "</f>
        <v xml:space="preserve">INVOICE 00115827 CT092819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46.52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0.4</v>
      </c>
      <c r="BJ70">
        <v>1.7</v>
      </c>
      <c r="BK70">
        <v>2</v>
      </c>
      <c r="BL70">
        <v>146.07</v>
      </c>
      <c r="BM70">
        <v>21.91</v>
      </c>
      <c r="BN70">
        <v>167.98</v>
      </c>
      <c r="BO70">
        <v>167.98</v>
      </c>
      <c r="BQ70" t="s">
        <v>252</v>
      </c>
      <c r="BR70" t="s">
        <v>101</v>
      </c>
      <c r="BS70" s="3">
        <v>45727</v>
      </c>
      <c r="BT70" s="4">
        <v>0.33055555555555555</v>
      </c>
      <c r="BU70" t="s">
        <v>427</v>
      </c>
      <c r="BV70" t="s">
        <v>109</v>
      </c>
      <c r="BY70">
        <v>8499.65</v>
      </c>
      <c r="CA70" t="s">
        <v>91</v>
      </c>
      <c r="CC70" t="s">
        <v>80</v>
      </c>
      <c r="CD70" s="5" t="s">
        <v>92</v>
      </c>
      <c r="CE70" t="s">
        <v>428</v>
      </c>
      <c r="CF70" s="3">
        <v>45727</v>
      </c>
      <c r="CI70">
        <v>3</v>
      </c>
      <c r="CJ70">
        <v>3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"GAB2024696"</f>
        <v>GAB2024696</v>
      </c>
      <c r="F71" s="3">
        <v>45722</v>
      </c>
      <c r="G71">
        <v>202512</v>
      </c>
      <c r="H71" t="s">
        <v>97</v>
      </c>
      <c r="I71" t="s">
        <v>98</v>
      </c>
      <c r="J71" t="s">
        <v>99</v>
      </c>
      <c r="K71" t="s">
        <v>78</v>
      </c>
      <c r="L71" t="s">
        <v>429</v>
      </c>
      <c r="M71" t="s">
        <v>430</v>
      </c>
      <c r="N71" t="s">
        <v>431</v>
      </c>
      <c r="O71" t="s">
        <v>100</v>
      </c>
      <c r="P71" t="str">
        <f>"INVOICE 00115828 CT092635     "</f>
        <v xml:space="preserve">INVOICE 00115828 CT092635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46.52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1.7</v>
      </c>
      <c r="BJ71">
        <v>6.1</v>
      </c>
      <c r="BK71">
        <v>7</v>
      </c>
      <c r="BL71">
        <v>146.07</v>
      </c>
      <c r="BM71">
        <v>21.91</v>
      </c>
      <c r="BN71">
        <v>167.98</v>
      </c>
      <c r="BO71">
        <v>167.98</v>
      </c>
      <c r="BQ71" t="s">
        <v>432</v>
      </c>
      <c r="BR71" t="s">
        <v>101</v>
      </c>
      <c r="BS71" s="3">
        <v>45727</v>
      </c>
      <c r="BT71" s="4">
        <v>0.40277777777777779</v>
      </c>
      <c r="BU71" t="s">
        <v>433</v>
      </c>
      <c r="BV71" t="s">
        <v>109</v>
      </c>
      <c r="BY71">
        <v>30461.22</v>
      </c>
      <c r="CA71" t="s">
        <v>434</v>
      </c>
      <c r="CC71" t="s">
        <v>430</v>
      </c>
      <c r="CD71">
        <v>1619</v>
      </c>
      <c r="CE71" t="s">
        <v>428</v>
      </c>
      <c r="CF71" s="3">
        <v>45727</v>
      </c>
      <c r="CI71">
        <v>3</v>
      </c>
      <c r="CJ71">
        <v>3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"GAB2024706"</f>
        <v>GAB2024706</v>
      </c>
      <c r="F72" s="3">
        <v>45722</v>
      </c>
      <c r="G72">
        <v>202512</v>
      </c>
      <c r="H72" t="s">
        <v>97</v>
      </c>
      <c r="I72" t="s">
        <v>98</v>
      </c>
      <c r="J72" t="s">
        <v>99</v>
      </c>
      <c r="K72" t="s">
        <v>78</v>
      </c>
      <c r="L72" t="s">
        <v>75</v>
      </c>
      <c r="M72" t="s">
        <v>76</v>
      </c>
      <c r="N72" t="s">
        <v>435</v>
      </c>
      <c r="O72" t="s">
        <v>100</v>
      </c>
      <c r="P72" t="str">
        <f>"INVOICE 00115845 CT092897     "</f>
        <v xml:space="preserve">INVOICE 00115845 CT092897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46.52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3.8</v>
      </c>
      <c r="BK72">
        <v>4</v>
      </c>
      <c r="BL72">
        <v>146.07</v>
      </c>
      <c r="BM72">
        <v>21.91</v>
      </c>
      <c r="BN72">
        <v>167.98</v>
      </c>
      <c r="BO72">
        <v>167.98</v>
      </c>
      <c r="BR72" t="s">
        <v>101</v>
      </c>
      <c r="BS72" s="3">
        <v>45728</v>
      </c>
      <c r="BT72" s="4">
        <v>0.35138888888888886</v>
      </c>
      <c r="BU72" t="s">
        <v>436</v>
      </c>
      <c r="BV72" t="s">
        <v>87</v>
      </c>
      <c r="BW72" t="s">
        <v>198</v>
      </c>
      <c r="BX72" t="s">
        <v>199</v>
      </c>
      <c r="BY72">
        <v>19200</v>
      </c>
      <c r="CC72" t="s">
        <v>76</v>
      </c>
      <c r="CD72">
        <v>4001</v>
      </c>
      <c r="CE72" t="s">
        <v>437</v>
      </c>
      <c r="CF72" s="3">
        <v>45729</v>
      </c>
      <c r="CI72">
        <v>3</v>
      </c>
      <c r="CJ72">
        <v>4</v>
      </c>
      <c r="CK72">
        <v>41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"GAB2024714"</f>
        <v>GAB2024714</v>
      </c>
      <c r="F73" s="3">
        <v>45722</v>
      </c>
      <c r="G73">
        <v>202512</v>
      </c>
      <c r="H73" t="s">
        <v>97</v>
      </c>
      <c r="I73" t="s">
        <v>98</v>
      </c>
      <c r="J73" t="s">
        <v>99</v>
      </c>
      <c r="K73" t="s">
        <v>78</v>
      </c>
      <c r="L73" t="s">
        <v>280</v>
      </c>
      <c r="M73" t="s">
        <v>281</v>
      </c>
      <c r="N73" t="s">
        <v>438</v>
      </c>
      <c r="O73" t="s">
        <v>100</v>
      </c>
      <c r="P73" t="str">
        <f>"INVOICE 00115849 CT092938     "</f>
        <v xml:space="preserve">INVOICE 00115849 CT092938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46.52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2.2000000000000002</v>
      </c>
      <c r="BJ73">
        <v>8.5</v>
      </c>
      <c r="BK73">
        <v>9</v>
      </c>
      <c r="BL73">
        <v>146.07</v>
      </c>
      <c r="BM73">
        <v>21.91</v>
      </c>
      <c r="BN73">
        <v>167.98</v>
      </c>
      <c r="BO73">
        <v>167.98</v>
      </c>
      <c r="BQ73" t="s">
        <v>439</v>
      </c>
      <c r="BR73" t="s">
        <v>101</v>
      </c>
      <c r="BS73" s="3">
        <v>45726</v>
      </c>
      <c r="BT73" s="4">
        <v>0.46041666666666664</v>
      </c>
      <c r="BU73" t="s">
        <v>440</v>
      </c>
      <c r="BV73" t="s">
        <v>109</v>
      </c>
      <c r="BY73">
        <v>42451.5</v>
      </c>
      <c r="CA73" t="s">
        <v>284</v>
      </c>
      <c r="CC73" t="s">
        <v>281</v>
      </c>
      <c r="CD73">
        <v>3201</v>
      </c>
      <c r="CE73" t="s">
        <v>428</v>
      </c>
      <c r="CF73" s="3">
        <v>45741</v>
      </c>
      <c r="CI73">
        <v>4</v>
      </c>
      <c r="CJ73">
        <v>2</v>
      </c>
      <c r="CK73">
        <v>41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"GAB2024693"</f>
        <v>GAB2024693</v>
      </c>
      <c r="F74" s="3">
        <v>45722</v>
      </c>
      <c r="G74">
        <v>202512</v>
      </c>
      <c r="H74" t="s">
        <v>97</v>
      </c>
      <c r="I74" t="s">
        <v>98</v>
      </c>
      <c r="J74" t="s">
        <v>99</v>
      </c>
      <c r="K74" t="s">
        <v>78</v>
      </c>
      <c r="L74" t="s">
        <v>262</v>
      </c>
      <c r="M74" t="s">
        <v>263</v>
      </c>
      <c r="N74" t="s">
        <v>441</v>
      </c>
      <c r="O74" t="s">
        <v>82</v>
      </c>
      <c r="P74" t="str">
        <f>"INVOICE 00115824 CT092917     "</f>
        <v xml:space="preserve">INVOICE 00115824 CT092917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30.07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1.5</v>
      </c>
      <c r="BJ74">
        <v>2.5</v>
      </c>
      <c r="BK74">
        <v>2.5</v>
      </c>
      <c r="BL74">
        <v>90.81</v>
      </c>
      <c r="BM74">
        <v>13.62</v>
      </c>
      <c r="BN74">
        <v>104.43</v>
      </c>
      <c r="BO74">
        <v>104.43</v>
      </c>
      <c r="BQ74" t="s">
        <v>362</v>
      </c>
      <c r="BR74" t="s">
        <v>101</v>
      </c>
      <c r="BS74" s="3">
        <v>45723</v>
      </c>
      <c r="BT74" s="4">
        <v>0.4201388888888889</v>
      </c>
      <c r="BU74" t="s">
        <v>442</v>
      </c>
      <c r="BV74" t="s">
        <v>109</v>
      </c>
      <c r="BY74">
        <v>12400.96</v>
      </c>
      <c r="BZ74" t="s">
        <v>90</v>
      </c>
      <c r="CA74" t="s">
        <v>443</v>
      </c>
      <c r="CC74" t="s">
        <v>263</v>
      </c>
      <c r="CD74" s="5" t="s">
        <v>444</v>
      </c>
      <c r="CE74" t="s">
        <v>445</v>
      </c>
      <c r="CF74" s="3">
        <v>45723</v>
      </c>
      <c r="CI74">
        <v>1</v>
      </c>
      <c r="CJ74">
        <v>1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"GAB2024694"</f>
        <v>GAB2024694</v>
      </c>
      <c r="F75" s="3">
        <v>45722</v>
      </c>
      <c r="G75">
        <v>202512</v>
      </c>
      <c r="H75" t="s">
        <v>97</v>
      </c>
      <c r="I75" t="s">
        <v>98</v>
      </c>
      <c r="J75" t="s">
        <v>99</v>
      </c>
      <c r="K75" t="s">
        <v>78</v>
      </c>
      <c r="L75" t="s">
        <v>97</v>
      </c>
      <c r="M75" t="s">
        <v>98</v>
      </c>
      <c r="N75" t="s">
        <v>446</v>
      </c>
      <c r="O75" t="s">
        <v>82</v>
      </c>
      <c r="P75" t="str">
        <f>"INVOICE 00115825 CT092918     "</f>
        <v xml:space="preserve">INVOICE 00115825 CT092918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18.79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2.2999999999999998</v>
      </c>
      <c r="BK75">
        <v>3</v>
      </c>
      <c r="BL75">
        <v>56.75</v>
      </c>
      <c r="BM75">
        <v>8.51</v>
      </c>
      <c r="BN75">
        <v>65.260000000000005</v>
      </c>
      <c r="BO75">
        <v>65.260000000000005</v>
      </c>
      <c r="BQ75" t="s">
        <v>447</v>
      </c>
      <c r="BR75" t="s">
        <v>101</v>
      </c>
      <c r="BS75" s="3">
        <v>45723</v>
      </c>
      <c r="BT75" s="4">
        <v>0.47430555555555554</v>
      </c>
      <c r="BU75" t="s">
        <v>448</v>
      </c>
      <c r="BV75" t="s">
        <v>87</v>
      </c>
      <c r="BW75" t="s">
        <v>204</v>
      </c>
      <c r="BX75" t="s">
        <v>205</v>
      </c>
      <c r="BY75">
        <v>11503.8</v>
      </c>
      <c r="BZ75" t="s">
        <v>449</v>
      </c>
      <c r="CA75" t="s">
        <v>450</v>
      </c>
      <c r="CC75" t="s">
        <v>98</v>
      </c>
      <c r="CD75">
        <v>8001</v>
      </c>
      <c r="CE75" t="s">
        <v>137</v>
      </c>
      <c r="CF75" s="3">
        <v>45726</v>
      </c>
      <c r="CI75">
        <v>1</v>
      </c>
      <c r="CJ75">
        <v>1</v>
      </c>
      <c r="CK75">
        <v>22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"GAB2024697"</f>
        <v>GAB2024697</v>
      </c>
      <c r="F76" s="3">
        <v>45722</v>
      </c>
      <c r="G76">
        <v>202512</v>
      </c>
      <c r="H76" t="s">
        <v>97</v>
      </c>
      <c r="I76" t="s">
        <v>98</v>
      </c>
      <c r="J76" t="s">
        <v>99</v>
      </c>
      <c r="K76" t="s">
        <v>78</v>
      </c>
      <c r="L76" t="s">
        <v>97</v>
      </c>
      <c r="M76" t="s">
        <v>98</v>
      </c>
      <c r="N76" t="s">
        <v>451</v>
      </c>
      <c r="O76" t="s">
        <v>82</v>
      </c>
      <c r="P76" t="str">
        <f>"INVOICE 00115834 CT092934     "</f>
        <v xml:space="preserve">INVOICE 00115834 CT092934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18.79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1.6</v>
      </c>
      <c r="BK76">
        <v>2</v>
      </c>
      <c r="BL76">
        <v>56.75</v>
      </c>
      <c r="BM76">
        <v>8.51</v>
      </c>
      <c r="BN76">
        <v>65.260000000000005</v>
      </c>
      <c r="BO76">
        <v>65.260000000000005</v>
      </c>
      <c r="BQ76" t="s">
        <v>452</v>
      </c>
      <c r="BR76" t="s">
        <v>101</v>
      </c>
      <c r="BS76" s="3">
        <v>45723</v>
      </c>
      <c r="BT76" s="4">
        <v>0.36458333333333331</v>
      </c>
      <c r="BU76" t="s">
        <v>453</v>
      </c>
      <c r="BV76" t="s">
        <v>109</v>
      </c>
      <c r="BY76">
        <v>7981.88</v>
      </c>
      <c r="BZ76" t="s">
        <v>90</v>
      </c>
      <c r="CA76" t="s">
        <v>236</v>
      </c>
      <c r="CC76" t="s">
        <v>98</v>
      </c>
      <c r="CD76">
        <v>7700</v>
      </c>
      <c r="CE76" t="s">
        <v>454</v>
      </c>
      <c r="CF76" s="3">
        <v>45726</v>
      </c>
      <c r="CI76">
        <v>1</v>
      </c>
      <c r="CJ76">
        <v>1</v>
      </c>
      <c r="CK76">
        <v>22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"GAB2024698"</f>
        <v>GAB2024698</v>
      </c>
      <c r="F77" s="3">
        <v>45722</v>
      </c>
      <c r="G77">
        <v>202512</v>
      </c>
      <c r="H77" t="s">
        <v>97</v>
      </c>
      <c r="I77" t="s">
        <v>98</v>
      </c>
      <c r="J77" t="s">
        <v>99</v>
      </c>
      <c r="K77" t="s">
        <v>78</v>
      </c>
      <c r="L77" t="s">
        <v>97</v>
      </c>
      <c r="M77" t="s">
        <v>98</v>
      </c>
      <c r="N77" t="s">
        <v>455</v>
      </c>
      <c r="O77" t="s">
        <v>82</v>
      </c>
      <c r="P77" t="str">
        <f>"INVOICE 00115835 CT092939     "</f>
        <v xml:space="preserve">INVOICE 00115835 CT092939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18.79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2.2000000000000002</v>
      </c>
      <c r="BK77">
        <v>3</v>
      </c>
      <c r="BL77">
        <v>56.75</v>
      </c>
      <c r="BM77">
        <v>8.51</v>
      </c>
      <c r="BN77">
        <v>65.260000000000005</v>
      </c>
      <c r="BO77">
        <v>65.260000000000005</v>
      </c>
      <c r="BQ77" t="s">
        <v>456</v>
      </c>
      <c r="BR77" t="s">
        <v>101</v>
      </c>
      <c r="BS77" s="3">
        <v>45723</v>
      </c>
      <c r="BT77" s="4">
        <v>0.43055555555555558</v>
      </c>
      <c r="BU77" t="s">
        <v>457</v>
      </c>
      <c r="BV77" t="s">
        <v>109</v>
      </c>
      <c r="BY77">
        <v>10805.4</v>
      </c>
      <c r="BZ77" t="s">
        <v>449</v>
      </c>
      <c r="CA77" t="s">
        <v>327</v>
      </c>
      <c r="CC77" t="s">
        <v>98</v>
      </c>
      <c r="CD77">
        <v>8005</v>
      </c>
      <c r="CE77" t="s">
        <v>149</v>
      </c>
      <c r="CF77" s="3">
        <v>45726</v>
      </c>
      <c r="CI77">
        <v>1</v>
      </c>
      <c r="CJ77">
        <v>1</v>
      </c>
      <c r="CK77">
        <v>22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"GAB2024699"</f>
        <v>GAB2024699</v>
      </c>
      <c r="F78" s="3">
        <v>45722</v>
      </c>
      <c r="G78">
        <v>202512</v>
      </c>
      <c r="H78" t="s">
        <v>97</v>
      </c>
      <c r="I78" t="s">
        <v>98</v>
      </c>
      <c r="J78" t="s">
        <v>99</v>
      </c>
      <c r="K78" t="s">
        <v>78</v>
      </c>
      <c r="L78" t="s">
        <v>339</v>
      </c>
      <c r="M78" t="s">
        <v>340</v>
      </c>
      <c r="N78" t="s">
        <v>458</v>
      </c>
      <c r="O78" t="s">
        <v>82</v>
      </c>
      <c r="P78" t="str">
        <f>"INVOICE 00115836 CT092942     "</f>
        <v xml:space="preserve">INVOICE 00115836 CT092942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18.79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2.2999999999999998</v>
      </c>
      <c r="BK78">
        <v>3</v>
      </c>
      <c r="BL78">
        <v>56.75</v>
      </c>
      <c r="BM78">
        <v>8.51</v>
      </c>
      <c r="BN78">
        <v>65.260000000000005</v>
      </c>
      <c r="BO78">
        <v>65.260000000000005</v>
      </c>
      <c r="BQ78" t="s">
        <v>459</v>
      </c>
      <c r="BR78" t="s">
        <v>101</v>
      </c>
      <c r="BS78" s="3">
        <v>45723</v>
      </c>
      <c r="BT78" s="4">
        <v>0.38541666666666669</v>
      </c>
      <c r="BU78" t="s">
        <v>460</v>
      </c>
      <c r="BV78" t="s">
        <v>109</v>
      </c>
      <c r="BY78">
        <v>11520.18</v>
      </c>
      <c r="BZ78" t="s">
        <v>90</v>
      </c>
      <c r="CA78" t="s">
        <v>461</v>
      </c>
      <c r="CC78" t="s">
        <v>340</v>
      </c>
      <c r="CD78">
        <v>7600</v>
      </c>
      <c r="CE78" t="s">
        <v>462</v>
      </c>
      <c r="CF78" s="3">
        <v>45726</v>
      </c>
      <c r="CI78">
        <v>1</v>
      </c>
      <c r="CJ78">
        <v>1</v>
      </c>
      <c r="CK78">
        <v>22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"GAB2024700"</f>
        <v>GAB2024700</v>
      </c>
      <c r="F79" s="3">
        <v>45722</v>
      </c>
      <c r="G79">
        <v>202512</v>
      </c>
      <c r="H79" t="s">
        <v>97</v>
      </c>
      <c r="I79" t="s">
        <v>98</v>
      </c>
      <c r="J79" t="s">
        <v>99</v>
      </c>
      <c r="K79" t="s">
        <v>78</v>
      </c>
      <c r="L79" t="s">
        <v>463</v>
      </c>
      <c r="M79" t="s">
        <v>464</v>
      </c>
      <c r="N79" t="s">
        <v>465</v>
      </c>
      <c r="O79" t="s">
        <v>82</v>
      </c>
      <c r="P79" t="str">
        <f>"INVOICE 00033250 ORDGS030776  "</f>
        <v xml:space="preserve">INVOICE 00033250 ORDGS030776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57.13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2.2000000000000002</v>
      </c>
      <c r="BK79">
        <v>2.5</v>
      </c>
      <c r="BL79">
        <v>172.55</v>
      </c>
      <c r="BM79">
        <v>25.88</v>
      </c>
      <c r="BN79">
        <v>198.43</v>
      </c>
      <c r="BO79">
        <v>198.43</v>
      </c>
      <c r="BR79" t="s">
        <v>101</v>
      </c>
      <c r="BS79" s="3">
        <v>45723</v>
      </c>
      <c r="BT79" s="4">
        <v>0.4375</v>
      </c>
      <c r="BU79" t="s">
        <v>466</v>
      </c>
      <c r="BV79" t="s">
        <v>109</v>
      </c>
      <c r="BY79">
        <v>11083.8</v>
      </c>
      <c r="BZ79" t="s">
        <v>90</v>
      </c>
      <c r="CA79" t="s">
        <v>467</v>
      </c>
      <c r="CC79" t="s">
        <v>464</v>
      </c>
      <c r="CD79">
        <v>1935</v>
      </c>
      <c r="CE79" t="s">
        <v>149</v>
      </c>
      <c r="CF79" s="3">
        <v>45723</v>
      </c>
      <c r="CI79">
        <v>1</v>
      </c>
      <c r="CJ79">
        <v>1</v>
      </c>
      <c r="CK79">
        <v>23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"GAB2024701"</f>
        <v>GAB2024701</v>
      </c>
      <c r="F80" s="3">
        <v>45722</v>
      </c>
      <c r="G80">
        <v>202512</v>
      </c>
      <c r="H80" t="s">
        <v>97</v>
      </c>
      <c r="I80" t="s">
        <v>98</v>
      </c>
      <c r="J80" t="s">
        <v>99</v>
      </c>
      <c r="K80" t="s">
        <v>78</v>
      </c>
      <c r="L80" t="s">
        <v>463</v>
      </c>
      <c r="M80" t="s">
        <v>464</v>
      </c>
      <c r="N80" t="s">
        <v>468</v>
      </c>
      <c r="O80" t="s">
        <v>82</v>
      </c>
      <c r="P80" t="str">
        <f>"INVOICE 00115829 CT092921     "</f>
        <v xml:space="preserve">INVOICE 00115829 CT092921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57.13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16.739999999999998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0.1</v>
      </c>
      <c r="BJ80">
        <v>2.1</v>
      </c>
      <c r="BK80">
        <v>2.5</v>
      </c>
      <c r="BL80">
        <v>189.29</v>
      </c>
      <c r="BM80">
        <v>28.39</v>
      </c>
      <c r="BN80">
        <v>217.68</v>
      </c>
      <c r="BO80">
        <v>217.68</v>
      </c>
      <c r="BQ80" t="s">
        <v>469</v>
      </c>
      <c r="BR80" t="s">
        <v>101</v>
      </c>
      <c r="BS80" s="3">
        <v>45723</v>
      </c>
      <c r="BT80" s="4">
        <v>0.36319444444444443</v>
      </c>
      <c r="BU80" t="s">
        <v>470</v>
      </c>
      <c r="BV80" t="s">
        <v>109</v>
      </c>
      <c r="BY80">
        <v>10492.2</v>
      </c>
      <c r="BZ80" t="s">
        <v>296</v>
      </c>
      <c r="CA80" t="s">
        <v>471</v>
      </c>
      <c r="CC80" t="s">
        <v>464</v>
      </c>
      <c r="CD80">
        <v>1982</v>
      </c>
      <c r="CE80" t="s">
        <v>472</v>
      </c>
      <c r="CF80" s="3">
        <v>45723</v>
      </c>
      <c r="CI80">
        <v>1</v>
      </c>
      <c r="CJ80">
        <v>1</v>
      </c>
      <c r="CK80">
        <v>23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"GAB2024702"</f>
        <v>GAB2024702</v>
      </c>
      <c r="F81" s="3">
        <v>45722</v>
      </c>
      <c r="G81">
        <v>202512</v>
      </c>
      <c r="H81" t="s">
        <v>97</v>
      </c>
      <c r="I81" t="s">
        <v>98</v>
      </c>
      <c r="J81" t="s">
        <v>99</v>
      </c>
      <c r="K81" t="s">
        <v>78</v>
      </c>
      <c r="L81" t="s">
        <v>262</v>
      </c>
      <c r="M81" t="s">
        <v>263</v>
      </c>
      <c r="N81" t="s">
        <v>473</v>
      </c>
      <c r="O81" t="s">
        <v>82</v>
      </c>
      <c r="P81" t="str">
        <f>"INVOICE 00115830 CT092920     "</f>
        <v xml:space="preserve">INVOICE 00115830 CT092920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36.08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2.6</v>
      </c>
      <c r="BK81">
        <v>3</v>
      </c>
      <c r="BL81">
        <v>108.96</v>
      </c>
      <c r="BM81">
        <v>16.34</v>
      </c>
      <c r="BN81">
        <v>125.3</v>
      </c>
      <c r="BO81">
        <v>125.3</v>
      </c>
      <c r="BQ81" t="s">
        <v>474</v>
      </c>
      <c r="BR81" t="s">
        <v>101</v>
      </c>
      <c r="BS81" s="3">
        <v>45723</v>
      </c>
      <c r="BT81" s="4">
        <v>0.31666666666666665</v>
      </c>
      <c r="BU81" t="s">
        <v>475</v>
      </c>
      <c r="BV81" t="s">
        <v>109</v>
      </c>
      <c r="BY81">
        <v>13077.55</v>
      </c>
      <c r="BZ81" t="s">
        <v>90</v>
      </c>
      <c r="CA81" t="s">
        <v>476</v>
      </c>
      <c r="CC81" t="s">
        <v>263</v>
      </c>
      <c r="CD81" s="5" t="s">
        <v>444</v>
      </c>
      <c r="CE81" t="s">
        <v>149</v>
      </c>
      <c r="CF81" s="3">
        <v>45723</v>
      </c>
      <c r="CI81">
        <v>1</v>
      </c>
      <c r="CJ81">
        <v>1</v>
      </c>
      <c r="CK81">
        <v>21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"GAB2024703"</f>
        <v>GAB2024703</v>
      </c>
      <c r="F82" s="3">
        <v>45722</v>
      </c>
      <c r="G82">
        <v>202512</v>
      </c>
      <c r="H82" t="s">
        <v>97</v>
      </c>
      <c r="I82" t="s">
        <v>98</v>
      </c>
      <c r="J82" t="s">
        <v>99</v>
      </c>
      <c r="K82" t="s">
        <v>78</v>
      </c>
      <c r="L82" t="s">
        <v>238</v>
      </c>
      <c r="M82" t="s">
        <v>239</v>
      </c>
      <c r="N82" t="s">
        <v>477</v>
      </c>
      <c r="O82" t="s">
        <v>82</v>
      </c>
      <c r="P82" t="str">
        <f>"INVOICE 00115822 CT092905     "</f>
        <v xml:space="preserve">INVOICE 00115822 CT092905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36.08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2.6</v>
      </c>
      <c r="BK82">
        <v>3</v>
      </c>
      <c r="BL82">
        <v>108.96</v>
      </c>
      <c r="BM82">
        <v>16.34</v>
      </c>
      <c r="BN82">
        <v>125.3</v>
      </c>
      <c r="BO82">
        <v>125.3</v>
      </c>
      <c r="BQ82" t="s">
        <v>478</v>
      </c>
      <c r="BR82" t="s">
        <v>101</v>
      </c>
      <c r="BS82" s="3">
        <v>45723</v>
      </c>
      <c r="BT82" s="4">
        <v>0.44236111111111109</v>
      </c>
      <c r="BU82" t="s">
        <v>479</v>
      </c>
      <c r="BV82" t="s">
        <v>87</v>
      </c>
      <c r="BW82" t="s">
        <v>88</v>
      </c>
      <c r="BX82" t="s">
        <v>480</v>
      </c>
      <c r="BY82">
        <v>12789.88</v>
      </c>
      <c r="BZ82" t="s">
        <v>90</v>
      </c>
      <c r="CA82" t="s">
        <v>481</v>
      </c>
      <c r="CC82" t="s">
        <v>239</v>
      </c>
      <c r="CD82">
        <v>2021</v>
      </c>
      <c r="CE82" t="s">
        <v>213</v>
      </c>
      <c r="CF82" s="3">
        <v>45724</v>
      </c>
      <c r="CI82">
        <v>1</v>
      </c>
      <c r="CJ82">
        <v>1</v>
      </c>
      <c r="CK82">
        <v>21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"GAB2024704"</f>
        <v>GAB2024704</v>
      </c>
      <c r="F83" s="3">
        <v>45722</v>
      </c>
      <c r="G83">
        <v>202512</v>
      </c>
      <c r="H83" t="s">
        <v>97</v>
      </c>
      <c r="I83" t="s">
        <v>98</v>
      </c>
      <c r="J83" t="s">
        <v>99</v>
      </c>
      <c r="K83" t="s">
        <v>78</v>
      </c>
      <c r="L83" t="s">
        <v>112</v>
      </c>
      <c r="M83" t="s">
        <v>113</v>
      </c>
      <c r="N83" t="s">
        <v>482</v>
      </c>
      <c r="O83" t="s">
        <v>82</v>
      </c>
      <c r="P83" t="str">
        <f>"invoice 00115837 CT092932     "</f>
        <v xml:space="preserve">invoice 00115837 CT092932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72.13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</v>
      </c>
      <c r="BJ83">
        <v>6</v>
      </c>
      <c r="BK83">
        <v>6</v>
      </c>
      <c r="BL83">
        <v>217.85</v>
      </c>
      <c r="BM83">
        <v>32.68</v>
      </c>
      <c r="BN83">
        <v>250.53</v>
      </c>
      <c r="BO83">
        <v>250.53</v>
      </c>
      <c r="BQ83" t="s">
        <v>483</v>
      </c>
      <c r="BR83" t="s">
        <v>101</v>
      </c>
      <c r="BS83" s="3">
        <v>45726</v>
      </c>
      <c r="BT83" s="4">
        <v>0.41666666666666669</v>
      </c>
      <c r="BU83" t="s">
        <v>484</v>
      </c>
      <c r="BV83" t="s">
        <v>109</v>
      </c>
      <c r="BY83">
        <v>29760</v>
      </c>
      <c r="BZ83" t="s">
        <v>90</v>
      </c>
      <c r="CC83" t="s">
        <v>113</v>
      </c>
      <c r="CD83">
        <v>9301</v>
      </c>
      <c r="CE83" t="s">
        <v>485</v>
      </c>
      <c r="CF83" s="3">
        <v>45727</v>
      </c>
      <c r="CI83">
        <v>2</v>
      </c>
      <c r="CJ83">
        <v>2</v>
      </c>
      <c r="CK83">
        <v>21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"GAB2024707"</f>
        <v>GAB2024707</v>
      </c>
      <c r="F84" s="3">
        <v>45722</v>
      </c>
      <c r="G84">
        <v>202512</v>
      </c>
      <c r="H84" t="s">
        <v>97</v>
      </c>
      <c r="I84" t="s">
        <v>98</v>
      </c>
      <c r="J84" t="s">
        <v>99</v>
      </c>
      <c r="K84" t="s">
        <v>78</v>
      </c>
      <c r="L84" t="s">
        <v>97</v>
      </c>
      <c r="M84" t="s">
        <v>98</v>
      </c>
      <c r="N84" t="s">
        <v>220</v>
      </c>
      <c r="O84" t="s">
        <v>82</v>
      </c>
      <c r="P84" t="str">
        <f>"INVOICE 00115846 CT092941     "</f>
        <v xml:space="preserve">INVOICE 00115846 CT092941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18.79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2.2000000000000002</v>
      </c>
      <c r="BK84">
        <v>3</v>
      </c>
      <c r="BL84">
        <v>56.75</v>
      </c>
      <c r="BM84">
        <v>8.51</v>
      </c>
      <c r="BN84">
        <v>65.260000000000005</v>
      </c>
      <c r="BO84">
        <v>65.260000000000005</v>
      </c>
      <c r="BQ84" t="s">
        <v>221</v>
      </c>
      <c r="BR84" t="s">
        <v>101</v>
      </c>
      <c r="BS84" s="3">
        <v>45723</v>
      </c>
      <c r="BT84" s="4">
        <v>0.42986111111111114</v>
      </c>
      <c r="BU84" t="s">
        <v>486</v>
      </c>
      <c r="BV84" t="s">
        <v>109</v>
      </c>
      <c r="BY84">
        <v>11140.47</v>
      </c>
      <c r="BZ84" t="s">
        <v>90</v>
      </c>
      <c r="CA84" t="s">
        <v>223</v>
      </c>
      <c r="CC84" t="s">
        <v>98</v>
      </c>
      <c r="CD84">
        <v>7800</v>
      </c>
      <c r="CE84" t="s">
        <v>137</v>
      </c>
      <c r="CF84" s="3">
        <v>45726</v>
      </c>
      <c r="CI84">
        <v>1</v>
      </c>
      <c r="CJ84">
        <v>1</v>
      </c>
      <c r="CK84">
        <v>22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"GAB2024708"</f>
        <v>GAB2024708</v>
      </c>
      <c r="F85" s="3">
        <v>45722</v>
      </c>
      <c r="G85">
        <v>202512</v>
      </c>
      <c r="H85" t="s">
        <v>97</v>
      </c>
      <c r="I85" t="s">
        <v>98</v>
      </c>
      <c r="J85" t="s">
        <v>99</v>
      </c>
      <c r="K85" t="s">
        <v>78</v>
      </c>
      <c r="L85" t="s">
        <v>262</v>
      </c>
      <c r="M85" t="s">
        <v>263</v>
      </c>
      <c r="N85" t="s">
        <v>487</v>
      </c>
      <c r="O85" t="s">
        <v>82</v>
      </c>
      <c r="P85" t="str">
        <f>"INVOICE 00115853 CT092944     "</f>
        <v xml:space="preserve">INVOICE 00115853 CT092944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30.07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0.4</v>
      </c>
      <c r="BJ85">
        <v>2.2999999999999998</v>
      </c>
      <c r="BK85">
        <v>2.5</v>
      </c>
      <c r="BL85">
        <v>90.81</v>
      </c>
      <c r="BM85">
        <v>13.62</v>
      </c>
      <c r="BN85">
        <v>104.43</v>
      </c>
      <c r="BO85">
        <v>104.43</v>
      </c>
      <c r="BQ85" t="s">
        <v>488</v>
      </c>
      <c r="BR85" t="s">
        <v>101</v>
      </c>
      <c r="BS85" s="3">
        <v>45723</v>
      </c>
      <c r="BT85" s="4">
        <v>0.38541666666666669</v>
      </c>
      <c r="BU85" t="s">
        <v>489</v>
      </c>
      <c r="BV85" t="s">
        <v>109</v>
      </c>
      <c r="BY85">
        <v>11568.25</v>
      </c>
      <c r="BZ85" t="s">
        <v>449</v>
      </c>
      <c r="CA85" t="s">
        <v>490</v>
      </c>
      <c r="CC85" t="s">
        <v>263</v>
      </c>
      <c r="CD85" s="5" t="s">
        <v>444</v>
      </c>
      <c r="CE85" t="s">
        <v>213</v>
      </c>
      <c r="CF85" s="3">
        <v>45723</v>
      </c>
      <c r="CI85">
        <v>1</v>
      </c>
      <c r="CJ85">
        <v>1</v>
      </c>
      <c r="CK85">
        <v>21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"GAB2024709"</f>
        <v>GAB2024709</v>
      </c>
      <c r="F86" s="3">
        <v>45722</v>
      </c>
      <c r="G86">
        <v>202512</v>
      </c>
      <c r="H86" t="s">
        <v>97</v>
      </c>
      <c r="I86" t="s">
        <v>98</v>
      </c>
      <c r="J86" t="s">
        <v>99</v>
      </c>
      <c r="K86" t="s">
        <v>78</v>
      </c>
      <c r="L86" t="s">
        <v>491</v>
      </c>
      <c r="M86" t="s">
        <v>492</v>
      </c>
      <c r="N86" t="s">
        <v>493</v>
      </c>
      <c r="O86" t="s">
        <v>82</v>
      </c>
      <c r="P86" t="str">
        <f>"INVOICE 00033260 ORDGS030739  "</f>
        <v xml:space="preserve">INVOICE 00033260 ORDGS030739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24.06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1.8</v>
      </c>
      <c r="BK86">
        <v>2</v>
      </c>
      <c r="BL86">
        <v>72.66</v>
      </c>
      <c r="BM86">
        <v>10.9</v>
      </c>
      <c r="BN86">
        <v>83.56</v>
      </c>
      <c r="BO86">
        <v>83.56</v>
      </c>
      <c r="BR86" t="s">
        <v>101</v>
      </c>
      <c r="BS86" s="3">
        <v>45723</v>
      </c>
      <c r="BT86" s="4">
        <v>0.30208333333333331</v>
      </c>
      <c r="BU86" t="s">
        <v>494</v>
      </c>
      <c r="BV86" t="s">
        <v>109</v>
      </c>
      <c r="BY86">
        <v>9190.9699999999993</v>
      </c>
      <c r="BZ86" t="s">
        <v>90</v>
      </c>
      <c r="CA86" t="s">
        <v>495</v>
      </c>
      <c r="CC86" t="s">
        <v>492</v>
      </c>
      <c r="CD86">
        <v>1709</v>
      </c>
      <c r="CE86" t="s">
        <v>149</v>
      </c>
      <c r="CF86" s="3">
        <v>45723</v>
      </c>
      <c r="CI86">
        <v>1</v>
      </c>
      <c r="CJ86">
        <v>1</v>
      </c>
      <c r="CK86">
        <v>21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"GAB2024710"</f>
        <v>GAB2024710</v>
      </c>
      <c r="F87" s="3">
        <v>45722</v>
      </c>
      <c r="G87">
        <v>202512</v>
      </c>
      <c r="H87" t="s">
        <v>97</v>
      </c>
      <c r="I87" t="s">
        <v>98</v>
      </c>
      <c r="J87" t="s">
        <v>99</v>
      </c>
      <c r="K87" t="s">
        <v>78</v>
      </c>
      <c r="L87" t="s">
        <v>262</v>
      </c>
      <c r="M87" t="s">
        <v>263</v>
      </c>
      <c r="N87" t="s">
        <v>496</v>
      </c>
      <c r="O87" t="s">
        <v>82</v>
      </c>
      <c r="P87" t="str">
        <f>"INVOICE 00033261 ORDGS030742  "</f>
        <v xml:space="preserve">INVOICE 00033261 ORDGS030742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30.07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2.2999999999999998</v>
      </c>
      <c r="BK87">
        <v>2.5</v>
      </c>
      <c r="BL87">
        <v>90.81</v>
      </c>
      <c r="BM87">
        <v>13.62</v>
      </c>
      <c r="BN87">
        <v>104.43</v>
      </c>
      <c r="BO87">
        <v>104.43</v>
      </c>
      <c r="BQ87" t="s">
        <v>497</v>
      </c>
      <c r="BR87" t="s">
        <v>101</v>
      </c>
      <c r="BS87" s="3">
        <v>45724</v>
      </c>
      <c r="BT87" s="4">
        <v>0.53402777777777777</v>
      </c>
      <c r="BU87" t="s">
        <v>498</v>
      </c>
      <c r="BV87" t="s">
        <v>87</v>
      </c>
      <c r="BW87" t="s">
        <v>88</v>
      </c>
      <c r="BX87" t="s">
        <v>499</v>
      </c>
      <c r="BY87">
        <v>11695.32</v>
      </c>
      <c r="BZ87" t="s">
        <v>90</v>
      </c>
      <c r="CA87" t="s">
        <v>500</v>
      </c>
      <c r="CC87" t="s">
        <v>263</v>
      </c>
      <c r="CD87" s="5" t="s">
        <v>501</v>
      </c>
      <c r="CE87" t="s">
        <v>149</v>
      </c>
      <c r="CF87" s="3">
        <v>45726</v>
      </c>
      <c r="CI87">
        <v>1</v>
      </c>
      <c r="CJ87">
        <v>1</v>
      </c>
      <c r="CK87">
        <v>21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"GAB2024711"</f>
        <v>GAB2024711</v>
      </c>
      <c r="F88" s="3">
        <v>45722</v>
      </c>
      <c r="G88">
        <v>202512</v>
      </c>
      <c r="H88" t="s">
        <v>97</v>
      </c>
      <c r="I88" t="s">
        <v>98</v>
      </c>
      <c r="J88" t="s">
        <v>99</v>
      </c>
      <c r="K88" t="s">
        <v>78</v>
      </c>
      <c r="L88" t="s">
        <v>502</v>
      </c>
      <c r="M88" t="s">
        <v>503</v>
      </c>
      <c r="N88" t="s">
        <v>504</v>
      </c>
      <c r="O88" t="s">
        <v>82</v>
      </c>
      <c r="P88" t="str">
        <f>"INVOICE 00033262 ORDGS030779  "</f>
        <v xml:space="preserve">INVOICE 00033262 ORDGS030779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30.07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2.4</v>
      </c>
      <c r="BK88">
        <v>2.5</v>
      </c>
      <c r="BL88">
        <v>90.81</v>
      </c>
      <c r="BM88">
        <v>13.62</v>
      </c>
      <c r="BN88">
        <v>104.43</v>
      </c>
      <c r="BO88">
        <v>104.43</v>
      </c>
      <c r="BQ88" t="s">
        <v>505</v>
      </c>
      <c r="BR88" t="s">
        <v>101</v>
      </c>
      <c r="BS88" s="3">
        <v>45723</v>
      </c>
      <c r="BT88" s="4">
        <v>0.4375</v>
      </c>
      <c r="BU88" t="s">
        <v>506</v>
      </c>
      <c r="BV88" t="s">
        <v>109</v>
      </c>
      <c r="BY88">
        <v>12000</v>
      </c>
      <c r="BZ88" t="s">
        <v>90</v>
      </c>
      <c r="CA88" t="s">
        <v>507</v>
      </c>
      <c r="CC88" t="s">
        <v>503</v>
      </c>
      <c r="CD88">
        <v>5201</v>
      </c>
      <c r="CE88" t="s">
        <v>149</v>
      </c>
      <c r="CF88" s="3">
        <v>45726</v>
      </c>
      <c r="CI88">
        <v>1</v>
      </c>
      <c r="CJ88">
        <v>1</v>
      </c>
      <c r="CK88">
        <v>21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"GAB2024712"</f>
        <v>GAB2024712</v>
      </c>
      <c r="F89" s="3">
        <v>45722</v>
      </c>
      <c r="G89">
        <v>202512</v>
      </c>
      <c r="H89" t="s">
        <v>97</v>
      </c>
      <c r="I89" t="s">
        <v>98</v>
      </c>
      <c r="J89" t="s">
        <v>99</v>
      </c>
      <c r="K89" t="s">
        <v>78</v>
      </c>
      <c r="L89" t="s">
        <v>508</v>
      </c>
      <c r="M89" t="s">
        <v>509</v>
      </c>
      <c r="N89" t="s">
        <v>510</v>
      </c>
      <c r="O89" t="s">
        <v>82</v>
      </c>
      <c r="P89" t="str">
        <f>"INVOICE - 00033263 ORDGS030768"</f>
        <v>INVOICE - 00033263 ORDGS030768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24.06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2</v>
      </c>
      <c r="BK89">
        <v>2</v>
      </c>
      <c r="BL89">
        <v>72.66</v>
      </c>
      <c r="BM89">
        <v>10.9</v>
      </c>
      <c r="BN89">
        <v>83.56</v>
      </c>
      <c r="BO89">
        <v>83.56</v>
      </c>
      <c r="BQ89" t="s">
        <v>511</v>
      </c>
      <c r="BR89" t="s">
        <v>101</v>
      </c>
      <c r="BS89" s="3">
        <v>45723</v>
      </c>
      <c r="BT89" s="4">
        <v>0.5</v>
      </c>
      <c r="BU89" t="s">
        <v>512</v>
      </c>
      <c r="BV89" t="s">
        <v>87</v>
      </c>
      <c r="BW89" t="s">
        <v>88</v>
      </c>
      <c r="BX89" t="s">
        <v>513</v>
      </c>
      <c r="BY89">
        <v>9839.34</v>
      </c>
      <c r="BZ89" t="s">
        <v>90</v>
      </c>
      <c r="CA89" t="s">
        <v>514</v>
      </c>
      <c r="CC89" t="s">
        <v>509</v>
      </c>
      <c r="CD89">
        <v>1541</v>
      </c>
      <c r="CE89" t="s">
        <v>149</v>
      </c>
      <c r="CF89" s="3">
        <v>45724</v>
      </c>
      <c r="CI89">
        <v>1</v>
      </c>
      <c r="CJ89">
        <v>1</v>
      </c>
      <c r="CK89">
        <v>21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"GAB2024713"</f>
        <v>GAB2024713</v>
      </c>
      <c r="F90" s="3">
        <v>45722</v>
      </c>
      <c r="G90">
        <v>202512</v>
      </c>
      <c r="H90" t="s">
        <v>97</v>
      </c>
      <c r="I90" t="s">
        <v>98</v>
      </c>
      <c r="J90" t="s">
        <v>99</v>
      </c>
      <c r="K90" t="s">
        <v>78</v>
      </c>
      <c r="L90" t="s">
        <v>491</v>
      </c>
      <c r="M90" t="s">
        <v>492</v>
      </c>
      <c r="N90" t="s">
        <v>515</v>
      </c>
      <c r="O90" t="s">
        <v>82</v>
      </c>
      <c r="P90" t="str">
        <f>"INVOICE 00033264 ORDGS030767  "</f>
        <v xml:space="preserve">INVOICE 00033264 ORDGS030767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30.07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2.1</v>
      </c>
      <c r="BK90">
        <v>2.5</v>
      </c>
      <c r="BL90">
        <v>90.81</v>
      </c>
      <c r="BM90">
        <v>13.62</v>
      </c>
      <c r="BN90">
        <v>104.43</v>
      </c>
      <c r="BO90">
        <v>104.43</v>
      </c>
      <c r="BQ90" t="s">
        <v>516</v>
      </c>
      <c r="BR90" t="s">
        <v>101</v>
      </c>
      <c r="BS90" s="3">
        <v>45723</v>
      </c>
      <c r="BT90" s="4">
        <v>0.41666666666666669</v>
      </c>
      <c r="BU90" t="s">
        <v>517</v>
      </c>
      <c r="BV90" t="s">
        <v>109</v>
      </c>
      <c r="BY90">
        <v>10439.280000000001</v>
      </c>
      <c r="BZ90" t="s">
        <v>449</v>
      </c>
      <c r="CA90" t="s">
        <v>243</v>
      </c>
      <c r="CC90" t="s">
        <v>492</v>
      </c>
      <c r="CD90">
        <v>1724</v>
      </c>
      <c r="CE90" t="s">
        <v>518</v>
      </c>
      <c r="CF90" s="3">
        <v>45723</v>
      </c>
      <c r="CI90">
        <v>1</v>
      </c>
      <c r="CJ90">
        <v>1</v>
      </c>
      <c r="CK90">
        <v>21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"GAB2024715"</f>
        <v>GAB2024715</v>
      </c>
      <c r="F91" s="3">
        <v>45722</v>
      </c>
      <c r="G91">
        <v>202512</v>
      </c>
      <c r="H91" t="s">
        <v>97</v>
      </c>
      <c r="I91" t="s">
        <v>98</v>
      </c>
      <c r="J91" t="s">
        <v>99</v>
      </c>
      <c r="K91" t="s">
        <v>78</v>
      </c>
      <c r="L91" t="s">
        <v>519</v>
      </c>
      <c r="M91" t="s">
        <v>520</v>
      </c>
      <c r="N91" t="s">
        <v>521</v>
      </c>
      <c r="O91" t="s">
        <v>82</v>
      </c>
      <c r="P91" t="str">
        <f>"INVOICE 00115850 CT092948     "</f>
        <v xml:space="preserve">INVOICE 00115850 CT092948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30.07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2.4</v>
      </c>
      <c r="BK91">
        <v>2.5</v>
      </c>
      <c r="BL91">
        <v>90.81</v>
      </c>
      <c r="BM91">
        <v>13.62</v>
      </c>
      <c r="BN91">
        <v>104.43</v>
      </c>
      <c r="BO91">
        <v>104.43</v>
      </c>
      <c r="BR91" t="s">
        <v>101</v>
      </c>
      <c r="BS91" s="3">
        <v>45723</v>
      </c>
      <c r="BT91" s="4">
        <v>0.44374999999999998</v>
      </c>
      <c r="BU91" t="s">
        <v>522</v>
      </c>
      <c r="BV91" t="s">
        <v>109</v>
      </c>
      <c r="BY91">
        <v>12000</v>
      </c>
      <c r="BZ91" t="s">
        <v>90</v>
      </c>
      <c r="CA91" t="s">
        <v>523</v>
      </c>
      <c r="CC91" t="s">
        <v>520</v>
      </c>
      <c r="CD91">
        <v>6001</v>
      </c>
      <c r="CE91" t="s">
        <v>237</v>
      </c>
      <c r="CF91" s="3">
        <v>45723</v>
      </c>
      <c r="CI91">
        <v>2</v>
      </c>
      <c r="CJ91">
        <v>1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"GAB2024716"</f>
        <v>GAB2024716</v>
      </c>
      <c r="F92" s="3">
        <v>45722</v>
      </c>
      <c r="G92">
        <v>202512</v>
      </c>
      <c r="H92" t="s">
        <v>97</v>
      </c>
      <c r="I92" t="s">
        <v>98</v>
      </c>
      <c r="J92" t="s">
        <v>99</v>
      </c>
      <c r="K92" t="s">
        <v>78</v>
      </c>
      <c r="L92" t="s">
        <v>491</v>
      </c>
      <c r="M92" t="s">
        <v>492</v>
      </c>
      <c r="N92" t="s">
        <v>524</v>
      </c>
      <c r="O92" t="s">
        <v>82</v>
      </c>
      <c r="P92" t="str">
        <f>"INVOICE 00115851 CT092946     "</f>
        <v xml:space="preserve">INVOICE 00115851 CT092946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24.06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1.7</v>
      </c>
      <c r="BK92">
        <v>2</v>
      </c>
      <c r="BL92">
        <v>72.66</v>
      </c>
      <c r="BM92">
        <v>10.9</v>
      </c>
      <c r="BN92">
        <v>83.56</v>
      </c>
      <c r="BO92">
        <v>83.56</v>
      </c>
      <c r="BR92" t="s">
        <v>101</v>
      </c>
      <c r="BS92" s="3">
        <v>45723</v>
      </c>
      <c r="BT92" s="4">
        <v>0.54166666666666663</v>
      </c>
      <c r="BU92" t="s">
        <v>525</v>
      </c>
      <c r="BV92" t="s">
        <v>109</v>
      </c>
      <c r="BY92">
        <v>8532.81</v>
      </c>
      <c r="BZ92" t="s">
        <v>90</v>
      </c>
      <c r="CC92" t="s">
        <v>492</v>
      </c>
      <c r="CD92">
        <v>1725</v>
      </c>
      <c r="CE92" t="s">
        <v>526</v>
      </c>
      <c r="CF92" s="3">
        <v>45724</v>
      </c>
      <c r="CI92">
        <v>1</v>
      </c>
      <c r="CJ92">
        <v>1</v>
      </c>
      <c r="CK92">
        <v>21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"GAB2024717"</f>
        <v>GAB2024717</v>
      </c>
      <c r="F93" s="3">
        <v>45722</v>
      </c>
      <c r="G93">
        <v>202512</v>
      </c>
      <c r="H93" t="s">
        <v>97</v>
      </c>
      <c r="I93" t="s">
        <v>98</v>
      </c>
      <c r="J93" t="s">
        <v>99</v>
      </c>
      <c r="K93" t="s">
        <v>78</v>
      </c>
      <c r="L93" t="s">
        <v>97</v>
      </c>
      <c r="M93" t="s">
        <v>98</v>
      </c>
      <c r="N93" t="s">
        <v>206</v>
      </c>
      <c r="O93" t="s">
        <v>82</v>
      </c>
      <c r="P93" t="str">
        <f>"INVOICE 00115852 CT092943     "</f>
        <v xml:space="preserve">INVOICE 00115852 CT092943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18.79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2.2000000000000002</v>
      </c>
      <c r="BK93">
        <v>3</v>
      </c>
      <c r="BL93">
        <v>56.75</v>
      </c>
      <c r="BM93">
        <v>8.51</v>
      </c>
      <c r="BN93">
        <v>65.260000000000005</v>
      </c>
      <c r="BO93">
        <v>65.260000000000005</v>
      </c>
      <c r="BQ93" t="s">
        <v>207</v>
      </c>
      <c r="BR93" t="s">
        <v>101</v>
      </c>
      <c r="BS93" s="3">
        <v>45723</v>
      </c>
      <c r="BT93" s="4">
        <v>0.38819444444444445</v>
      </c>
      <c r="BU93" t="s">
        <v>527</v>
      </c>
      <c r="BV93" t="s">
        <v>109</v>
      </c>
      <c r="BY93">
        <v>10886.1</v>
      </c>
      <c r="BZ93" t="s">
        <v>90</v>
      </c>
      <c r="CA93" t="s">
        <v>315</v>
      </c>
      <c r="CC93" t="s">
        <v>98</v>
      </c>
      <c r="CD93">
        <v>7550</v>
      </c>
      <c r="CE93" t="s">
        <v>137</v>
      </c>
      <c r="CF93" s="3">
        <v>45726</v>
      </c>
      <c r="CI93">
        <v>1</v>
      </c>
      <c r="CJ93">
        <v>1</v>
      </c>
      <c r="CK93">
        <v>22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"GAB2024718"</f>
        <v>GAB2024718</v>
      </c>
      <c r="F94" s="3">
        <v>45722</v>
      </c>
      <c r="G94">
        <v>202512</v>
      </c>
      <c r="H94" t="s">
        <v>97</v>
      </c>
      <c r="I94" t="s">
        <v>98</v>
      </c>
      <c r="J94" t="s">
        <v>99</v>
      </c>
      <c r="K94" t="s">
        <v>78</v>
      </c>
      <c r="L94" t="s">
        <v>244</v>
      </c>
      <c r="M94" t="s">
        <v>245</v>
      </c>
      <c r="N94" t="s">
        <v>246</v>
      </c>
      <c r="O94" t="s">
        <v>82</v>
      </c>
      <c r="P94" t="str">
        <f>"INVOICE 00115856 CT092951     "</f>
        <v xml:space="preserve">INVOICE 00115856 CT092951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46.61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1.9</v>
      </c>
      <c r="BK94">
        <v>2</v>
      </c>
      <c r="BL94">
        <v>140.77000000000001</v>
      </c>
      <c r="BM94">
        <v>21.12</v>
      </c>
      <c r="BN94">
        <v>161.88999999999999</v>
      </c>
      <c r="BO94">
        <v>161.88999999999999</v>
      </c>
      <c r="BQ94" t="s">
        <v>247</v>
      </c>
      <c r="BR94" t="s">
        <v>101</v>
      </c>
      <c r="BS94" s="3">
        <v>45723</v>
      </c>
      <c r="BT94" s="4">
        <v>0.43055555555555558</v>
      </c>
      <c r="BU94" t="s">
        <v>386</v>
      </c>
      <c r="BV94" t="s">
        <v>109</v>
      </c>
      <c r="BY94">
        <v>9569.91</v>
      </c>
      <c r="BZ94" t="s">
        <v>90</v>
      </c>
      <c r="CA94" t="s">
        <v>387</v>
      </c>
      <c r="CC94" t="s">
        <v>245</v>
      </c>
      <c r="CD94" s="5" t="s">
        <v>249</v>
      </c>
      <c r="CE94" t="s">
        <v>149</v>
      </c>
      <c r="CF94" s="3">
        <v>45726</v>
      </c>
      <c r="CI94">
        <v>2</v>
      </c>
      <c r="CJ94">
        <v>1</v>
      </c>
      <c r="CK94">
        <v>23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"GAB2024719"</f>
        <v>GAB2024719</v>
      </c>
      <c r="F95" s="3">
        <v>45722</v>
      </c>
      <c r="G95">
        <v>202512</v>
      </c>
      <c r="H95" t="s">
        <v>97</v>
      </c>
      <c r="I95" t="s">
        <v>98</v>
      </c>
      <c r="J95" t="s">
        <v>99</v>
      </c>
      <c r="K95" t="s">
        <v>78</v>
      </c>
      <c r="L95" t="s">
        <v>381</v>
      </c>
      <c r="M95" t="s">
        <v>381</v>
      </c>
      <c r="N95" t="s">
        <v>528</v>
      </c>
      <c r="O95" t="s">
        <v>82</v>
      </c>
      <c r="P95" t="str">
        <f>"INVOICE 00115857 CT092945     "</f>
        <v xml:space="preserve">INVOICE 00115857 CT092945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42.07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2.4</v>
      </c>
      <c r="BK95">
        <v>2.5</v>
      </c>
      <c r="BL95">
        <v>127.06</v>
      </c>
      <c r="BM95">
        <v>19.059999999999999</v>
      </c>
      <c r="BN95">
        <v>146.12</v>
      </c>
      <c r="BO95">
        <v>146.12</v>
      </c>
      <c r="BQ95" t="s">
        <v>529</v>
      </c>
      <c r="BR95" t="s">
        <v>101</v>
      </c>
      <c r="BS95" s="3">
        <v>45723</v>
      </c>
      <c r="BT95" s="4">
        <v>0.59722222222222221</v>
      </c>
      <c r="BU95" t="s">
        <v>530</v>
      </c>
      <c r="BV95" t="s">
        <v>87</v>
      </c>
      <c r="BW95" t="s">
        <v>204</v>
      </c>
      <c r="BX95" t="s">
        <v>531</v>
      </c>
      <c r="BY95">
        <v>12005.06</v>
      </c>
      <c r="BZ95" t="s">
        <v>90</v>
      </c>
      <c r="CA95" t="s">
        <v>532</v>
      </c>
      <c r="CC95" t="s">
        <v>381</v>
      </c>
      <c r="CD95">
        <v>7646</v>
      </c>
      <c r="CE95" t="s">
        <v>526</v>
      </c>
      <c r="CF95" s="3">
        <v>45726</v>
      </c>
      <c r="CI95">
        <v>1</v>
      </c>
      <c r="CJ95">
        <v>1</v>
      </c>
      <c r="CK95">
        <v>24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"GAB2024720"</f>
        <v>GAB2024720</v>
      </c>
      <c r="F96" s="3">
        <v>45722</v>
      </c>
      <c r="G96">
        <v>202512</v>
      </c>
      <c r="H96" t="s">
        <v>97</v>
      </c>
      <c r="I96" t="s">
        <v>98</v>
      </c>
      <c r="J96" t="s">
        <v>99</v>
      </c>
      <c r="K96" t="s">
        <v>78</v>
      </c>
      <c r="L96" t="s">
        <v>533</v>
      </c>
      <c r="M96" t="s">
        <v>534</v>
      </c>
      <c r="N96" t="s">
        <v>535</v>
      </c>
      <c r="O96" t="s">
        <v>82</v>
      </c>
      <c r="P96" t="str">
        <f>"INVOICE 00115858 CT092950     "</f>
        <v xml:space="preserve">INVOICE 00115858 CT092950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78.180000000000007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3.5</v>
      </c>
      <c r="BK96">
        <v>3.5</v>
      </c>
      <c r="BL96">
        <v>236.12</v>
      </c>
      <c r="BM96">
        <v>35.42</v>
      </c>
      <c r="BN96">
        <v>271.54000000000002</v>
      </c>
      <c r="BO96">
        <v>271.54000000000002</v>
      </c>
      <c r="BQ96" t="s">
        <v>536</v>
      </c>
      <c r="BR96" t="s">
        <v>101</v>
      </c>
      <c r="BS96" s="3">
        <v>45723</v>
      </c>
      <c r="BT96" s="4">
        <v>0.43680555555555556</v>
      </c>
      <c r="BU96" t="s">
        <v>537</v>
      </c>
      <c r="BV96" t="s">
        <v>109</v>
      </c>
      <c r="BY96">
        <v>17444.48</v>
      </c>
      <c r="BZ96" t="s">
        <v>449</v>
      </c>
      <c r="CA96" t="s">
        <v>538</v>
      </c>
      <c r="CC96" t="s">
        <v>534</v>
      </c>
      <c r="CD96">
        <v>2515</v>
      </c>
      <c r="CE96" t="s">
        <v>518</v>
      </c>
      <c r="CF96" s="3">
        <v>45724</v>
      </c>
      <c r="CI96">
        <v>1</v>
      </c>
      <c r="CJ96">
        <v>1</v>
      </c>
      <c r="CK96">
        <v>23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"GAB2024721"</f>
        <v>GAB2024721</v>
      </c>
      <c r="F97" s="3">
        <v>45722</v>
      </c>
      <c r="G97">
        <v>202512</v>
      </c>
      <c r="H97" t="s">
        <v>97</v>
      </c>
      <c r="I97" t="s">
        <v>98</v>
      </c>
      <c r="J97" t="s">
        <v>99</v>
      </c>
      <c r="K97" t="s">
        <v>78</v>
      </c>
      <c r="L97" t="s">
        <v>144</v>
      </c>
      <c r="M97" t="s">
        <v>145</v>
      </c>
      <c r="N97" t="s">
        <v>156</v>
      </c>
      <c r="O97" t="s">
        <v>82</v>
      </c>
      <c r="P97" t="str">
        <f>"INVOICE 00115859 CT092949     "</f>
        <v xml:space="preserve">INVOICE 00115859 CT092949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57.13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2.2000000000000002</v>
      </c>
      <c r="BK97">
        <v>2.5</v>
      </c>
      <c r="BL97">
        <v>172.55</v>
      </c>
      <c r="BM97">
        <v>25.88</v>
      </c>
      <c r="BN97">
        <v>198.43</v>
      </c>
      <c r="BO97">
        <v>198.43</v>
      </c>
      <c r="BQ97" t="s">
        <v>157</v>
      </c>
      <c r="BR97" t="s">
        <v>101</v>
      </c>
      <c r="BS97" s="3">
        <v>45723</v>
      </c>
      <c r="BT97" s="4">
        <v>0.39791666666666664</v>
      </c>
      <c r="BU97" t="s">
        <v>539</v>
      </c>
      <c r="BV97" t="s">
        <v>109</v>
      </c>
      <c r="BY97">
        <v>11118.87</v>
      </c>
      <c r="BZ97" t="s">
        <v>90</v>
      </c>
      <c r="CA97" t="s">
        <v>159</v>
      </c>
      <c r="CC97" t="s">
        <v>145</v>
      </c>
      <c r="CD97">
        <v>1039</v>
      </c>
      <c r="CE97" t="s">
        <v>518</v>
      </c>
      <c r="CF97" s="3">
        <v>45724</v>
      </c>
      <c r="CI97">
        <v>1</v>
      </c>
      <c r="CJ97">
        <v>1</v>
      </c>
      <c r="CK97">
        <v>23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"GAB2024722"</f>
        <v>GAB2024722</v>
      </c>
      <c r="F98" s="3">
        <v>45722</v>
      </c>
      <c r="G98">
        <v>202512</v>
      </c>
      <c r="H98" t="s">
        <v>97</v>
      </c>
      <c r="I98" t="s">
        <v>98</v>
      </c>
      <c r="J98" t="s">
        <v>99</v>
      </c>
      <c r="K98" t="s">
        <v>78</v>
      </c>
      <c r="L98" t="s">
        <v>540</v>
      </c>
      <c r="M98" t="s">
        <v>541</v>
      </c>
      <c r="N98" t="s">
        <v>542</v>
      </c>
      <c r="O98" t="s">
        <v>82</v>
      </c>
      <c r="P98" t="str">
        <f>"INVOICE 00033265 ORDGS030818  "</f>
        <v xml:space="preserve">INVOICE 00033265 ORDGS030818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57.13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2.1</v>
      </c>
      <c r="BK98">
        <v>2.5</v>
      </c>
      <c r="BL98">
        <v>172.55</v>
      </c>
      <c r="BM98">
        <v>25.88</v>
      </c>
      <c r="BN98">
        <v>198.43</v>
      </c>
      <c r="BO98">
        <v>198.43</v>
      </c>
      <c r="BQ98" t="s">
        <v>543</v>
      </c>
      <c r="BR98" t="s">
        <v>101</v>
      </c>
      <c r="BS98" s="3">
        <v>45723</v>
      </c>
      <c r="BT98" s="4">
        <v>0.60069444444444442</v>
      </c>
      <c r="BU98" t="s">
        <v>544</v>
      </c>
      <c r="BV98" t="s">
        <v>109</v>
      </c>
      <c r="BY98">
        <v>10639.2</v>
      </c>
      <c r="BZ98" t="s">
        <v>90</v>
      </c>
      <c r="CC98" t="s">
        <v>541</v>
      </c>
      <c r="CD98">
        <v>6500</v>
      </c>
      <c r="CE98" t="s">
        <v>545</v>
      </c>
      <c r="CF98" s="3">
        <v>45726</v>
      </c>
      <c r="CI98">
        <v>1</v>
      </c>
      <c r="CJ98">
        <v>1</v>
      </c>
      <c r="CK98">
        <v>23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"GAB2024724"</f>
        <v>GAB2024724</v>
      </c>
      <c r="F99" s="3">
        <v>45722</v>
      </c>
      <c r="G99">
        <v>202512</v>
      </c>
      <c r="H99" t="s">
        <v>97</v>
      </c>
      <c r="I99" t="s">
        <v>98</v>
      </c>
      <c r="J99" t="s">
        <v>99</v>
      </c>
      <c r="K99" t="s">
        <v>78</v>
      </c>
      <c r="L99" t="s">
        <v>97</v>
      </c>
      <c r="M99" t="s">
        <v>98</v>
      </c>
      <c r="N99" t="s">
        <v>546</v>
      </c>
      <c r="O99" t="s">
        <v>82</v>
      </c>
      <c r="P99" t="str">
        <f>"INVOICE 00115860 CT092952     "</f>
        <v xml:space="preserve">INVOICE 00115860 CT092952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18.79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0.4</v>
      </c>
      <c r="BJ99">
        <v>4</v>
      </c>
      <c r="BK99">
        <v>4</v>
      </c>
      <c r="BL99">
        <v>56.75</v>
      </c>
      <c r="BM99">
        <v>8.51</v>
      </c>
      <c r="BN99">
        <v>65.260000000000005</v>
      </c>
      <c r="BO99">
        <v>65.260000000000005</v>
      </c>
      <c r="BR99" t="s">
        <v>101</v>
      </c>
      <c r="BS99" s="3">
        <v>45723</v>
      </c>
      <c r="BT99" s="4">
        <v>0.40555555555555556</v>
      </c>
      <c r="BU99" t="s">
        <v>547</v>
      </c>
      <c r="BV99" t="s">
        <v>109</v>
      </c>
      <c r="BY99">
        <v>20030.88</v>
      </c>
      <c r="BZ99" t="s">
        <v>90</v>
      </c>
      <c r="CA99" t="s">
        <v>236</v>
      </c>
      <c r="CC99" t="s">
        <v>98</v>
      </c>
      <c r="CD99">
        <v>7708</v>
      </c>
      <c r="CE99" t="s">
        <v>518</v>
      </c>
      <c r="CF99" s="3">
        <v>45727</v>
      </c>
      <c r="CI99">
        <v>1</v>
      </c>
      <c r="CJ99">
        <v>1</v>
      </c>
      <c r="CK99">
        <v>22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"009944638615"</f>
        <v>009944638615</v>
      </c>
      <c r="F100" s="3">
        <v>45722</v>
      </c>
      <c r="G100">
        <v>202512</v>
      </c>
      <c r="H100" t="s">
        <v>75</v>
      </c>
      <c r="I100" t="s">
        <v>76</v>
      </c>
      <c r="J100" t="s">
        <v>548</v>
      </c>
      <c r="K100" t="s">
        <v>78</v>
      </c>
      <c r="L100" t="s">
        <v>79</v>
      </c>
      <c r="M100" t="s">
        <v>80</v>
      </c>
      <c r="N100" t="s">
        <v>549</v>
      </c>
      <c r="O100" t="s">
        <v>82</v>
      </c>
      <c r="P100" t="str">
        <f>"LEVENE                        "</f>
        <v xml:space="preserve">LEVENE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24.06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1.4</v>
      </c>
      <c r="BK100">
        <v>2</v>
      </c>
      <c r="BL100">
        <v>72.66</v>
      </c>
      <c r="BM100">
        <v>10.9</v>
      </c>
      <c r="BN100">
        <v>83.56</v>
      </c>
      <c r="BO100">
        <v>83.56</v>
      </c>
      <c r="BQ100" t="s">
        <v>252</v>
      </c>
      <c r="BR100" t="s">
        <v>550</v>
      </c>
      <c r="BS100" s="3">
        <v>45723</v>
      </c>
      <c r="BT100" s="4">
        <v>0.41666666666666669</v>
      </c>
      <c r="BU100" t="s">
        <v>551</v>
      </c>
      <c r="BV100" t="s">
        <v>109</v>
      </c>
      <c r="BY100">
        <v>6750</v>
      </c>
      <c r="BZ100" t="s">
        <v>90</v>
      </c>
      <c r="CA100" t="s">
        <v>91</v>
      </c>
      <c r="CC100" t="s">
        <v>80</v>
      </c>
      <c r="CD100" s="5" t="s">
        <v>92</v>
      </c>
      <c r="CE100" t="s">
        <v>265</v>
      </c>
      <c r="CF100" s="3">
        <v>45723</v>
      </c>
      <c r="CI100">
        <v>1</v>
      </c>
      <c r="CJ100">
        <v>1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"009944695121"</f>
        <v>009944695121</v>
      </c>
      <c r="F101" s="3">
        <v>45722</v>
      </c>
      <c r="G101">
        <v>202512</v>
      </c>
      <c r="H101" t="s">
        <v>79</v>
      </c>
      <c r="I101" t="s">
        <v>80</v>
      </c>
      <c r="J101" t="s">
        <v>194</v>
      </c>
      <c r="K101" t="s">
        <v>78</v>
      </c>
      <c r="L101" t="s">
        <v>97</v>
      </c>
      <c r="M101" t="s">
        <v>98</v>
      </c>
      <c r="N101" t="s">
        <v>119</v>
      </c>
      <c r="O101" t="s">
        <v>82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24.06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2</v>
      </c>
      <c r="BJ101">
        <v>0.5</v>
      </c>
      <c r="BK101">
        <v>2</v>
      </c>
      <c r="BL101">
        <v>72.66</v>
      </c>
      <c r="BM101">
        <v>10.9</v>
      </c>
      <c r="BN101">
        <v>83.56</v>
      </c>
      <c r="BO101">
        <v>83.56</v>
      </c>
      <c r="BQ101" t="s">
        <v>552</v>
      </c>
      <c r="BR101" t="s">
        <v>252</v>
      </c>
      <c r="BS101" s="3">
        <v>45726</v>
      </c>
      <c r="BT101" s="4">
        <v>0.4375</v>
      </c>
      <c r="BU101" t="s">
        <v>103</v>
      </c>
      <c r="BV101" t="s">
        <v>87</v>
      </c>
      <c r="BY101">
        <v>1200</v>
      </c>
      <c r="BZ101" t="s">
        <v>90</v>
      </c>
      <c r="CA101" t="s">
        <v>104</v>
      </c>
      <c r="CC101" t="s">
        <v>98</v>
      </c>
      <c r="CD101">
        <v>7460</v>
      </c>
      <c r="CE101" t="s">
        <v>200</v>
      </c>
      <c r="CF101" s="3">
        <v>45727</v>
      </c>
      <c r="CI101">
        <v>1</v>
      </c>
      <c r="CJ101">
        <v>2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"GAB2024725"</f>
        <v>GAB2024725</v>
      </c>
      <c r="F102" s="3">
        <v>45723</v>
      </c>
      <c r="G102">
        <v>202512</v>
      </c>
      <c r="H102" t="s">
        <v>97</v>
      </c>
      <c r="I102" t="s">
        <v>98</v>
      </c>
      <c r="J102" t="s">
        <v>99</v>
      </c>
      <c r="K102" t="s">
        <v>78</v>
      </c>
      <c r="L102" t="s">
        <v>97</v>
      </c>
      <c r="M102" t="s">
        <v>98</v>
      </c>
      <c r="N102" t="s">
        <v>553</v>
      </c>
      <c r="O102" t="s">
        <v>82</v>
      </c>
      <c r="P102" t="str">
        <f>"INV-00115874 CT092972         "</f>
        <v xml:space="preserve">INV-00115874 CT092972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18.79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2.4</v>
      </c>
      <c r="BK102">
        <v>3</v>
      </c>
      <c r="BL102">
        <v>56.75</v>
      </c>
      <c r="BM102">
        <v>8.51</v>
      </c>
      <c r="BN102">
        <v>65.260000000000005</v>
      </c>
      <c r="BO102">
        <v>65.260000000000005</v>
      </c>
      <c r="BQ102" t="s">
        <v>554</v>
      </c>
      <c r="BR102" t="s">
        <v>101</v>
      </c>
      <c r="BS102" s="3">
        <v>45726</v>
      </c>
      <c r="BT102" s="4">
        <v>0.45347222222222222</v>
      </c>
      <c r="BU102" t="s">
        <v>555</v>
      </c>
      <c r="BV102" t="s">
        <v>109</v>
      </c>
      <c r="BY102">
        <v>12249.6</v>
      </c>
      <c r="BZ102" t="s">
        <v>90</v>
      </c>
      <c r="CA102" t="s">
        <v>556</v>
      </c>
      <c r="CC102" t="s">
        <v>98</v>
      </c>
      <c r="CD102">
        <v>7975</v>
      </c>
      <c r="CE102" t="s">
        <v>149</v>
      </c>
      <c r="CF102" s="3">
        <v>45727</v>
      </c>
      <c r="CI102">
        <v>1</v>
      </c>
      <c r="CJ102">
        <v>1</v>
      </c>
      <c r="CK102">
        <v>22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"GAB2024726"</f>
        <v>GAB2024726</v>
      </c>
      <c r="F103" s="3">
        <v>45723</v>
      </c>
      <c r="G103">
        <v>202512</v>
      </c>
      <c r="H103" t="s">
        <v>97</v>
      </c>
      <c r="I103" t="s">
        <v>98</v>
      </c>
      <c r="J103" t="s">
        <v>99</v>
      </c>
      <c r="K103" t="s">
        <v>78</v>
      </c>
      <c r="L103" t="s">
        <v>502</v>
      </c>
      <c r="M103" t="s">
        <v>503</v>
      </c>
      <c r="N103" t="s">
        <v>557</v>
      </c>
      <c r="O103" t="s">
        <v>82</v>
      </c>
      <c r="P103" t="str">
        <f>"INV-00115864 CT092953         "</f>
        <v xml:space="preserve">INV-00115864 CT092953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30.07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2.1</v>
      </c>
      <c r="BK103">
        <v>2.5</v>
      </c>
      <c r="BL103">
        <v>90.81</v>
      </c>
      <c r="BM103">
        <v>13.62</v>
      </c>
      <c r="BN103">
        <v>104.43</v>
      </c>
      <c r="BO103">
        <v>104.43</v>
      </c>
      <c r="BQ103" t="s">
        <v>558</v>
      </c>
      <c r="BR103" t="s">
        <v>101</v>
      </c>
      <c r="BS103" s="3">
        <v>45726</v>
      </c>
      <c r="BT103" s="4">
        <v>0.62847222222222221</v>
      </c>
      <c r="BU103" t="s">
        <v>559</v>
      </c>
      <c r="BV103" t="s">
        <v>87</v>
      </c>
      <c r="BY103">
        <v>10361.25</v>
      </c>
      <c r="BZ103" t="s">
        <v>90</v>
      </c>
      <c r="CA103" t="s">
        <v>560</v>
      </c>
      <c r="CC103" t="s">
        <v>503</v>
      </c>
      <c r="CD103">
        <v>5241</v>
      </c>
      <c r="CE103" t="s">
        <v>149</v>
      </c>
      <c r="CF103" s="3">
        <v>45727</v>
      </c>
      <c r="CI103">
        <v>1</v>
      </c>
      <c r="CJ103">
        <v>1</v>
      </c>
      <c r="CK103">
        <v>21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"GAB2024727"</f>
        <v>GAB2024727</v>
      </c>
      <c r="F104" s="3">
        <v>45723</v>
      </c>
      <c r="G104">
        <v>202512</v>
      </c>
      <c r="H104" t="s">
        <v>97</v>
      </c>
      <c r="I104" t="s">
        <v>98</v>
      </c>
      <c r="J104" t="s">
        <v>99</v>
      </c>
      <c r="K104" t="s">
        <v>78</v>
      </c>
      <c r="L104" t="s">
        <v>238</v>
      </c>
      <c r="M104" t="s">
        <v>239</v>
      </c>
      <c r="N104" t="s">
        <v>561</v>
      </c>
      <c r="O104" t="s">
        <v>82</v>
      </c>
      <c r="P104" t="str">
        <f>"INV-00115865 CT092955         "</f>
        <v xml:space="preserve">INV-00115865 CT092955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24.06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16.739999999999998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</v>
      </c>
      <c r="BK104">
        <v>2</v>
      </c>
      <c r="BL104">
        <v>89.4</v>
      </c>
      <c r="BM104">
        <v>13.41</v>
      </c>
      <c r="BN104">
        <v>102.81</v>
      </c>
      <c r="BO104">
        <v>102.81</v>
      </c>
      <c r="BQ104" t="s">
        <v>562</v>
      </c>
      <c r="BR104" t="s">
        <v>101</v>
      </c>
      <c r="BS104" s="3">
        <v>45726</v>
      </c>
      <c r="BT104" s="4">
        <v>0.5</v>
      </c>
      <c r="BU104" t="s">
        <v>563</v>
      </c>
      <c r="BV104" t="s">
        <v>109</v>
      </c>
      <c r="BY104">
        <v>9971.52</v>
      </c>
      <c r="BZ104" t="s">
        <v>296</v>
      </c>
      <c r="CA104" s="5" t="s">
        <v>564</v>
      </c>
      <c r="CC104" t="s">
        <v>239</v>
      </c>
      <c r="CD104">
        <v>1862</v>
      </c>
      <c r="CE104" t="s">
        <v>137</v>
      </c>
      <c r="CF104" s="3">
        <v>45727</v>
      </c>
      <c r="CI104">
        <v>0</v>
      </c>
      <c r="CJ104">
        <v>0</v>
      </c>
      <c r="CK104">
        <v>21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"GAB2024729"</f>
        <v>GAB2024729</v>
      </c>
      <c r="F105" s="3">
        <v>45723</v>
      </c>
      <c r="G105">
        <v>202512</v>
      </c>
      <c r="H105" t="s">
        <v>97</v>
      </c>
      <c r="I105" t="s">
        <v>98</v>
      </c>
      <c r="J105" t="s">
        <v>99</v>
      </c>
      <c r="K105" t="s">
        <v>78</v>
      </c>
      <c r="L105" t="s">
        <v>75</v>
      </c>
      <c r="M105" t="s">
        <v>76</v>
      </c>
      <c r="N105" t="s">
        <v>565</v>
      </c>
      <c r="O105" t="s">
        <v>82</v>
      </c>
      <c r="P105" t="str">
        <f>"INV00115866 CT092956          "</f>
        <v xml:space="preserve">INV00115866 CT092956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36.08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2.9</v>
      </c>
      <c r="BK105">
        <v>3</v>
      </c>
      <c r="BL105">
        <v>108.96</v>
      </c>
      <c r="BM105">
        <v>16.34</v>
      </c>
      <c r="BN105">
        <v>125.3</v>
      </c>
      <c r="BO105">
        <v>125.3</v>
      </c>
      <c r="BQ105" t="s">
        <v>210</v>
      </c>
      <c r="BR105" t="s">
        <v>101</v>
      </c>
      <c r="BS105" s="3">
        <v>45726</v>
      </c>
      <c r="BT105" s="4">
        <v>0.40416666666666667</v>
      </c>
      <c r="BU105" t="s">
        <v>566</v>
      </c>
      <c r="BV105" t="s">
        <v>109</v>
      </c>
      <c r="BY105">
        <v>14316.23</v>
      </c>
      <c r="BZ105" t="s">
        <v>90</v>
      </c>
      <c r="CA105" t="s">
        <v>269</v>
      </c>
      <c r="CC105" t="s">
        <v>76</v>
      </c>
      <c r="CD105">
        <v>4001</v>
      </c>
      <c r="CE105" t="s">
        <v>567</v>
      </c>
      <c r="CF105" s="3">
        <v>45727</v>
      </c>
      <c r="CI105">
        <v>2</v>
      </c>
      <c r="CJ105">
        <v>1</v>
      </c>
      <c r="CK105">
        <v>21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"GAB2024733"</f>
        <v>GAB2024733</v>
      </c>
      <c r="F106" s="3">
        <v>45723</v>
      </c>
      <c r="G106">
        <v>202512</v>
      </c>
      <c r="H106" t="s">
        <v>97</v>
      </c>
      <c r="I106" t="s">
        <v>98</v>
      </c>
      <c r="J106" t="s">
        <v>99</v>
      </c>
      <c r="K106" t="s">
        <v>78</v>
      </c>
      <c r="L106" t="s">
        <v>533</v>
      </c>
      <c r="M106" t="s">
        <v>534</v>
      </c>
      <c r="N106" t="s">
        <v>535</v>
      </c>
      <c r="O106" t="s">
        <v>82</v>
      </c>
      <c r="P106" t="str">
        <f>"INV-00115882 CT092971         "</f>
        <v xml:space="preserve">INV-00115882 CT092971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57.13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2.5</v>
      </c>
      <c r="BK106">
        <v>2.5</v>
      </c>
      <c r="BL106">
        <v>172.55</v>
      </c>
      <c r="BM106">
        <v>25.88</v>
      </c>
      <c r="BN106">
        <v>198.43</v>
      </c>
      <c r="BO106">
        <v>198.43</v>
      </c>
      <c r="BQ106" t="s">
        <v>536</v>
      </c>
      <c r="BR106" t="s">
        <v>101</v>
      </c>
      <c r="BS106" s="3">
        <v>45726</v>
      </c>
      <c r="BT106" s="4">
        <v>0.33333333333333331</v>
      </c>
      <c r="BU106" t="s">
        <v>568</v>
      </c>
      <c r="BV106" t="s">
        <v>109</v>
      </c>
      <c r="BY106">
        <v>12488.51</v>
      </c>
      <c r="BZ106" t="s">
        <v>90</v>
      </c>
      <c r="CA106" t="s">
        <v>569</v>
      </c>
      <c r="CC106" t="s">
        <v>534</v>
      </c>
      <c r="CD106">
        <v>2515</v>
      </c>
      <c r="CE106" t="s">
        <v>137</v>
      </c>
      <c r="CF106" s="3">
        <v>45726</v>
      </c>
      <c r="CI106">
        <v>1</v>
      </c>
      <c r="CJ106">
        <v>1</v>
      </c>
      <c r="CK106">
        <v>23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"GAB2024680"</f>
        <v>GAB2024680</v>
      </c>
      <c r="F107" s="3">
        <v>45721</v>
      </c>
      <c r="G107">
        <v>202512</v>
      </c>
      <c r="H107" t="s">
        <v>97</v>
      </c>
      <c r="I107" t="s">
        <v>98</v>
      </c>
      <c r="J107" t="s">
        <v>99</v>
      </c>
      <c r="K107" t="s">
        <v>78</v>
      </c>
      <c r="L107" t="s">
        <v>401</v>
      </c>
      <c r="M107" t="s">
        <v>402</v>
      </c>
      <c r="N107" t="s">
        <v>570</v>
      </c>
      <c r="O107" t="s">
        <v>100</v>
      </c>
      <c r="P107" t="str">
        <f>"INV-00033188 029643           "</f>
        <v xml:space="preserve">INV-00033188 029643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313.60000000000002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5</v>
      </c>
      <c r="BI107">
        <v>50.5</v>
      </c>
      <c r="BJ107">
        <v>88.4</v>
      </c>
      <c r="BK107">
        <v>89</v>
      </c>
      <c r="BL107">
        <v>952.7</v>
      </c>
      <c r="BM107">
        <v>142.91</v>
      </c>
      <c r="BN107">
        <v>1095.6099999999999</v>
      </c>
      <c r="BO107">
        <v>1095.6099999999999</v>
      </c>
      <c r="BQ107" t="s">
        <v>571</v>
      </c>
      <c r="BR107" t="s">
        <v>101</v>
      </c>
      <c r="BS107" s="3">
        <v>45723</v>
      </c>
      <c r="BT107" s="4">
        <v>0.56041666666666667</v>
      </c>
      <c r="BU107" t="s">
        <v>572</v>
      </c>
      <c r="BV107" t="s">
        <v>109</v>
      </c>
      <c r="BY107">
        <v>441924.5</v>
      </c>
      <c r="CA107" t="s">
        <v>406</v>
      </c>
      <c r="CC107" t="s">
        <v>402</v>
      </c>
      <c r="CD107" s="5" t="s">
        <v>407</v>
      </c>
      <c r="CE107" t="s">
        <v>111</v>
      </c>
      <c r="CF107" s="3">
        <v>45723</v>
      </c>
      <c r="CI107">
        <v>3</v>
      </c>
      <c r="CJ107">
        <v>2</v>
      </c>
      <c r="CK107">
        <v>43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"GAB2024687"</f>
        <v>GAB2024687</v>
      </c>
      <c r="F108" s="3">
        <v>45721</v>
      </c>
      <c r="G108">
        <v>202512</v>
      </c>
      <c r="H108" t="s">
        <v>97</v>
      </c>
      <c r="I108" t="s">
        <v>98</v>
      </c>
      <c r="J108" t="s">
        <v>99</v>
      </c>
      <c r="K108" t="s">
        <v>78</v>
      </c>
      <c r="L108" t="s">
        <v>262</v>
      </c>
      <c r="M108" t="s">
        <v>263</v>
      </c>
      <c r="N108" t="s">
        <v>573</v>
      </c>
      <c r="O108" t="s">
        <v>100</v>
      </c>
      <c r="P108" t="str">
        <f>"INV-00033217 030777           "</f>
        <v xml:space="preserve">INV-00033217 030777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46.52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6</v>
      </c>
      <c r="BJ108">
        <v>11.7</v>
      </c>
      <c r="BK108">
        <v>12</v>
      </c>
      <c r="BL108">
        <v>146.07</v>
      </c>
      <c r="BM108">
        <v>21.91</v>
      </c>
      <c r="BN108">
        <v>167.98</v>
      </c>
      <c r="BO108">
        <v>167.98</v>
      </c>
      <c r="BQ108" t="s">
        <v>107</v>
      </c>
      <c r="BR108" t="s">
        <v>101</v>
      </c>
      <c r="BS108" s="3">
        <v>45723</v>
      </c>
      <c r="BT108" s="4">
        <v>0.37152777777777779</v>
      </c>
      <c r="BU108" t="s">
        <v>574</v>
      </c>
      <c r="BV108" t="s">
        <v>109</v>
      </c>
      <c r="BY108">
        <v>58311</v>
      </c>
      <c r="CA108" t="s">
        <v>575</v>
      </c>
      <c r="CC108" t="s">
        <v>263</v>
      </c>
      <c r="CD108" s="5" t="s">
        <v>444</v>
      </c>
      <c r="CE108" t="s">
        <v>111</v>
      </c>
      <c r="CF108" s="3">
        <v>45724</v>
      </c>
      <c r="CI108">
        <v>3</v>
      </c>
      <c r="CJ108">
        <v>2</v>
      </c>
      <c r="CK108">
        <v>41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"GAB2024705"</f>
        <v>GAB2024705</v>
      </c>
      <c r="F109" s="3">
        <v>45722</v>
      </c>
      <c r="G109">
        <v>202512</v>
      </c>
      <c r="H109" t="s">
        <v>97</v>
      </c>
      <c r="I109" t="s">
        <v>98</v>
      </c>
      <c r="J109" t="s">
        <v>99</v>
      </c>
      <c r="K109" t="s">
        <v>78</v>
      </c>
      <c r="L109" t="s">
        <v>381</v>
      </c>
      <c r="M109" t="s">
        <v>381</v>
      </c>
      <c r="N109" t="s">
        <v>576</v>
      </c>
      <c r="O109" t="s">
        <v>100</v>
      </c>
      <c r="P109" t="str">
        <f>"INVOICE 00033251 ORDGS030775  "</f>
        <v xml:space="preserve">INVOICE 00033251 ORDGS030775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51.38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2.2000000000000002</v>
      </c>
      <c r="BJ109">
        <v>6.1</v>
      </c>
      <c r="BK109">
        <v>7</v>
      </c>
      <c r="BL109">
        <v>160.74</v>
      </c>
      <c r="BM109">
        <v>24.11</v>
      </c>
      <c r="BN109">
        <v>184.85</v>
      </c>
      <c r="BO109">
        <v>184.85</v>
      </c>
      <c r="BQ109" t="s">
        <v>577</v>
      </c>
      <c r="BR109" t="s">
        <v>101</v>
      </c>
      <c r="BS109" s="3">
        <v>45723</v>
      </c>
      <c r="BT109" s="4">
        <v>0.54236111111111107</v>
      </c>
      <c r="BU109" t="s">
        <v>578</v>
      </c>
      <c r="BV109" t="s">
        <v>109</v>
      </c>
      <c r="BY109">
        <v>30467.42</v>
      </c>
      <c r="CA109" t="s">
        <v>579</v>
      </c>
      <c r="CC109" t="s">
        <v>381</v>
      </c>
      <c r="CD109">
        <v>7646</v>
      </c>
      <c r="CE109" t="s">
        <v>111</v>
      </c>
      <c r="CF109" s="3">
        <v>45726</v>
      </c>
      <c r="CI109">
        <v>0</v>
      </c>
      <c r="CJ109">
        <v>0</v>
      </c>
      <c r="CK109">
        <v>44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"GAB2024723"</f>
        <v>GAB2024723</v>
      </c>
      <c r="F110" s="3">
        <v>45722</v>
      </c>
      <c r="G110">
        <v>202512</v>
      </c>
      <c r="H110" t="s">
        <v>97</v>
      </c>
      <c r="I110" t="s">
        <v>98</v>
      </c>
      <c r="J110" t="s">
        <v>99</v>
      </c>
      <c r="K110" t="s">
        <v>78</v>
      </c>
      <c r="L110" t="s">
        <v>375</v>
      </c>
      <c r="M110" t="s">
        <v>376</v>
      </c>
      <c r="N110" t="s">
        <v>580</v>
      </c>
      <c r="O110" t="s">
        <v>82</v>
      </c>
      <c r="P110" t="str">
        <f>"INVOICE 00115861 CT092954     "</f>
        <v xml:space="preserve">INVOICE 00115861 CT092954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42.07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2.1</v>
      </c>
      <c r="BK110">
        <v>2.5</v>
      </c>
      <c r="BL110">
        <v>127.06</v>
      </c>
      <c r="BM110">
        <v>19.059999999999999</v>
      </c>
      <c r="BN110">
        <v>146.12</v>
      </c>
      <c r="BO110">
        <v>146.12</v>
      </c>
      <c r="BQ110" t="s">
        <v>581</v>
      </c>
      <c r="BR110" t="s">
        <v>101</v>
      </c>
      <c r="BS110" s="3">
        <v>45723</v>
      </c>
      <c r="BT110" s="4">
        <v>0.4201388888888889</v>
      </c>
      <c r="BU110" t="s">
        <v>582</v>
      </c>
      <c r="BV110" t="s">
        <v>109</v>
      </c>
      <c r="BY110">
        <v>10620.38</v>
      </c>
      <c r="BZ110" t="s">
        <v>90</v>
      </c>
      <c r="CA110" t="s">
        <v>461</v>
      </c>
      <c r="CC110" t="s">
        <v>376</v>
      </c>
      <c r="CD110">
        <v>7130</v>
      </c>
      <c r="CE110" t="s">
        <v>137</v>
      </c>
      <c r="CF110" s="3">
        <v>45726</v>
      </c>
      <c r="CI110">
        <v>1</v>
      </c>
      <c r="CJ110">
        <v>1</v>
      </c>
      <c r="CK110">
        <v>24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"GAB2024728"</f>
        <v>GAB2024728</v>
      </c>
      <c r="F111" s="3">
        <v>45723</v>
      </c>
      <c r="G111">
        <v>202512</v>
      </c>
      <c r="H111" t="s">
        <v>97</v>
      </c>
      <c r="I111" t="s">
        <v>98</v>
      </c>
      <c r="J111" t="s">
        <v>99</v>
      </c>
      <c r="K111" t="s">
        <v>78</v>
      </c>
      <c r="L111" t="s">
        <v>75</v>
      </c>
      <c r="M111" t="s">
        <v>76</v>
      </c>
      <c r="N111" t="s">
        <v>266</v>
      </c>
      <c r="O111" t="s">
        <v>100</v>
      </c>
      <c r="P111" t="str">
        <f>"INV-00115876 CT092476         "</f>
        <v xml:space="preserve">INV-00115876 CT092476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46.52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3.4</v>
      </c>
      <c r="BJ111">
        <v>7.9</v>
      </c>
      <c r="BK111">
        <v>8</v>
      </c>
      <c r="BL111">
        <v>146.07</v>
      </c>
      <c r="BM111">
        <v>21.91</v>
      </c>
      <c r="BN111">
        <v>167.98</v>
      </c>
      <c r="BO111">
        <v>167.98</v>
      </c>
      <c r="BQ111" t="s">
        <v>583</v>
      </c>
      <c r="BR111" t="s">
        <v>101</v>
      </c>
      <c r="BS111" s="3">
        <v>45726</v>
      </c>
      <c r="BT111" s="4">
        <v>0.56180555555555556</v>
      </c>
      <c r="BU111" t="s">
        <v>268</v>
      </c>
      <c r="BV111" t="s">
        <v>109</v>
      </c>
      <c r="BY111">
        <v>39440</v>
      </c>
      <c r="CA111" t="s">
        <v>269</v>
      </c>
      <c r="CC111" t="s">
        <v>76</v>
      </c>
      <c r="CD111">
        <v>4001</v>
      </c>
      <c r="CE111" t="s">
        <v>584</v>
      </c>
      <c r="CF111" s="3">
        <v>45727</v>
      </c>
      <c r="CI111">
        <v>3</v>
      </c>
      <c r="CJ111">
        <v>1</v>
      </c>
      <c r="CK111">
        <v>41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"GAB2024730"</f>
        <v>GAB2024730</v>
      </c>
      <c r="F112" s="3">
        <v>45723</v>
      </c>
      <c r="G112">
        <v>202512</v>
      </c>
      <c r="H112" t="s">
        <v>97</v>
      </c>
      <c r="I112" t="s">
        <v>98</v>
      </c>
      <c r="J112" t="s">
        <v>99</v>
      </c>
      <c r="K112" t="s">
        <v>78</v>
      </c>
      <c r="L112" t="s">
        <v>491</v>
      </c>
      <c r="M112" t="s">
        <v>492</v>
      </c>
      <c r="N112" t="s">
        <v>585</v>
      </c>
      <c r="O112" t="s">
        <v>100</v>
      </c>
      <c r="P112" t="str">
        <f>"INV-00115847 CT092924         "</f>
        <v xml:space="preserve">INV-00115847 CT092924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46.52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0.9</v>
      </c>
      <c r="BJ112">
        <v>2.2999999999999998</v>
      </c>
      <c r="BK112">
        <v>3</v>
      </c>
      <c r="BL112">
        <v>146.07</v>
      </c>
      <c r="BM112">
        <v>21.91</v>
      </c>
      <c r="BN112">
        <v>167.98</v>
      </c>
      <c r="BO112">
        <v>167.98</v>
      </c>
      <c r="BQ112" t="s">
        <v>586</v>
      </c>
      <c r="BR112" t="s">
        <v>101</v>
      </c>
      <c r="BS112" s="3">
        <v>45727</v>
      </c>
      <c r="BT112" s="4">
        <v>0.57291666666666663</v>
      </c>
      <c r="BU112" t="s">
        <v>587</v>
      </c>
      <c r="BV112" t="s">
        <v>109</v>
      </c>
      <c r="BY112">
        <v>11602.2</v>
      </c>
      <c r="CC112" t="s">
        <v>492</v>
      </c>
      <c r="CD112">
        <v>1732</v>
      </c>
      <c r="CE112" t="s">
        <v>437</v>
      </c>
      <c r="CF112" s="3">
        <v>45727</v>
      </c>
      <c r="CI112">
        <v>2</v>
      </c>
      <c r="CJ112">
        <v>2</v>
      </c>
      <c r="CK112">
        <v>41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"GAB2024731"</f>
        <v>GAB2024731</v>
      </c>
      <c r="F113" s="3">
        <v>45723</v>
      </c>
      <c r="G113">
        <v>202512</v>
      </c>
      <c r="H113" t="s">
        <v>97</v>
      </c>
      <c r="I113" t="s">
        <v>98</v>
      </c>
      <c r="J113" t="s">
        <v>99</v>
      </c>
      <c r="K113" t="s">
        <v>78</v>
      </c>
      <c r="L113" t="s">
        <v>130</v>
      </c>
      <c r="M113" t="s">
        <v>131</v>
      </c>
      <c r="N113" t="s">
        <v>132</v>
      </c>
      <c r="O113" t="s">
        <v>100</v>
      </c>
      <c r="P113" t="str">
        <f>"INV-00115862 CT092896         "</f>
        <v xml:space="preserve">INV-00115862 CT092896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46.52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</v>
      </c>
      <c r="BJ113">
        <v>8.1</v>
      </c>
      <c r="BK113">
        <v>9</v>
      </c>
      <c r="BL113">
        <v>146.07</v>
      </c>
      <c r="BM113">
        <v>21.91</v>
      </c>
      <c r="BN113">
        <v>167.98</v>
      </c>
      <c r="BO113">
        <v>167.98</v>
      </c>
      <c r="BQ113" t="s">
        <v>588</v>
      </c>
      <c r="BR113" t="s">
        <v>101</v>
      </c>
      <c r="BS113" s="3">
        <v>45726</v>
      </c>
      <c r="BT113" s="4">
        <v>0.42986111111111114</v>
      </c>
      <c r="BU113" t="s">
        <v>589</v>
      </c>
      <c r="BV113" t="s">
        <v>109</v>
      </c>
      <c r="BY113">
        <v>40483.800000000003</v>
      </c>
      <c r="CA113" t="s">
        <v>135</v>
      </c>
      <c r="CC113" t="s">
        <v>131</v>
      </c>
      <c r="CD113" s="5" t="s">
        <v>136</v>
      </c>
      <c r="CE113" t="s">
        <v>584</v>
      </c>
      <c r="CF113" s="3">
        <v>45726</v>
      </c>
      <c r="CI113">
        <v>3</v>
      </c>
      <c r="CJ113">
        <v>1</v>
      </c>
      <c r="CK113">
        <v>41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"GAB2024732"</f>
        <v>GAB2024732</v>
      </c>
      <c r="F114" s="3">
        <v>45723</v>
      </c>
      <c r="G114">
        <v>202512</v>
      </c>
      <c r="H114" t="s">
        <v>97</v>
      </c>
      <c r="I114" t="s">
        <v>98</v>
      </c>
      <c r="J114" t="s">
        <v>99</v>
      </c>
      <c r="K114" t="s">
        <v>78</v>
      </c>
      <c r="L114" t="s">
        <v>429</v>
      </c>
      <c r="M114" t="s">
        <v>430</v>
      </c>
      <c r="N114" t="s">
        <v>590</v>
      </c>
      <c r="O114" t="s">
        <v>100</v>
      </c>
      <c r="P114" t="str">
        <f>"INV-00115880 CT092962         "</f>
        <v xml:space="preserve">INV-00115880 CT092962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182.88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6</v>
      </c>
      <c r="BI114">
        <v>25.8</v>
      </c>
      <c r="BJ114">
        <v>85.5</v>
      </c>
      <c r="BK114">
        <v>86</v>
      </c>
      <c r="BL114">
        <v>557.91</v>
      </c>
      <c r="BM114">
        <v>83.69</v>
      </c>
      <c r="BN114">
        <v>641.6</v>
      </c>
      <c r="BO114">
        <v>641.6</v>
      </c>
      <c r="BQ114" t="s">
        <v>591</v>
      </c>
      <c r="BR114" t="s">
        <v>101</v>
      </c>
      <c r="BS114" s="3">
        <v>45727</v>
      </c>
      <c r="BT114" s="4">
        <v>0.41875000000000001</v>
      </c>
      <c r="BU114" t="s">
        <v>592</v>
      </c>
      <c r="BV114" t="s">
        <v>109</v>
      </c>
      <c r="BY114">
        <v>427409.07</v>
      </c>
      <c r="CC114" t="s">
        <v>430</v>
      </c>
      <c r="CD114">
        <v>1632</v>
      </c>
      <c r="CE114" t="s">
        <v>118</v>
      </c>
      <c r="CF114" s="3">
        <v>45727</v>
      </c>
      <c r="CI114">
        <v>2</v>
      </c>
      <c r="CJ114">
        <v>2</v>
      </c>
      <c r="CK114">
        <v>41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"GAB2024734"</f>
        <v>GAB2024734</v>
      </c>
      <c r="F115" s="3">
        <v>45723</v>
      </c>
      <c r="G115">
        <v>202512</v>
      </c>
      <c r="H115" t="s">
        <v>97</v>
      </c>
      <c r="I115" t="s">
        <v>98</v>
      </c>
      <c r="J115" t="s">
        <v>99</v>
      </c>
      <c r="K115" t="s">
        <v>78</v>
      </c>
      <c r="L115" t="s">
        <v>112</v>
      </c>
      <c r="M115" t="s">
        <v>113</v>
      </c>
      <c r="N115" t="s">
        <v>593</v>
      </c>
      <c r="O115" t="s">
        <v>100</v>
      </c>
      <c r="P115" t="str">
        <f>"INV-00115883 CT092461         "</f>
        <v xml:space="preserve">INV-00115883 CT092461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46.52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2.1</v>
      </c>
      <c r="BJ115">
        <v>6.8</v>
      </c>
      <c r="BK115">
        <v>7</v>
      </c>
      <c r="BL115">
        <v>146.07</v>
      </c>
      <c r="BM115">
        <v>21.91</v>
      </c>
      <c r="BN115">
        <v>167.98</v>
      </c>
      <c r="BO115">
        <v>167.98</v>
      </c>
      <c r="BQ115" t="s">
        <v>594</v>
      </c>
      <c r="BR115" t="s">
        <v>101</v>
      </c>
      <c r="BS115" s="3">
        <v>45726</v>
      </c>
      <c r="BT115" s="4">
        <v>0.47569444444444442</v>
      </c>
      <c r="BU115" t="s">
        <v>595</v>
      </c>
      <c r="BV115" t="s">
        <v>109</v>
      </c>
      <c r="BY115">
        <v>33860.129999999997</v>
      </c>
      <c r="CA115" t="s">
        <v>596</v>
      </c>
      <c r="CC115" t="s">
        <v>113</v>
      </c>
      <c r="CD115">
        <v>9301</v>
      </c>
      <c r="CE115" t="s">
        <v>111</v>
      </c>
      <c r="CF115" s="3">
        <v>45727</v>
      </c>
      <c r="CI115">
        <v>4</v>
      </c>
      <c r="CJ115">
        <v>1</v>
      </c>
      <c r="CK115">
        <v>41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"GAB2024735"</f>
        <v>GAB2024735</v>
      </c>
      <c r="F116" s="3">
        <v>45723</v>
      </c>
      <c r="G116">
        <v>202512</v>
      </c>
      <c r="H116" t="s">
        <v>97</v>
      </c>
      <c r="I116" t="s">
        <v>98</v>
      </c>
      <c r="J116" t="s">
        <v>99</v>
      </c>
      <c r="K116" t="s">
        <v>78</v>
      </c>
      <c r="L116" t="s">
        <v>112</v>
      </c>
      <c r="M116" t="s">
        <v>113</v>
      </c>
      <c r="N116" t="s">
        <v>597</v>
      </c>
      <c r="O116" t="s">
        <v>100</v>
      </c>
      <c r="P116" t="str">
        <f>"INV-00115887 CT092237         "</f>
        <v xml:space="preserve">INV-00115887 CT092237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46.52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2</v>
      </c>
      <c r="BK116">
        <v>2</v>
      </c>
      <c r="BL116">
        <v>146.07</v>
      </c>
      <c r="BM116">
        <v>21.91</v>
      </c>
      <c r="BN116">
        <v>167.98</v>
      </c>
      <c r="BO116">
        <v>167.98</v>
      </c>
      <c r="BR116" t="s">
        <v>101</v>
      </c>
      <c r="BS116" s="3">
        <v>45726</v>
      </c>
      <c r="BT116" s="4">
        <v>0.44236111111111109</v>
      </c>
      <c r="BU116" t="s">
        <v>598</v>
      </c>
      <c r="BV116" t="s">
        <v>109</v>
      </c>
      <c r="BY116">
        <v>9977.4</v>
      </c>
      <c r="CA116" t="s">
        <v>599</v>
      </c>
      <c r="CC116" t="s">
        <v>113</v>
      </c>
      <c r="CD116">
        <v>9301</v>
      </c>
      <c r="CE116" t="s">
        <v>111</v>
      </c>
      <c r="CF116" s="3">
        <v>45727</v>
      </c>
      <c r="CI116">
        <v>4</v>
      </c>
      <c r="CJ116">
        <v>1</v>
      </c>
      <c r="CK116">
        <v>41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"GAB2024736"</f>
        <v>GAB2024736</v>
      </c>
      <c r="F117" s="3">
        <v>45723</v>
      </c>
      <c r="G117">
        <v>202512</v>
      </c>
      <c r="H117" t="s">
        <v>97</v>
      </c>
      <c r="I117" t="s">
        <v>98</v>
      </c>
      <c r="J117" t="s">
        <v>99</v>
      </c>
      <c r="K117" t="s">
        <v>78</v>
      </c>
      <c r="L117" t="s">
        <v>238</v>
      </c>
      <c r="M117" t="s">
        <v>239</v>
      </c>
      <c r="N117" t="s">
        <v>600</v>
      </c>
      <c r="O117" t="s">
        <v>100</v>
      </c>
      <c r="P117" t="str">
        <f>"INV-00115879 CT092965         "</f>
        <v xml:space="preserve">INV-00115879 CT092965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73.41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7.8</v>
      </c>
      <c r="BJ117">
        <v>29</v>
      </c>
      <c r="BK117">
        <v>29</v>
      </c>
      <c r="BL117">
        <v>227.28</v>
      </c>
      <c r="BM117">
        <v>34.090000000000003</v>
      </c>
      <c r="BN117">
        <v>261.37</v>
      </c>
      <c r="BO117">
        <v>261.37</v>
      </c>
      <c r="BQ117" t="s">
        <v>601</v>
      </c>
      <c r="BR117" t="s">
        <v>101</v>
      </c>
      <c r="BS117" s="3">
        <v>45727</v>
      </c>
      <c r="BT117" s="4">
        <v>0.33680555555555558</v>
      </c>
      <c r="BU117" t="s">
        <v>602</v>
      </c>
      <c r="BV117" t="s">
        <v>109</v>
      </c>
      <c r="BY117">
        <v>144804.66</v>
      </c>
      <c r="CA117" t="s">
        <v>603</v>
      </c>
      <c r="CC117" t="s">
        <v>239</v>
      </c>
      <c r="CD117">
        <v>2001</v>
      </c>
      <c r="CE117" t="s">
        <v>118</v>
      </c>
      <c r="CF117" s="3">
        <v>45727</v>
      </c>
      <c r="CI117">
        <v>2</v>
      </c>
      <c r="CJ117">
        <v>2</v>
      </c>
      <c r="CK117">
        <v>41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"GAB2024737"</f>
        <v>GAB2024737</v>
      </c>
      <c r="F118" s="3">
        <v>45723</v>
      </c>
      <c r="G118">
        <v>202512</v>
      </c>
      <c r="H118" t="s">
        <v>97</v>
      </c>
      <c r="I118" t="s">
        <v>98</v>
      </c>
      <c r="J118" t="s">
        <v>99</v>
      </c>
      <c r="K118" t="s">
        <v>78</v>
      </c>
      <c r="L118" t="s">
        <v>79</v>
      </c>
      <c r="M118" t="s">
        <v>80</v>
      </c>
      <c r="N118" t="s">
        <v>604</v>
      </c>
      <c r="O118" t="s">
        <v>100</v>
      </c>
      <c r="P118" t="str">
        <f>"INV-00115890 CT092977         "</f>
        <v xml:space="preserve">INV-00115890 CT092977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59.96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8.1999999999999993</v>
      </c>
      <c r="BJ118">
        <v>21.5</v>
      </c>
      <c r="BK118">
        <v>22</v>
      </c>
      <c r="BL118">
        <v>186.67</v>
      </c>
      <c r="BM118">
        <v>28</v>
      </c>
      <c r="BN118">
        <v>214.67</v>
      </c>
      <c r="BO118">
        <v>214.67</v>
      </c>
      <c r="BQ118" t="s">
        <v>459</v>
      </c>
      <c r="BR118" t="s">
        <v>101</v>
      </c>
      <c r="BS118" s="3">
        <v>45726</v>
      </c>
      <c r="BT118" s="4">
        <v>0.34583333333333333</v>
      </c>
      <c r="BU118" t="s">
        <v>605</v>
      </c>
      <c r="BV118" t="s">
        <v>109</v>
      </c>
      <c r="BY118">
        <v>107262.88</v>
      </c>
      <c r="CA118" t="s">
        <v>110</v>
      </c>
      <c r="CC118" t="s">
        <v>80</v>
      </c>
      <c r="CD118" s="5" t="s">
        <v>92</v>
      </c>
      <c r="CE118" t="s">
        <v>111</v>
      </c>
      <c r="CF118" s="3">
        <v>45726</v>
      </c>
      <c r="CI118">
        <v>3</v>
      </c>
      <c r="CJ118">
        <v>1</v>
      </c>
      <c r="CK118">
        <v>41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"GAB2024738"</f>
        <v>GAB2024738</v>
      </c>
      <c r="F119" s="3">
        <v>45723</v>
      </c>
      <c r="G119">
        <v>202512</v>
      </c>
      <c r="H119" t="s">
        <v>97</v>
      </c>
      <c r="I119" t="s">
        <v>98</v>
      </c>
      <c r="J119" t="s">
        <v>99</v>
      </c>
      <c r="K119" t="s">
        <v>78</v>
      </c>
      <c r="L119" t="s">
        <v>112</v>
      </c>
      <c r="M119" t="s">
        <v>113</v>
      </c>
      <c r="N119" t="s">
        <v>606</v>
      </c>
      <c r="O119" t="s">
        <v>100</v>
      </c>
      <c r="P119" t="str">
        <f>"INV-00115884 CT092235         "</f>
        <v xml:space="preserve">INV-00115884 CT092235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150.22999999999999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4</v>
      </c>
      <c r="BI119">
        <v>27.2</v>
      </c>
      <c r="BJ119">
        <v>68.599999999999994</v>
      </c>
      <c r="BK119">
        <v>69</v>
      </c>
      <c r="BL119">
        <v>459.3</v>
      </c>
      <c r="BM119">
        <v>68.900000000000006</v>
      </c>
      <c r="BN119">
        <v>528.20000000000005</v>
      </c>
      <c r="BO119">
        <v>528.20000000000005</v>
      </c>
      <c r="BQ119" t="s">
        <v>607</v>
      </c>
      <c r="BR119" t="s">
        <v>101</v>
      </c>
      <c r="BS119" s="3">
        <v>45726</v>
      </c>
      <c r="BT119" s="4">
        <v>0.4375</v>
      </c>
      <c r="BU119" t="s">
        <v>608</v>
      </c>
      <c r="BV119" t="s">
        <v>109</v>
      </c>
      <c r="BY119">
        <v>343101.66</v>
      </c>
      <c r="CA119" t="s">
        <v>599</v>
      </c>
      <c r="CC119" t="s">
        <v>113</v>
      </c>
      <c r="CD119">
        <v>9301</v>
      </c>
      <c r="CE119" t="s">
        <v>111</v>
      </c>
      <c r="CF119" s="3">
        <v>45727</v>
      </c>
      <c r="CI119">
        <v>4</v>
      </c>
      <c r="CJ119">
        <v>1</v>
      </c>
      <c r="CK119">
        <v>41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"GAB2024739"</f>
        <v>GAB2024739</v>
      </c>
      <c r="F120" s="3">
        <v>45723</v>
      </c>
      <c r="G120">
        <v>202512</v>
      </c>
      <c r="H120" t="s">
        <v>97</v>
      </c>
      <c r="I120" t="s">
        <v>98</v>
      </c>
      <c r="J120" t="s">
        <v>99</v>
      </c>
      <c r="K120" t="s">
        <v>78</v>
      </c>
      <c r="L120" t="s">
        <v>79</v>
      </c>
      <c r="M120" t="s">
        <v>80</v>
      </c>
      <c r="N120" t="s">
        <v>106</v>
      </c>
      <c r="O120" t="s">
        <v>100</v>
      </c>
      <c r="P120" t="str">
        <f>"INV-00115776 00115881 5870 CT0"</f>
        <v>INV-00115776 00115881 5870 CT0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46.52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2.2999999999999998</v>
      </c>
      <c r="BJ120">
        <v>7</v>
      </c>
      <c r="BK120">
        <v>7</v>
      </c>
      <c r="BL120">
        <v>146.07</v>
      </c>
      <c r="BM120">
        <v>21.91</v>
      </c>
      <c r="BN120">
        <v>167.98</v>
      </c>
      <c r="BO120">
        <v>167.98</v>
      </c>
      <c r="BQ120" t="s">
        <v>107</v>
      </c>
      <c r="BR120" t="s">
        <v>101</v>
      </c>
      <c r="BS120" s="3">
        <v>45726</v>
      </c>
      <c r="BT120" s="4">
        <v>0.34583333333333333</v>
      </c>
      <c r="BU120" t="s">
        <v>605</v>
      </c>
      <c r="BV120" t="s">
        <v>109</v>
      </c>
      <c r="BY120">
        <v>34856.25</v>
      </c>
      <c r="CA120" t="s">
        <v>110</v>
      </c>
      <c r="CC120" t="s">
        <v>80</v>
      </c>
      <c r="CD120" s="5" t="s">
        <v>92</v>
      </c>
      <c r="CE120" t="s">
        <v>111</v>
      </c>
      <c r="CF120" s="3">
        <v>45726</v>
      </c>
      <c r="CI120">
        <v>3</v>
      </c>
      <c r="CJ120">
        <v>1</v>
      </c>
      <c r="CK120">
        <v>41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"GAB2024740"</f>
        <v>GAB2024740</v>
      </c>
      <c r="F121" s="3">
        <v>45723</v>
      </c>
      <c r="G121">
        <v>202512</v>
      </c>
      <c r="H121" t="s">
        <v>97</v>
      </c>
      <c r="I121" t="s">
        <v>98</v>
      </c>
      <c r="J121" t="s">
        <v>99</v>
      </c>
      <c r="K121" t="s">
        <v>78</v>
      </c>
      <c r="L121" t="s">
        <v>97</v>
      </c>
      <c r="M121" t="s">
        <v>98</v>
      </c>
      <c r="N121" t="s">
        <v>609</v>
      </c>
      <c r="O121" t="s">
        <v>100</v>
      </c>
      <c r="P121" t="str">
        <f>"INV-00115888 00115889 CT092780"</f>
        <v>INV-00115888 00115889 CT092780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35.9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1.9</v>
      </c>
      <c r="BK121">
        <v>2</v>
      </c>
      <c r="BL121">
        <v>113.99</v>
      </c>
      <c r="BM121">
        <v>17.100000000000001</v>
      </c>
      <c r="BN121">
        <v>131.09</v>
      </c>
      <c r="BO121">
        <v>131.09</v>
      </c>
      <c r="BQ121" t="s">
        <v>610</v>
      </c>
      <c r="BR121" t="s">
        <v>101</v>
      </c>
      <c r="BS121" s="3">
        <v>45726</v>
      </c>
      <c r="BT121" s="4">
        <v>0.53125</v>
      </c>
      <c r="BU121" t="s">
        <v>611</v>
      </c>
      <c r="BV121" t="s">
        <v>109</v>
      </c>
      <c r="BY121">
        <v>9480.51</v>
      </c>
      <c r="CA121" t="s">
        <v>612</v>
      </c>
      <c r="CC121" t="s">
        <v>98</v>
      </c>
      <c r="CD121">
        <v>7550</v>
      </c>
      <c r="CE121" t="s">
        <v>111</v>
      </c>
      <c r="CF121" s="3">
        <v>45727</v>
      </c>
      <c r="CI121">
        <v>1</v>
      </c>
      <c r="CJ121">
        <v>1</v>
      </c>
      <c r="CK121">
        <v>42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"009944695118"</f>
        <v>009944695118</v>
      </c>
      <c r="F122" s="3">
        <v>45723</v>
      </c>
      <c r="G122">
        <v>202512</v>
      </c>
      <c r="H122" t="s">
        <v>262</v>
      </c>
      <c r="I122" t="s">
        <v>263</v>
      </c>
      <c r="J122" t="s">
        <v>194</v>
      </c>
      <c r="K122" t="s">
        <v>78</v>
      </c>
      <c r="L122" t="s">
        <v>75</v>
      </c>
      <c r="M122" t="s">
        <v>76</v>
      </c>
      <c r="N122" t="s">
        <v>119</v>
      </c>
      <c r="O122" t="s">
        <v>100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46.52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10</v>
      </c>
      <c r="BI122">
        <v>10</v>
      </c>
      <c r="BJ122">
        <v>13.8</v>
      </c>
      <c r="BK122">
        <v>14</v>
      </c>
      <c r="BL122">
        <v>146.07</v>
      </c>
      <c r="BM122">
        <v>21.91</v>
      </c>
      <c r="BN122">
        <v>167.98</v>
      </c>
      <c r="BO122">
        <v>167.98</v>
      </c>
      <c r="BQ122" t="s">
        <v>195</v>
      </c>
      <c r="BR122" t="s">
        <v>613</v>
      </c>
      <c r="BS122" s="3">
        <v>45726</v>
      </c>
      <c r="BT122" s="4">
        <v>0.52638888888888891</v>
      </c>
      <c r="BU122" t="s">
        <v>614</v>
      </c>
      <c r="BV122" t="s">
        <v>109</v>
      </c>
      <c r="BY122">
        <v>13800</v>
      </c>
      <c r="BZ122" t="s">
        <v>260</v>
      </c>
      <c r="CC122" t="s">
        <v>76</v>
      </c>
      <c r="CD122">
        <v>4000</v>
      </c>
      <c r="CE122" t="s">
        <v>265</v>
      </c>
      <c r="CF122" s="3">
        <v>45726</v>
      </c>
      <c r="CI122">
        <v>1</v>
      </c>
      <c r="CJ122">
        <v>1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"GAB2024647"</f>
        <v>GAB2024647</v>
      </c>
      <c r="F123" s="3">
        <v>45721</v>
      </c>
      <c r="G123">
        <v>202512</v>
      </c>
      <c r="H123" t="s">
        <v>97</v>
      </c>
      <c r="I123" t="s">
        <v>98</v>
      </c>
      <c r="J123" t="s">
        <v>119</v>
      </c>
      <c r="K123" t="s">
        <v>78</v>
      </c>
      <c r="L123" t="s">
        <v>75</v>
      </c>
      <c r="M123" t="s">
        <v>76</v>
      </c>
      <c r="N123" t="s">
        <v>615</v>
      </c>
      <c r="O123" t="s">
        <v>82</v>
      </c>
      <c r="P123" t="str">
        <f>"INV-00115769 CT092878         "</f>
        <v xml:space="preserve">INV-00115769 CT092878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48.09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3.8</v>
      </c>
      <c r="BK123">
        <v>4</v>
      </c>
      <c r="BL123">
        <v>145.25</v>
      </c>
      <c r="BM123">
        <v>21.79</v>
      </c>
      <c r="BN123">
        <v>167.04</v>
      </c>
      <c r="BO123">
        <v>167.04</v>
      </c>
      <c r="BQ123" t="s">
        <v>616</v>
      </c>
      <c r="BR123" t="s">
        <v>617</v>
      </c>
      <c r="BS123" s="3">
        <v>45723</v>
      </c>
      <c r="BT123" s="4">
        <v>0.41666666666666669</v>
      </c>
      <c r="BU123" t="s">
        <v>618</v>
      </c>
      <c r="BV123" t="s">
        <v>109</v>
      </c>
      <c r="BY123">
        <v>19200</v>
      </c>
      <c r="BZ123" t="s">
        <v>449</v>
      </c>
      <c r="CA123" t="s">
        <v>269</v>
      </c>
      <c r="CC123" t="s">
        <v>76</v>
      </c>
      <c r="CD123">
        <v>4001</v>
      </c>
      <c r="CE123" t="s">
        <v>129</v>
      </c>
      <c r="CF123" s="3">
        <v>45726</v>
      </c>
      <c r="CI123">
        <v>2</v>
      </c>
      <c r="CJ123">
        <v>2</v>
      </c>
      <c r="CK123">
        <v>21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"GAB2024648"</f>
        <v>GAB2024648</v>
      </c>
      <c r="F124" s="3">
        <v>45721</v>
      </c>
      <c r="G124">
        <v>202512</v>
      </c>
      <c r="H124" t="s">
        <v>97</v>
      </c>
      <c r="I124" t="s">
        <v>98</v>
      </c>
      <c r="J124" t="s">
        <v>119</v>
      </c>
      <c r="K124" t="s">
        <v>78</v>
      </c>
      <c r="L124" t="s">
        <v>381</v>
      </c>
      <c r="M124" t="s">
        <v>381</v>
      </c>
      <c r="N124" t="s">
        <v>619</v>
      </c>
      <c r="O124" t="s">
        <v>82</v>
      </c>
      <c r="P124" t="str">
        <f>"INV-00115771 CT092892         "</f>
        <v xml:space="preserve">INV-00115771 CT092892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33.83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1.8</v>
      </c>
      <c r="BK124">
        <v>2</v>
      </c>
      <c r="BL124">
        <v>102.18</v>
      </c>
      <c r="BM124">
        <v>15.33</v>
      </c>
      <c r="BN124">
        <v>117.51</v>
      </c>
      <c r="BO124">
        <v>117.51</v>
      </c>
      <c r="BQ124" t="s">
        <v>529</v>
      </c>
      <c r="BR124" t="s">
        <v>617</v>
      </c>
      <c r="BS124" s="3">
        <v>45723</v>
      </c>
      <c r="BT124" s="4">
        <v>0.59722222222222221</v>
      </c>
      <c r="BU124" t="s">
        <v>530</v>
      </c>
      <c r="BV124" t="s">
        <v>87</v>
      </c>
      <c r="BW124" t="s">
        <v>204</v>
      </c>
      <c r="BX124" t="s">
        <v>531</v>
      </c>
      <c r="BY124">
        <v>9246.5300000000007</v>
      </c>
      <c r="BZ124" t="s">
        <v>449</v>
      </c>
      <c r="CA124" t="s">
        <v>532</v>
      </c>
      <c r="CC124" t="s">
        <v>381</v>
      </c>
      <c r="CD124">
        <v>7646</v>
      </c>
      <c r="CE124" t="s">
        <v>213</v>
      </c>
      <c r="CF124" s="3">
        <v>45726</v>
      </c>
      <c r="CI124">
        <v>0</v>
      </c>
      <c r="CJ124">
        <v>0</v>
      </c>
      <c r="CK124">
        <v>24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"GAB2024653"</f>
        <v>GAB2024653</v>
      </c>
      <c r="F125" s="3">
        <v>45721</v>
      </c>
      <c r="G125">
        <v>202512</v>
      </c>
      <c r="H125" t="s">
        <v>97</v>
      </c>
      <c r="I125" t="s">
        <v>98</v>
      </c>
      <c r="J125" t="s">
        <v>119</v>
      </c>
      <c r="K125" t="s">
        <v>78</v>
      </c>
      <c r="L125" t="s">
        <v>533</v>
      </c>
      <c r="M125" t="s">
        <v>534</v>
      </c>
      <c r="N125" t="s">
        <v>620</v>
      </c>
      <c r="O125" t="s">
        <v>82</v>
      </c>
      <c r="P125" t="str">
        <f>"INV-00115785 CT092877         "</f>
        <v xml:space="preserve">INV-00115785 CT092877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46.61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</v>
      </c>
      <c r="BK125">
        <v>2</v>
      </c>
      <c r="BL125">
        <v>140.77000000000001</v>
      </c>
      <c r="BM125">
        <v>21.12</v>
      </c>
      <c r="BN125">
        <v>161.88999999999999</v>
      </c>
      <c r="BO125">
        <v>161.88999999999999</v>
      </c>
      <c r="BQ125" t="s">
        <v>536</v>
      </c>
      <c r="BR125" t="s">
        <v>617</v>
      </c>
      <c r="BS125" s="3">
        <v>45722</v>
      </c>
      <c r="BT125" s="4">
        <v>0.52847222222222223</v>
      </c>
      <c r="BU125" t="s">
        <v>568</v>
      </c>
      <c r="BV125" t="s">
        <v>109</v>
      </c>
      <c r="BY125">
        <v>9960.93</v>
      </c>
      <c r="BZ125" t="s">
        <v>449</v>
      </c>
      <c r="CA125" t="s">
        <v>569</v>
      </c>
      <c r="CC125" t="s">
        <v>534</v>
      </c>
      <c r="CD125">
        <v>2515</v>
      </c>
      <c r="CE125" t="s">
        <v>149</v>
      </c>
      <c r="CF125" s="3">
        <v>45722</v>
      </c>
      <c r="CI125">
        <v>1</v>
      </c>
      <c r="CJ125">
        <v>1</v>
      </c>
      <c r="CK125">
        <v>23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"GAB2024654"</f>
        <v>GAB2024654</v>
      </c>
      <c r="F126" s="3">
        <v>45721</v>
      </c>
      <c r="G126">
        <v>202512</v>
      </c>
      <c r="H126" t="s">
        <v>97</v>
      </c>
      <c r="I126" t="s">
        <v>98</v>
      </c>
      <c r="J126" t="s">
        <v>119</v>
      </c>
      <c r="K126" t="s">
        <v>78</v>
      </c>
      <c r="L126" t="s">
        <v>262</v>
      </c>
      <c r="M126" t="s">
        <v>263</v>
      </c>
      <c r="N126" t="s">
        <v>441</v>
      </c>
      <c r="O126" t="s">
        <v>82</v>
      </c>
      <c r="P126" t="str">
        <f>"INV-00115786 CT092876         "</f>
        <v xml:space="preserve">INV-00115786 CT092876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30.07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0.9</v>
      </c>
      <c r="BJ126">
        <v>2.2999999999999998</v>
      </c>
      <c r="BK126">
        <v>2.5</v>
      </c>
      <c r="BL126">
        <v>90.81</v>
      </c>
      <c r="BM126">
        <v>13.62</v>
      </c>
      <c r="BN126">
        <v>104.43</v>
      </c>
      <c r="BO126">
        <v>104.43</v>
      </c>
      <c r="BQ126" t="s">
        <v>362</v>
      </c>
      <c r="BR126" t="s">
        <v>617</v>
      </c>
      <c r="BS126" s="3">
        <v>45722</v>
      </c>
      <c r="BT126" s="4">
        <v>0.41597222222222224</v>
      </c>
      <c r="BU126" t="s">
        <v>442</v>
      </c>
      <c r="BV126" t="s">
        <v>109</v>
      </c>
      <c r="BY126">
        <v>11744.04</v>
      </c>
      <c r="BZ126" t="s">
        <v>449</v>
      </c>
      <c r="CA126" t="s">
        <v>443</v>
      </c>
      <c r="CC126" t="s">
        <v>263</v>
      </c>
      <c r="CD126" s="5" t="s">
        <v>444</v>
      </c>
      <c r="CE126" t="s">
        <v>176</v>
      </c>
      <c r="CF126" s="3">
        <v>45722</v>
      </c>
      <c r="CI126">
        <v>1</v>
      </c>
      <c r="CJ126">
        <v>1</v>
      </c>
      <c r="CK126">
        <v>21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"GAB2024657"</f>
        <v>GAB2024657</v>
      </c>
      <c r="F127" s="3">
        <v>45721</v>
      </c>
      <c r="G127">
        <v>202512</v>
      </c>
      <c r="H127" t="s">
        <v>97</v>
      </c>
      <c r="I127" t="s">
        <v>98</v>
      </c>
      <c r="J127" t="s">
        <v>119</v>
      </c>
      <c r="K127" t="s">
        <v>78</v>
      </c>
      <c r="L127" t="s">
        <v>97</v>
      </c>
      <c r="M127" t="s">
        <v>98</v>
      </c>
      <c r="N127" t="s">
        <v>621</v>
      </c>
      <c r="O127" t="s">
        <v>82</v>
      </c>
      <c r="P127" t="str">
        <f>"INV-00115763 CT092813         "</f>
        <v xml:space="preserve">INV-00115763 CT092813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18.79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2.7</v>
      </c>
      <c r="BK127">
        <v>3</v>
      </c>
      <c r="BL127">
        <v>56.75</v>
      </c>
      <c r="BM127">
        <v>8.51</v>
      </c>
      <c r="BN127">
        <v>65.260000000000005</v>
      </c>
      <c r="BO127">
        <v>65.260000000000005</v>
      </c>
      <c r="BQ127" t="s">
        <v>622</v>
      </c>
      <c r="BR127" t="s">
        <v>617</v>
      </c>
      <c r="BS127" s="3">
        <v>45722</v>
      </c>
      <c r="BT127" s="4">
        <v>0.3972222222222222</v>
      </c>
      <c r="BU127" t="s">
        <v>623</v>
      </c>
      <c r="BV127" t="s">
        <v>109</v>
      </c>
      <c r="BY127">
        <v>13252.5</v>
      </c>
      <c r="BZ127" t="s">
        <v>449</v>
      </c>
      <c r="CA127" t="s">
        <v>315</v>
      </c>
      <c r="CC127" t="s">
        <v>98</v>
      </c>
      <c r="CD127">
        <v>7550</v>
      </c>
      <c r="CE127" t="s">
        <v>137</v>
      </c>
      <c r="CF127" s="3">
        <v>45723</v>
      </c>
      <c r="CI127">
        <v>1</v>
      </c>
      <c r="CJ127">
        <v>1</v>
      </c>
      <c r="CK127">
        <v>22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"GAB2024659"</f>
        <v>GAB2024659</v>
      </c>
      <c r="F128" s="3">
        <v>45721</v>
      </c>
      <c r="G128">
        <v>202512</v>
      </c>
      <c r="H128" t="s">
        <v>97</v>
      </c>
      <c r="I128" t="s">
        <v>98</v>
      </c>
      <c r="J128" t="s">
        <v>119</v>
      </c>
      <c r="K128" t="s">
        <v>78</v>
      </c>
      <c r="L128" t="s">
        <v>375</v>
      </c>
      <c r="M128" t="s">
        <v>376</v>
      </c>
      <c r="N128" t="s">
        <v>624</v>
      </c>
      <c r="O128" t="s">
        <v>82</v>
      </c>
      <c r="P128" t="str">
        <f>"INV-00115765 CT092838         "</f>
        <v xml:space="preserve">INV-00115765 CT092838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42.07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2.5</v>
      </c>
      <c r="BK128">
        <v>2.5</v>
      </c>
      <c r="BL128">
        <v>127.06</v>
      </c>
      <c r="BM128">
        <v>19.059999999999999</v>
      </c>
      <c r="BN128">
        <v>146.12</v>
      </c>
      <c r="BO128">
        <v>146.12</v>
      </c>
      <c r="BQ128" t="s">
        <v>581</v>
      </c>
      <c r="BR128" t="s">
        <v>617</v>
      </c>
      <c r="BS128" s="3">
        <v>45722</v>
      </c>
      <c r="BT128" s="4">
        <v>0.40972222222222221</v>
      </c>
      <c r="BU128" t="s">
        <v>625</v>
      </c>
      <c r="BV128" t="s">
        <v>109</v>
      </c>
      <c r="BY128">
        <v>12734.4</v>
      </c>
      <c r="BZ128" t="s">
        <v>449</v>
      </c>
      <c r="CA128" t="s">
        <v>380</v>
      </c>
      <c r="CC128" t="s">
        <v>376</v>
      </c>
      <c r="CD128">
        <v>7130</v>
      </c>
      <c r="CE128" t="s">
        <v>137</v>
      </c>
      <c r="CF128" s="3">
        <v>45723</v>
      </c>
      <c r="CI128">
        <v>0</v>
      </c>
      <c r="CJ128">
        <v>0</v>
      </c>
      <c r="CK128">
        <v>24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"GAB2024676"</f>
        <v>GAB2024676</v>
      </c>
      <c r="F129" s="3">
        <v>45721</v>
      </c>
      <c r="G129">
        <v>202512</v>
      </c>
      <c r="H129" t="s">
        <v>97</v>
      </c>
      <c r="I129" t="s">
        <v>98</v>
      </c>
      <c r="J129" t="s">
        <v>119</v>
      </c>
      <c r="K129" t="s">
        <v>78</v>
      </c>
      <c r="L129" t="s">
        <v>130</v>
      </c>
      <c r="M129" t="s">
        <v>131</v>
      </c>
      <c r="N129" t="s">
        <v>626</v>
      </c>
      <c r="O129" t="s">
        <v>82</v>
      </c>
      <c r="P129" t="str">
        <f>"INV-00115738 CT092808         "</f>
        <v xml:space="preserve">INV-00115738 CT092808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24.06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0.8</v>
      </c>
      <c r="BJ129">
        <v>1.6</v>
      </c>
      <c r="BK129">
        <v>2</v>
      </c>
      <c r="BL129">
        <v>72.66</v>
      </c>
      <c r="BM129">
        <v>10.9</v>
      </c>
      <c r="BN129">
        <v>83.56</v>
      </c>
      <c r="BO129">
        <v>83.56</v>
      </c>
      <c r="BQ129" t="s">
        <v>133</v>
      </c>
      <c r="BR129" t="s">
        <v>617</v>
      </c>
      <c r="BS129" s="3">
        <v>45723</v>
      </c>
      <c r="BT129" s="4">
        <v>0.4236111111111111</v>
      </c>
      <c r="BU129" t="s">
        <v>589</v>
      </c>
      <c r="BV129" t="s">
        <v>109</v>
      </c>
      <c r="BY129">
        <v>7977.92</v>
      </c>
      <c r="BZ129" t="s">
        <v>449</v>
      </c>
      <c r="CA129" t="s">
        <v>135</v>
      </c>
      <c r="CC129" t="s">
        <v>131</v>
      </c>
      <c r="CD129" s="5" t="s">
        <v>136</v>
      </c>
      <c r="CE129" t="s">
        <v>193</v>
      </c>
      <c r="CF129" s="3">
        <v>45723</v>
      </c>
      <c r="CI129">
        <v>2</v>
      </c>
      <c r="CJ129">
        <v>2</v>
      </c>
      <c r="CK129">
        <v>21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"GAB2024685"</f>
        <v>GAB2024685</v>
      </c>
      <c r="F130" s="3">
        <v>45721</v>
      </c>
      <c r="G130">
        <v>202512</v>
      </c>
      <c r="H130" t="s">
        <v>97</v>
      </c>
      <c r="I130" t="s">
        <v>98</v>
      </c>
      <c r="J130" t="s">
        <v>119</v>
      </c>
      <c r="K130" t="s">
        <v>78</v>
      </c>
      <c r="L130" t="s">
        <v>163</v>
      </c>
      <c r="M130" t="s">
        <v>164</v>
      </c>
      <c r="N130" t="s">
        <v>627</v>
      </c>
      <c r="O130" t="s">
        <v>82</v>
      </c>
      <c r="P130" t="str">
        <f>"INV-00115796 CT092883         "</f>
        <v xml:space="preserve">INV-00115796 CT092883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130.80000000000001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1.6</v>
      </c>
      <c r="BJ130">
        <v>5.8</v>
      </c>
      <c r="BK130">
        <v>6</v>
      </c>
      <c r="BL130">
        <v>395.04</v>
      </c>
      <c r="BM130">
        <v>59.26</v>
      </c>
      <c r="BN130">
        <v>454.3</v>
      </c>
      <c r="BO130">
        <v>454.3</v>
      </c>
      <c r="BQ130" t="s">
        <v>166</v>
      </c>
      <c r="BR130" t="s">
        <v>617</v>
      </c>
      <c r="BS130" s="3">
        <v>45722</v>
      </c>
      <c r="BT130" s="4">
        <v>0.38333333333333336</v>
      </c>
      <c r="BU130" t="s">
        <v>167</v>
      </c>
      <c r="BV130" t="s">
        <v>109</v>
      </c>
      <c r="BY130">
        <v>29109</v>
      </c>
      <c r="BZ130" t="s">
        <v>449</v>
      </c>
      <c r="CA130" t="s">
        <v>168</v>
      </c>
      <c r="CC130" t="s">
        <v>164</v>
      </c>
      <c r="CD130">
        <v>9459</v>
      </c>
      <c r="CE130" t="s">
        <v>628</v>
      </c>
      <c r="CF130" s="3">
        <v>45722</v>
      </c>
      <c r="CI130">
        <v>2</v>
      </c>
      <c r="CJ130">
        <v>1</v>
      </c>
      <c r="CK130">
        <v>23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"GAB2024686"</f>
        <v>GAB2024686</v>
      </c>
      <c r="F131" s="3">
        <v>45721</v>
      </c>
      <c r="G131">
        <v>202512</v>
      </c>
      <c r="H131" t="s">
        <v>97</v>
      </c>
      <c r="I131" t="s">
        <v>98</v>
      </c>
      <c r="J131" t="s">
        <v>119</v>
      </c>
      <c r="K131" t="s">
        <v>78</v>
      </c>
      <c r="L131" t="s">
        <v>79</v>
      </c>
      <c r="M131" t="s">
        <v>80</v>
      </c>
      <c r="N131" t="s">
        <v>119</v>
      </c>
      <c r="O131" t="s">
        <v>82</v>
      </c>
      <c r="P131" t="str">
        <f>"ATT:BIANKA BASSOM             "</f>
        <v xml:space="preserve">ATT:BIANKA BASSOM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24.06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1.9</v>
      </c>
      <c r="BK131">
        <v>2</v>
      </c>
      <c r="BL131">
        <v>72.66</v>
      </c>
      <c r="BM131">
        <v>10.9</v>
      </c>
      <c r="BN131">
        <v>83.56</v>
      </c>
      <c r="BO131">
        <v>83.56</v>
      </c>
      <c r="BQ131" t="s">
        <v>629</v>
      </c>
      <c r="BR131" t="s">
        <v>617</v>
      </c>
      <c r="BS131" s="3">
        <v>45722</v>
      </c>
      <c r="BT131" s="4">
        <v>0.37847222222222221</v>
      </c>
      <c r="BU131" t="s">
        <v>551</v>
      </c>
      <c r="BV131" t="s">
        <v>109</v>
      </c>
      <c r="BY131">
        <v>9705.52</v>
      </c>
      <c r="BZ131" t="s">
        <v>449</v>
      </c>
      <c r="CA131" t="s">
        <v>91</v>
      </c>
      <c r="CC131" t="s">
        <v>80</v>
      </c>
      <c r="CD131" s="5" t="s">
        <v>92</v>
      </c>
      <c r="CE131" t="s">
        <v>123</v>
      </c>
      <c r="CF131" s="3">
        <v>45722</v>
      </c>
      <c r="CI131">
        <v>1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"RRGAB2024505"</f>
        <v>RRGAB2024505</v>
      </c>
      <c r="F132" s="3">
        <v>45726</v>
      </c>
      <c r="G132">
        <v>202512</v>
      </c>
      <c r="H132" t="s">
        <v>97</v>
      </c>
      <c r="I132" t="s">
        <v>98</v>
      </c>
      <c r="J132" t="s">
        <v>99</v>
      </c>
      <c r="K132" t="s">
        <v>78</v>
      </c>
      <c r="L132" t="s">
        <v>519</v>
      </c>
      <c r="M132" t="s">
        <v>520</v>
      </c>
      <c r="N132" t="s">
        <v>630</v>
      </c>
      <c r="O132" t="s">
        <v>100</v>
      </c>
      <c r="P132" t="str">
        <f>"ATT:ANDREW                    "</f>
        <v xml:space="preserve">ATT:ANDREW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46.52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3</v>
      </c>
      <c r="BK132">
        <v>3</v>
      </c>
      <c r="BL132">
        <v>146.07</v>
      </c>
      <c r="BM132">
        <v>21.91</v>
      </c>
      <c r="BN132">
        <v>167.98</v>
      </c>
      <c r="BO132">
        <v>167.98</v>
      </c>
      <c r="BQ132" t="s">
        <v>631</v>
      </c>
      <c r="BR132" t="s">
        <v>101</v>
      </c>
      <c r="BS132" s="3">
        <v>45742</v>
      </c>
      <c r="BT132" s="4">
        <v>0.66388888888888886</v>
      </c>
      <c r="BU132" t="s">
        <v>632</v>
      </c>
      <c r="BV132" t="s">
        <v>87</v>
      </c>
      <c r="BW132" t="s">
        <v>633</v>
      </c>
      <c r="BX132" t="s">
        <v>634</v>
      </c>
      <c r="BY132">
        <v>14981.12</v>
      </c>
      <c r="CC132" t="s">
        <v>520</v>
      </c>
      <c r="CD132">
        <v>6001</v>
      </c>
      <c r="CE132" t="s">
        <v>123</v>
      </c>
      <c r="CF132" s="3">
        <v>45743</v>
      </c>
      <c r="CI132">
        <v>3</v>
      </c>
      <c r="CJ132">
        <v>12</v>
      </c>
      <c r="CK132">
        <v>41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"080011455817"</f>
        <v>080011455817</v>
      </c>
      <c r="F133" s="3">
        <v>45726</v>
      </c>
      <c r="G133">
        <v>202512</v>
      </c>
      <c r="H133" t="s">
        <v>401</v>
      </c>
      <c r="I133" t="s">
        <v>402</v>
      </c>
      <c r="J133" t="s">
        <v>635</v>
      </c>
      <c r="K133" t="s">
        <v>78</v>
      </c>
      <c r="L133" t="s">
        <v>79</v>
      </c>
      <c r="M133" t="s">
        <v>80</v>
      </c>
      <c r="N133" t="s">
        <v>81</v>
      </c>
      <c r="O133" t="s">
        <v>100</v>
      </c>
      <c r="P133" t="str">
        <f>"-                             "</f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65.61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6.1</v>
      </c>
      <c r="BJ133">
        <v>11</v>
      </c>
      <c r="BK133">
        <v>11</v>
      </c>
      <c r="BL133">
        <v>203.73</v>
      </c>
      <c r="BM133">
        <v>30.56</v>
      </c>
      <c r="BN133">
        <v>234.29</v>
      </c>
      <c r="BO133">
        <v>234.29</v>
      </c>
      <c r="BP133" t="s">
        <v>83</v>
      </c>
      <c r="BQ133" t="s">
        <v>84</v>
      </c>
      <c r="BR133" t="s">
        <v>636</v>
      </c>
      <c r="BS133" s="3">
        <v>45727</v>
      </c>
      <c r="BT133" s="4">
        <v>0.3298611111111111</v>
      </c>
      <c r="BU133" t="s">
        <v>427</v>
      </c>
      <c r="BV133" t="s">
        <v>109</v>
      </c>
      <c r="BY133">
        <v>55200</v>
      </c>
      <c r="BZ133" t="s">
        <v>260</v>
      </c>
      <c r="CA133" t="s">
        <v>91</v>
      </c>
      <c r="CC133" t="s">
        <v>80</v>
      </c>
      <c r="CD133" s="5" t="s">
        <v>92</v>
      </c>
      <c r="CE133" t="s">
        <v>93</v>
      </c>
      <c r="CF133" s="3">
        <v>45727</v>
      </c>
      <c r="CI133">
        <v>1</v>
      </c>
      <c r="CJ133">
        <v>1</v>
      </c>
      <c r="CK133">
        <v>43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"GAB2024741"</f>
        <v>GAB2024741</v>
      </c>
      <c r="F134" s="3">
        <v>45726</v>
      </c>
      <c r="G134">
        <v>202512</v>
      </c>
      <c r="H134" t="s">
        <v>97</v>
      </c>
      <c r="I134" t="s">
        <v>98</v>
      </c>
      <c r="J134" t="s">
        <v>99</v>
      </c>
      <c r="K134" t="s">
        <v>78</v>
      </c>
      <c r="L134" t="s">
        <v>637</v>
      </c>
      <c r="M134" t="s">
        <v>638</v>
      </c>
      <c r="N134" t="s">
        <v>639</v>
      </c>
      <c r="O134" t="s">
        <v>82</v>
      </c>
      <c r="P134" t="str">
        <f>"INV-00033319 030791           "</f>
        <v xml:space="preserve">INV-00033319 030791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67.66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2.6</v>
      </c>
      <c r="BK134">
        <v>3</v>
      </c>
      <c r="BL134">
        <v>204.34</v>
      </c>
      <c r="BM134">
        <v>30.65</v>
      </c>
      <c r="BN134">
        <v>234.99</v>
      </c>
      <c r="BO134">
        <v>234.99</v>
      </c>
      <c r="BQ134" t="s">
        <v>640</v>
      </c>
      <c r="BR134" t="s">
        <v>101</v>
      </c>
      <c r="BS134" s="3">
        <v>45727</v>
      </c>
      <c r="BT134" s="4">
        <v>0.35416666666666669</v>
      </c>
      <c r="BU134" t="s">
        <v>641</v>
      </c>
      <c r="BV134" t="s">
        <v>109</v>
      </c>
      <c r="BY134">
        <v>13237.56</v>
      </c>
      <c r="BZ134" t="s">
        <v>90</v>
      </c>
      <c r="CC134" t="s">
        <v>638</v>
      </c>
      <c r="CD134">
        <v>9499</v>
      </c>
      <c r="CE134" t="s">
        <v>149</v>
      </c>
      <c r="CF134" s="3">
        <v>45728</v>
      </c>
      <c r="CI134">
        <v>2</v>
      </c>
      <c r="CJ134">
        <v>1</v>
      </c>
      <c r="CK134">
        <v>23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"GAB2024742"</f>
        <v>GAB2024742</v>
      </c>
      <c r="F135" s="3">
        <v>45726</v>
      </c>
      <c r="G135">
        <v>202512</v>
      </c>
      <c r="H135" t="s">
        <v>97</v>
      </c>
      <c r="I135" t="s">
        <v>98</v>
      </c>
      <c r="J135" t="s">
        <v>99</v>
      </c>
      <c r="K135" t="s">
        <v>78</v>
      </c>
      <c r="L135" t="s">
        <v>262</v>
      </c>
      <c r="M135" t="s">
        <v>263</v>
      </c>
      <c r="N135" t="s">
        <v>642</v>
      </c>
      <c r="O135" t="s">
        <v>82</v>
      </c>
      <c r="P135" t="str">
        <f>"INV-00033320 030816           "</f>
        <v xml:space="preserve">INV-00033320 030816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24.06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1.9</v>
      </c>
      <c r="BK135">
        <v>2</v>
      </c>
      <c r="BL135">
        <v>72.66</v>
      </c>
      <c r="BM135">
        <v>10.9</v>
      </c>
      <c r="BN135">
        <v>83.56</v>
      </c>
      <c r="BO135">
        <v>83.56</v>
      </c>
      <c r="BQ135" t="s">
        <v>643</v>
      </c>
      <c r="BR135" t="s">
        <v>101</v>
      </c>
      <c r="BS135" s="3">
        <v>45727</v>
      </c>
      <c r="BT135" s="4">
        <v>0.31805555555555554</v>
      </c>
      <c r="BU135" t="s">
        <v>644</v>
      </c>
      <c r="BV135" t="s">
        <v>109</v>
      </c>
      <c r="BY135">
        <v>9742.43</v>
      </c>
      <c r="BZ135" t="s">
        <v>90</v>
      </c>
      <c r="CA135" t="s">
        <v>645</v>
      </c>
      <c r="CC135" t="s">
        <v>263</v>
      </c>
      <c r="CD135" s="5" t="s">
        <v>444</v>
      </c>
      <c r="CE135" t="s">
        <v>169</v>
      </c>
      <c r="CF135" s="3">
        <v>45727</v>
      </c>
      <c r="CI135">
        <v>1</v>
      </c>
      <c r="CJ135">
        <v>1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"GAB2024743"</f>
        <v>GAB2024743</v>
      </c>
      <c r="F136" s="3">
        <v>45726</v>
      </c>
      <c r="G136">
        <v>202512</v>
      </c>
      <c r="H136" t="s">
        <v>97</v>
      </c>
      <c r="I136" t="s">
        <v>98</v>
      </c>
      <c r="J136" t="s">
        <v>99</v>
      </c>
      <c r="K136" t="s">
        <v>78</v>
      </c>
      <c r="L136" t="s">
        <v>262</v>
      </c>
      <c r="M136" t="s">
        <v>263</v>
      </c>
      <c r="N136" t="s">
        <v>646</v>
      </c>
      <c r="O136" t="s">
        <v>82</v>
      </c>
      <c r="P136" t="str">
        <f>"INV-00033321 030815           "</f>
        <v xml:space="preserve">INV-00033321 030815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36.08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2.6</v>
      </c>
      <c r="BK136">
        <v>3</v>
      </c>
      <c r="BL136">
        <v>108.96</v>
      </c>
      <c r="BM136">
        <v>16.34</v>
      </c>
      <c r="BN136">
        <v>125.3</v>
      </c>
      <c r="BO136">
        <v>125.3</v>
      </c>
      <c r="BQ136" t="s">
        <v>647</v>
      </c>
      <c r="BR136" t="s">
        <v>101</v>
      </c>
      <c r="BS136" s="3">
        <v>45727</v>
      </c>
      <c r="BT136" s="4">
        <v>0.32500000000000001</v>
      </c>
      <c r="BU136" t="s">
        <v>648</v>
      </c>
      <c r="BV136" t="s">
        <v>109</v>
      </c>
      <c r="BY136">
        <v>13016.9</v>
      </c>
      <c r="BZ136" t="s">
        <v>90</v>
      </c>
      <c r="CA136" t="s">
        <v>649</v>
      </c>
      <c r="CC136" t="s">
        <v>263</v>
      </c>
      <c r="CD136" s="5" t="s">
        <v>650</v>
      </c>
      <c r="CE136" t="s">
        <v>237</v>
      </c>
      <c r="CF136" s="3">
        <v>45728</v>
      </c>
      <c r="CI136">
        <v>1</v>
      </c>
      <c r="CJ136">
        <v>1</v>
      </c>
      <c r="CK136">
        <v>21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"GAB2024744"</f>
        <v>GAB2024744</v>
      </c>
      <c r="F137" s="3">
        <v>45726</v>
      </c>
      <c r="G137">
        <v>202512</v>
      </c>
      <c r="H137" t="s">
        <v>97</v>
      </c>
      <c r="I137" t="s">
        <v>98</v>
      </c>
      <c r="J137" t="s">
        <v>99</v>
      </c>
      <c r="K137" t="s">
        <v>78</v>
      </c>
      <c r="L137" t="s">
        <v>238</v>
      </c>
      <c r="M137" t="s">
        <v>239</v>
      </c>
      <c r="N137" t="s">
        <v>651</v>
      </c>
      <c r="O137" t="s">
        <v>82</v>
      </c>
      <c r="P137" t="str">
        <f>"INV-00033322 030819           "</f>
        <v xml:space="preserve">INV-00033322 030819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30.07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0.1</v>
      </c>
      <c r="BJ137">
        <v>2.4</v>
      </c>
      <c r="BK137">
        <v>2.5</v>
      </c>
      <c r="BL137">
        <v>90.81</v>
      </c>
      <c r="BM137">
        <v>13.62</v>
      </c>
      <c r="BN137">
        <v>104.43</v>
      </c>
      <c r="BO137">
        <v>104.43</v>
      </c>
      <c r="BQ137" t="s">
        <v>367</v>
      </c>
      <c r="BR137" t="s">
        <v>101</v>
      </c>
      <c r="BS137" s="3">
        <v>45727</v>
      </c>
      <c r="BT137" s="4">
        <v>0.35138888888888886</v>
      </c>
      <c r="BU137" t="s">
        <v>652</v>
      </c>
      <c r="BV137" t="s">
        <v>109</v>
      </c>
      <c r="BY137">
        <v>11852.13</v>
      </c>
      <c r="BZ137" t="s">
        <v>90</v>
      </c>
      <c r="CA137" t="s">
        <v>653</v>
      </c>
      <c r="CC137" t="s">
        <v>239</v>
      </c>
      <c r="CD137">
        <v>2000</v>
      </c>
      <c r="CE137" t="s">
        <v>149</v>
      </c>
      <c r="CF137" s="3">
        <v>45728</v>
      </c>
      <c r="CI137">
        <v>1</v>
      </c>
      <c r="CJ137">
        <v>1</v>
      </c>
      <c r="CK137">
        <v>21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"GAB2024745"</f>
        <v>GAB2024745</v>
      </c>
      <c r="F138" s="3">
        <v>45726</v>
      </c>
      <c r="G138">
        <v>202512</v>
      </c>
      <c r="H138" t="s">
        <v>97</v>
      </c>
      <c r="I138" t="s">
        <v>98</v>
      </c>
      <c r="J138" t="s">
        <v>99</v>
      </c>
      <c r="K138" t="s">
        <v>78</v>
      </c>
      <c r="L138" t="s">
        <v>238</v>
      </c>
      <c r="M138" t="s">
        <v>239</v>
      </c>
      <c r="N138" t="s">
        <v>289</v>
      </c>
      <c r="O138" t="s">
        <v>82</v>
      </c>
      <c r="P138" t="str">
        <f>"INV-00115901 CT092985         "</f>
        <v xml:space="preserve">INV-00115901 CT092985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36.08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0.1</v>
      </c>
      <c r="BJ138">
        <v>2.6</v>
      </c>
      <c r="BK138">
        <v>3</v>
      </c>
      <c r="BL138">
        <v>108.96</v>
      </c>
      <c r="BM138">
        <v>16.34</v>
      </c>
      <c r="BN138">
        <v>125.3</v>
      </c>
      <c r="BO138">
        <v>125.3</v>
      </c>
      <c r="BQ138" t="s">
        <v>290</v>
      </c>
      <c r="BR138" t="s">
        <v>101</v>
      </c>
      <c r="BS138" s="3">
        <v>45727</v>
      </c>
      <c r="BT138" s="4">
        <v>0.43263888888888891</v>
      </c>
      <c r="BU138" t="s">
        <v>654</v>
      </c>
      <c r="BV138" t="s">
        <v>109</v>
      </c>
      <c r="BY138">
        <v>13164.38</v>
      </c>
      <c r="BZ138" t="s">
        <v>90</v>
      </c>
      <c r="CA138" t="s">
        <v>514</v>
      </c>
      <c r="CC138" t="s">
        <v>239</v>
      </c>
      <c r="CD138">
        <v>2196</v>
      </c>
      <c r="CE138" t="s">
        <v>149</v>
      </c>
      <c r="CF138" s="3">
        <v>45727</v>
      </c>
      <c r="CI138">
        <v>1</v>
      </c>
      <c r="CJ138">
        <v>1</v>
      </c>
      <c r="CK138">
        <v>21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"GAB2024746"</f>
        <v>GAB2024746</v>
      </c>
      <c r="F139" s="3">
        <v>45726</v>
      </c>
      <c r="G139">
        <v>202512</v>
      </c>
      <c r="H139" t="s">
        <v>97</v>
      </c>
      <c r="I139" t="s">
        <v>98</v>
      </c>
      <c r="J139" t="s">
        <v>99</v>
      </c>
      <c r="K139" t="s">
        <v>78</v>
      </c>
      <c r="L139" t="s">
        <v>182</v>
      </c>
      <c r="M139" t="s">
        <v>183</v>
      </c>
      <c r="N139" t="s">
        <v>655</v>
      </c>
      <c r="O139" t="s">
        <v>82</v>
      </c>
      <c r="P139" t="str">
        <f>"INV-00115902 CT092730         "</f>
        <v xml:space="preserve">INV-00115902 CT092730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36.08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2.6</v>
      </c>
      <c r="BK139">
        <v>3</v>
      </c>
      <c r="BL139">
        <v>108.96</v>
      </c>
      <c r="BM139">
        <v>16.34</v>
      </c>
      <c r="BN139">
        <v>125.3</v>
      </c>
      <c r="BO139">
        <v>125.3</v>
      </c>
      <c r="BQ139" t="s">
        <v>656</v>
      </c>
      <c r="BR139" t="s">
        <v>101</v>
      </c>
      <c r="BS139" s="3">
        <v>45728</v>
      </c>
      <c r="BT139" s="4">
        <v>0.5625</v>
      </c>
      <c r="BU139" t="s">
        <v>657</v>
      </c>
      <c r="BV139" t="s">
        <v>87</v>
      </c>
      <c r="BW139" t="s">
        <v>187</v>
      </c>
      <c r="BX139" t="s">
        <v>278</v>
      </c>
      <c r="BY139">
        <v>13060.32</v>
      </c>
      <c r="BZ139" t="s">
        <v>90</v>
      </c>
      <c r="CA139" t="s">
        <v>658</v>
      </c>
      <c r="CC139" t="s">
        <v>183</v>
      </c>
      <c r="CD139">
        <v>3610</v>
      </c>
      <c r="CE139" t="s">
        <v>129</v>
      </c>
      <c r="CF139" s="3">
        <v>45729</v>
      </c>
      <c r="CI139">
        <v>2</v>
      </c>
      <c r="CJ139">
        <v>2</v>
      </c>
      <c r="CK139">
        <v>21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"GAB2024749"</f>
        <v>GAB2024749</v>
      </c>
      <c r="F140" s="3">
        <v>45726</v>
      </c>
      <c r="G140">
        <v>202512</v>
      </c>
      <c r="H140" t="s">
        <v>97</v>
      </c>
      <c r="I140" t="s">
        <v>98</v>
      </c>
      <c r="J140" t="s">
        <v>99</v>
      </c>
      <c r="K140" t="s">
        <v>78</v>
      </c>
      <c r="L140" t="s">
        <v>75</v>
      </c>
      <c r="M140" t="s">
        <v>76</v>
      </c>
      <c r="N140" t="s">
        <v>565</v>
      </c>
      <c r="O140" t="s">
        <v>82</v>
      </c>
      <c r="P140" t="str">
        <f>"INV-00115904 CT092991         "</f>
        <v xml:space="preserve">INV-00115904 CT092991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30.07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2.2000000000000002</v>
      </c>
      <c r="BK140">
        <v>2.5</v>
      </c>
      <c r="BL140">
        <v>90.81</v>
      </c>
      <c r="BM140">
        <v>13.62</v>
      </c>
      <c r="BN140">
        <v>104.43</v>
      </c>
      <c r="BO140">
        <v>104.43</v>
      </c>
      <c r="BQ140" t="s">
        <v>659</v>
      </c>
      <c r="BR140" t="s">
        <v>101</v>
      </c>
      <c r="BS140" s="3">
        <v>45728</v>
      </c>
      <c r="BT140" s="4">
        <v>0.41458333333333336</v>
      </c>
      <c r="BU140" t="s">
        <v>618</v>
      </c>
      <c r="BV140" t="s">
        <v>109</v>
      </c>
      <c r="BY140">
        <v>10849.76</v>
      </c>
      <c r="BZ140" t="s">
        <v>90</v>
      </c>
      <c r="CA140" t="s">
        <v>269</v>
      </c>
      <c r="CC140" t="s">
        <v>76</v>
      </c>
      <c r="CD140">
        <v>4001</v>
      </c>
      <c r="CE140" t="s">
        <v>137</v>
      </c>
      <c r="CF140" s="3">
        <v>45729</v>
      </c>
      <c r="CI140">
        <v>2</v>
      </c>
      <c r="CJ140">
        <v>2</v>
      </c>
      <c r="CK140">
        <v>21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"GAB2024750"</f>
        <v>GAB2024750</v>
      </c>
      <c r="F141" s="3">
        <v>45726</v>
      </c>
      <c r="G141">
        <v>202512</v>
      </c>
      <c r="H141" t="s">
        <v>97</v>
      </c>
      <c r="I141" t="s">
        <v>98</v>
      </c>
      <c r="J141" t="s">
        <v>99</v>
      </c>
      <c r="K141" t="s">
        <v>78</v>
      </c>
      <c r="L141" t="s">
        <v>502</v>
      </c>
      <c r="M141" t="s">
        <v>503</v>
      </c>
      <c r="N141" t="s">
        <v>660</v>
      </c>
      <c r="O141" t="s">
        <v>82</v>
      </c>
      <c r="P141" t="str">
        <f>"INV-00115905 CT092992         "</f>
        <v xml:space="preserve">INV-00115905 CT092992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24.06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1.9</v>
      </c>
      <c r="BK141">
        <v>2</v>
      </c>
      <c r="BL141">
        <v>72.66</v>
      </c>
      <c r="BM141">
        <v>10.9</v>
      </c>
      <c r="BN141">
        <v>83.56</v>
      </c>
      <c r="BO141">
        <v>83.56</v>
      </c>
      <c r="BR141" t="s">
        <v>101</v>
      </c>
      <c r="BS141" s="3">
        <v>45727</v>
      </c>
      <c r="BT141" s="4">
        <v>0.5444444444444444</v>
      </c>
      <c r="BU141" t="s">
        <v>661</v>
      </c>
      <c r="BV141" t="s">
        <v>87</v>
      </c>
      <c r="BY141">
        <v>9669.6</v>
      </c>
      <c r="BZ141" t="s">
        <v>90</v>
      </c>
      <c r="CA141" t="s">
        <v>507</v>
      </c>
      <c r="CC141" t="s">
        <v>503</v>
      </c>
      <c r="CD141">
        <v>5200</v>
      </c>
      <c r="CE141" t="s">
        <v>662</v>
      </c>
      <c r="CF141" s="3">
        <v>45728</v>
      </c>
      <c r="CI141">
        <v>1</v>
      </c>
      <c r="CJ141">
        <v>1</v>
      </c>
      <c r="CK141">
        <v>21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"GAB2024751"</f>
        <v>GAB2024751</v>
      </c>
      <c r="F142" s="3">
        <v>45726</v>
      </c>
      <c r="G142">
        <v>202512</v>
      </c>
      <c r="H142" t="s">
        <v>97</v>
      </c>
      <c r="I142" t="s">
        <v>98</v>
      </c>
      <c r="J142" t="s">
        <v>99</v>
      </c>
      <c r="K142" t="s">
        <v>78</v>
      </c>
      <c r="L142" t="s">
        <v>75</v>
      </c>
      <c r="M142" t="s">
        <v>76</v>
      </c>
      <c r="N142" t="s">
        <v>663</v>
      </c>
      <c r="O142" t="s">
        <v>82</v>
      </c>
      <c r="P142" t="str">
        <f>"INV-00115906 CT092993         "</f>
        <v xml:space="preserve">INV-00115906 CT092993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36.08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2.8</v>
      </c>
      <c r="BK142">
        <v>3</v>
      </c>
      <c r="BL142">
        <v>108.96</v>
      </c>
      <c r="BM142">
        <v>16.34</v>
      </c>
      <c r="BN142">
        <v>125.3</v>
      </c>
      <c r="BO142">
        <v>125.3</v>
      </c>
      <c r="BQ142" t="s">
        <v>664</v>
      </c>
      <c r="BR142" t="s">
        <v>101</v>
      </c>
      <c r="BS142" s="3">
        <v>45728</v>
      </c>
      <c r="BT142" s="4">
        <v>0.39583333333333331</v>
      </c>
      <c r="BU142" t="s">
        <v>436</v>
      </c>
      <c r="BV142" t="s">
        <v>109</v>
      </c>
      <c r="BY142">
        <v>14195.83</v>
      </c>
      <c r="BZ142" t="s">
        <v>90</v>
      </c>
      <c r="CC142" t="s">
        <v>76</v>
      </c>
      <c r="CD142">
        <v>4001</v>
      </c>
      <c r="CE142" t="s">
        <v>129</v>
      </c>
      <c r="CF142" s="3">
        <v>45729</v>
      </c>
      <c r="CI142">
        <v>2</v>
      </c>
      <c r="CJ142">
        <v>2</v>
      </c>
      <c r="CK142">
        <v>21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"GAB2024752"</f>
        <v>GAB2024752</v>
      </c>
      <c r="F143" s="3">
        <v>45726</v>
      </c>
      <c r="G143">
        <v>202512</v>
      </c>
      <c r="H143" t="s">
        <v>97</v>
      </c>
      <c r="I143" t="s">
        <v>98</v>
      </c>
      <c r="J143" t="s">
        <v>99</v>
      </c>
      <c r="K143" t="s">
        <v>78</v>
      </c>
      <c r="L143" t="s">
        <v>381</v>
      </c>
      <c r="M143" t="s">
        <v>381</v>
      </c>
      <c r="N143" t="s">
        <v>576</v>
      </c>
      <c r="O143" t="s">
        <v>82</v>
      </c>
      <c r="P143" t="str">
        <f>"INV-00033312 030110           "</f>
        <v xml:space="preserve">INV-00033312 030110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42.07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2.5</v>
      </c>
      <c r="BK143">
        <v>2.5</v>
      </c>
      <c r="BL143">
        <v>127.06</v>
      </c>
      <c r="BM143">
        <v>19.059999999999999</v>
      </c>
      <c r="BN143">
        <v>146.12</v>
      </c>
      <c r="BO143">
        <v>146.12</v>
      </c>
      <c r="BQ143" t="s">
        <v>577</v>
      </c>
      <c r="BR143" t="s">
        <v>101</v>
      </c>
      <c r="BS143" s="3">
        <v>45727</v>
      </c>
      <c r="BT143" s="4">
        <v>0.47013888888888888</v>
      </c>
      <c r="BU143" t="s">
        <v>665</v>
      </c>
      <c r="BV143" t="s">
        <v>109</v>
      </c>
      <c r="BY143">
        <v>12677.18</v>
      </c>
      <c r="BZ143" t="s">
        <v>90</v>
      </c>
      <c r="CA143" t="s">
        <v>385</v>
      </c>
      <c r="CC143" t="s">
        <v>381</v>
      </c>
      <c r="CD143">
        <v>7646</v>
      </c>
      <c r="CE143" t="s">
        <v>237</v>
      </c>
      <c r="CF143" s="3">
        <v>45728</v>
      </c>
      <c r="CI143">
        <v>1</v>
      </c>
      <c r="CJ143">
        <v>1</v>
      </c>
      <c r="CK143">
        <v>24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"GAB2024753"</f>
        <v>GAB2024753</v>
      </c>
      <c r="F144" s="3">
        <v>45726</v>
      </c>
      <c r="G144">
        <v>202512</v>
      </c>
      <c r="H144" t="s">
        <v>97</v>
      </c>
      <c r="I144" t="s">
        <v>98</v>
      </c>
      <c r="J144" t="s">
        <v>99</v>
      </c>
      <c r="K144" t="s">
        <v>78</v>
      </c>
      <c r="L144" t="s">
        <v>97</v>
      </c>
      <c r="M144" t="s">
        <v>98</v>
      </c>
      <c r="N144" t="s">
        <v>666</v>
      </c>
      <c r="O144" t="s">
        <v>82</v>
      </c>
      <c r="P144" t="str">
        <f>"INV-00115907 CT092996         "</f>
        <v xml:space="preserve">INV-00115907 CT092996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18.79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2.1</v>
      </c>
      <c r="BK144">
        <v>3</v>
      </c>
      <c r="BL144">
        <v>56.75</v>
      </c>
      <c r="BM144">
        <v>8.51</v>
      </c>
      <c r="BN144">
        <v>65.260000000000005</v>
      </c>
      <c r="BO144">
        <v>65.260000000000005</v>
      </c>
      <c r="BQ144" t="s">
        <v>207</v>
      </c>
      <c r="BR144" t="s">
        <v>101</v>
      </c>
      <c r="BS144" s="3">
        <v>45727</v>
      </c>
      <c r="BT144" s="4">
        <v>0.39513888888888887</v>
      </c>
      <c r="BU144" t="s">
        <v>667</v>
      </c>
      <c r="BV144" t="s">
        <v>109</v>
      </c>
      <c r="BY144">
        <v>10720.44</v>
      </c>
      <c r="BZ144" t="s">
        <v>90</v>
      </c>
      <c r="CA144" t="s">
        <v>668</v>
      </c>
      <c r="CC144" t="s">
        <v>98</v>
      </c>
      <c r="CD144">
        <v>7560</v>
      </c>
      <c r="CE144" t="s">
        <v>149</v>
      </c>
      <c r="CF144" s="3">
        <v>45728</v>
      </c>
      <c r="CI144">
        <v>1</v>
      </c>
      <c r="CJ144">
        <v>1</v>
      </c>
      <c r="CK144">
        <v>22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"GAB2024756"</f>
        <v>GAB2024756</v>
      </c>
      <c r="F145" s="3">
        <v>45726</v>
      </c>
      <c r="G145">
        <v>202512</v>
      </c>
      <c r="H145" t="s">
        <v>97</v>
      </c>
      <c r="I145" t="s">
        <v>98</v>
      </c>
      <c r="J145" t="s">
        <v>99</v>
      </c>
      <c r="K145" t="s">
        <v>78</v>
      </c>
      <c r="L145" t="s">
        <v>328</v>
      </c>
      <c r="M145" t="s">
        <v>329</v>
      </c>
      <c r="N145" t="s">
        <v>330</v>
      </c>
      <c r="O145" t="s">
        <v>82</v>
      </c>
      <c r="P145" t="str">
        <f>"INV-00115909 CT092989         "</f>
        <v xml:space="preserve">INV-00115909 CT092989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48.09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16.739999999999998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3.7</v>
      </c>
      <c r="BK145">
        <v>4</v>
      </c>
      <c r="BL145">
        <v>161.99</v>
      </c>
      <c r="BM145">
        <v>24.3</v>
      </c>
      <c r="BN145">
        <v>186.29</v>
      </c>
      <c r="BO145">
        <v>186.29</v>
      </c>
      <c r="BQ145" t="s">
        <v>669</v>
      </c>
      <c r="BR145" t="s">
        <v>101</v>
      </c>
      <c r="BS145" s="3">
        <v>45727</v>
      </c>
      <c r="BT145" s="4">
        <v>0.43333333333333335</v>
      </c>
      <c r="BU145" t="s">
        <v>670</v>
      </c>
      <c r="BV145" t="s">
        <v>109</v>
      </c>
      <c r="BY145">
        <v>18572.400000000001</v>
      </c>
      <c r="BZ145" t="s">
        <v>296</v>
      </c>
      <c r="CA145" t="s">
        <v>671</v>
      </c>
      <c r="CC145" t="s">
        <v>329</v>
      </c>
      <c r="CD145">
        <v>1475</v>
      </c>
      <c r="CE145" t="s">
        <v>672</v>
      </c>
      <c r="CF145" s="3">
        <v>45727</v>
      </c>
      <c r="CI145">
        <v>1</v>
      </c>
      <c r="CJ145">
        <v>1</v>
      </c>
      <c r="CK145">
        <v>21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"GAB2024757"</f>
        <v>GAB2024757</v>
      </c>
      <c r="F146" s="3">
        <v>45726</v>
      </c>
      <c r="G146">
        <v>202512</v>
      </c>
      <c r="H146" t="s">
        <v>97</v>
      </c>
      <c r="I146" t="s">
        <v>98</v>
      </c>
      <c r="J146" t="s">
        <v>99</v>
      </c>
      <c r="K146" t="s">
        <v>78</v>
      </c>
      <c r="L146" t="s">
        <v>238</v>
      </c>
      <c r="M146" t="s">
        <v>239</v>
      </c>
      <c r="N146" t="s">
        <v>673</v>
      </c>
      <c r="O146" t="s">
        <v>82</v>
      </c>
      <c r="P146" t="str">
        <f>"INV-00115908 CT093000         "</f>
        <v xml:space="preserve">INV-00115908 CT093000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30.07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2.2000000000000002</v>
      </c>
      <c r="BK146">
        <v>2.5</v>
      </c>
      <c r="BL146">
        <v>90.81</v>
      </c>
      <c r="BM146">
        <v>13.62</v>
      </c>
      <c r="BN146">
        <v>104.43</v>
      </c>
      <c r="BO146">
        <v>104.43</v>
      </c>
      <c r="BQ146" t="s">
        <v>674</v>
      </c>
      <c r="BR146" t="s">
        <v>101</v>
      </c>
      <c r="BS146" s="3">
        <v>45727</v>
      </c>
      <c r="BT146" s="4">
        <v>0.43125000000000002</v>
      </c>
      <c r="BU146" t="s">
        <v>675</v>
      </c>
      <c r="BV146" t="s">
        <v>109</v>
      </c>
      <c r="BY146">
        <v>11215.36</v>
      </c>
      <c r="BZ146" t="s">
        <v>90</v>
      </c>
      <c r="CA146" t="s">
        <v>514</v>
      </c>
      <c r="CC146" t="s">
        <v>239</v>
      </c>
      <c r="CD146">
        <v>2196</v>
      </c>
      <c r="CE146" t="s">
        <v>213</v>
      </c>
      <c r="CF146" s="3">
        <v>45727</v>
      </c>
      <c r="CI146">
        <v>1</v>
      </c>
      <c r="CJ146">
        <v>1</v>
      </c>
      <c r="CK146">
        <v>21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"GAB2024759"</f>
        <v>GAB2024759</v>
      </c>
      <c r="F147" s="3">
        <v>45726</v>
      </c>
      <c r="G147">
        <v>202512</v>
      </c>
      <c r="H147" t="s">
        <v>97</v>
      </c>
      <c r="I147" t="s">
        <v>98</v>
      </c>
      <c r="J147" t="s">
        <v>99</v>
      </c>
      <c r="K147" t="s">
        <v>78</v>
      </c>
      <c r="L147" t="s">
        <v>502</v>
      </c>
      <c r="M147" t="s">
        <v>503</v>
      </c>
      <c r="N147" t="s">
        <v>676</v>
      </c>
      <c r="O147" t="s">
        <v>82</v>
      </c>
      <c r="P147" t="str">
        <f>"INV-00115912 CT093003         "</f>
        <v xml:space="preserve">INV-00115912 CT093003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30.07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2.5</v>
      </c>
      <c r="BK147">
        <v>2.5</v>
      </c>
      <c r="BL147">
        <v>90.81</v>
      </c>
      <c r="BM147">
        <v>13.62</v>
      </c>
      <c r="BN147">
        <v>104.43</v>
      </c>
      <c r="BO147">
        <v>104.43</v>
      </c>
      <c r="BR147" t="s">
        <v>101</v>
      </c>
      <c r="BS147" s="3">
        <v>45727</v>
      </c>
      <c r="BT147" s="4">
        <v>0.58750000000000002</v>
      </c>
      <c r="BU147" t="s">
        <v>677</v>
      </c>
      <c r="BV147" t="s">
        <v>87</v>
      </c>
      <c r="BY147">
        <v>12636.12</v>
      </c>
      <c r="BZ147" t="s">
        <v>90</v>
      </c>
      <c r="CA147" t="s">
        <v>678</v>
      </c>
      <c r="CC147" t="s">
        <v>503</v>
      </c>
      <c r="CD147">
        <v>5200</v>
      </c>
      <c r="CE147" t="s">
        <v>237</v>
      </c>
      <c r="CF147" s="3">
        <v>45728</v>
      </c>
      <c r="CI147">
        <v>1</v>
      </c>
      <c r="CJ147">
        <v>1</v>
      </c>
      <c r="CK147">
        <v>21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"GAB2024762"</f>
        <v>GAB2024762</v>
      </c>
      <c r="F148" s="3">
        <v>45726</v>
      </c>
      <c r="G148">
        <v>202512</v>
      </c>
      <c r="H148" t="s">
        <v>97</v>
      </c>
      <c r="I148" t="s">
        <v>98</v>
      </c>
      <c r="J148" t="s">
        <v>99</v>
      </c>
      <c r="K148" t="s">
        <v>78</v>
      </c>
      <c r="L148" t="s">
        <v>401</v>
      </c>
      <c r="M148" t="s">
        <v>402</v>
      </c>
      <c r="N148" t="s">
        <v>679</v>
      </c>
      <c r="O148" t="s">
        <v>82</v>
      </c>
      <c r="P148" t="str">
        <f>"INV-00115917 CT092997         "</f>
        <v xml:space="preserve">INV-00115917 CT092997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57.13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2.4</v>
      </c>
      <c r="BK148">
        <v>2.5</v>
      </c>
      <c r="BL148">
        <v>172.55</v>
      </c>
      <c r="BM148">
        <v>25.88</v>
      </c>
      <c r="BN148">
        <v>198.43</v>
      </c>
      <c r="BO148">
        <v>198.43</v>
      </c>
      <c r="BR148" t="s">
        <v>101</v>
      </c>
      <c r="BS148" s="3">
        <v>45727</v>
      </c>
      <c r="BT148" s="4">
        <v>0.40763888888888888</v>
      </c>
      <c r="BU148" t="s">
        <v>680</v>
      </c>
      <c r="BV148" t="s">
        <v>109</v>
      </c>
      <c r="BY148">
        <v>11827.2</v>
      </c>
      <c r="BZ148" t="s">
        <v>90</v>
      </c>
      <c r="CA148" t="s">
        <v>681</v>
      </c>
      <c r="CC148" t="s">
        <v>402</v>
      </c>
      <c r="CD148" s="5" t="s">
        <v>407</v>
      </c>
      <c r="CE148" t="s">
        <v>129</v>
      </c>
      <c r="CF148" s="3">
        <v>45728</v>
      </c>
      <c r="CI148">
        <v>2</v>
      </c>
      <c r="CJ148">
        <v>1</v>
      </c>
      <c r="CK148">
        <v>23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"GAB2024763"</f>
        <v>GAB2024763</v>
      </c>
      <c r="F149" s="3">
        <v>45726</v>
      </c>
      <c r="G149">
        <v>202512</v>
      </c>
      <c r="H149" t="s">
        <v>97</v>
      </c>
      <c r="I149" t="s">
        <v>98</v>
      </c>
      <c r="J149" t="s">
        <v>99</v>
      </c>
      <c r="K149" t="s">
        <v>78</v>
      </c>
      <c r="L149" t="s">
        <v>170</v>
      </c>
      <c r="M149" t="s">
        <v>171</v>
      </c>
      <c r="N149" t="s">
        <v>172</v>
      </c>
      <c r="O149" t="s">
        <v>82</v>
      </c>
      <c r="P149" t="str">
        <f>"INV-00115918 CT092998         "</f>
        <v xml:space="preserve">INV-00115918 CT092998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46.61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0.7</v>
      </c>
      <c r="BJ149">
        <v>1.6</v>
      </c>
      <c r="BK149">
        <v>2</v>
      </c>
      <c r="BL149">
        <v>140.77000000000001</v>
      </c>
      <c r="BM149">
        <v>21.12</v>
      </c>
      <c r="BN149">
        <v>161.88999999999999</v>
      </c>
      <c r="BO149">
        <v>161.88999999999999</v>
      </c>
      <c r="BQ149" t="s">
        <v>173</v>
      </c>
      <c r="BR149" t="s">
        <v>101</v>
      </c>
      <c r="BS149" s="3">
        <v>45727</v>
      </c>
      <c r="BT149" s="4">
        <v>0.42569444444444443</v>
      </c>
      <c r="BU149" t="s">
        <v>682</v>
      </c>
      <c r="BV149" t="s">
        <v>109</v>
      </c>
      <c r="BY149">
        <v>7990.13</v>
      </c>
      <c r="BZ149" t="s">
        <v>90</v>
      </c>
      <c r="CA149" t="s">
        <v>175</v>
      </c>
      <c r="CC149" t="s">
        <v>171</v>
      </c>
      <c r="CD149">
        <v>9700</v>
      </c>
      <c r="CE149" t="s">
        <v>454</v>
      </c>
      <c r="CF149" s="3">
        <v>45727</v>
      </c>
      <c r="CI149">
        <v>2</v>
      </c>
      <c r="CJ149">
        <v>1</v>
      </c>
      <c r="CK149">
        <v>23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"GAB2024764"</f>
        <v>GAB2024764</v>
      </c>
      <c r="F150" s="3">
        <v>45726</v>
      </c>
      <c r="G150">
        <v>202512</v>
      </c>
      <c r="H150" t="s">
        <v>97</v>
      </c>
      <c r="I150" t="s">
        <v>98</v>
      </c>
      <c r="J150" t="s">
        <v>99</v>
      </c>
      <c r="K150" t="s">
        <v>78</v>
      </c>
      <c r="L150" t="s">
        <v>683</v>
      </c>
      <c r="M150" t="s">
        <v>684</v>
      </c>
      <c r="N150" t="s">
        <v>685</v>
      </c>
      <c r="O150" t="s">
        <v>82</v>
      </c>
      <c r="P150" t="str">
        <f>"INV-00115914 CT093001         "</f>
        <v xml:space="preserve">INV-00115914 CT093001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30.07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2.2999999999999998</v>
      </c>
      <c r="BK150">
        <v>2.5</v>
      </c>
      <c r="BL150">
        <v>90.81</v>
      </c>
      <c r="BM150">
        <v>13.62</v>
      </c>
      <c r="BN150">
        <v>104.43</v>
      </c>
      <c r="BO150">
        <v>104.43</v>
      </c>
      <c r="BQ150" t="s">
        <v>686</v>
      </c>
      <c r="BR150" t="s">
        <v>101</v>
      </c>
      <c r="BS150" s="3">
        <v>45728</v>
      </c>
      <c r="BT150" s="4">
        <v>0.41666666666666669</v>
      </c>
      <c r="BU150" t="s">
        <v>687</v>
      </c>
      <c r="BV150" t="s">
        <v>109</v>
      </c>
      <c r="BY150">
        <v>11349.03</v>
      </c>
      <c r="BZ150" t="s">
        <v>90</v>
      </c>
      <c r="CC150" t="s">
        <v>684</v>
      </c>
      <c r="CD150">
        <v>8301</v>
      </c>
      <c r="CE150" t="s">
        <v>149</v>
      </c>
      <c r="CF150" s="3">
        <v>45729</v>
      </c>
      <c r="CI150">
        <v>2</v>
      </c>
      <c r="CJ150">
        <v>2</v>
      </c>
      <c r="CK150">
        <v>21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"GAB2024766"</f>
        <v>GAB2024766</v>
      </c>
      <c r="F151" s="3">
        <v>45726</v>
      </c>
      <c r="G151">
        <v>202512</v>
      </c>
      <c r="H151" t="s">
        <v>97</v>
      </c>
      <c r="I151" t="s">
        <v>98</v>
      </c>
      <c r="J151" t="s">
        <v>99</v>
      </c>
      <c r="K151" t="s">
        <v>78</v>
      </c>
      <c r="L151" t="s">
        <v>408</v>
      </c>
      <c r="M151" t="s">
        <v>409</v>
      </c>
      <c r="N151" t="s">
        <v>688</v>
      </c>
      <c r="O151" t="s">
        <v>82</v>
      </c>
      <c r="P151" t="str">
        <f>"INV-00115915 CT092999         "</f>
        <v xml:space="preserve">INV-00115915 CT092999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24.06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1.8</v>
      </c>
      <c r="BK151">
        <v>2</v>
      </c>
      <c r="BL151">
        <v>72.66</v>
      </c>
      <c r="BM151">
        <v>10.9</v>
      </c>
      <c r="BN151">
        <v>83.56</v>
      </c>
      <c r="BO151">
        <v>83.56</v>
      </c>
      <c r="BR151" t="s">
        <v>101</v>
      </c>
      <c r="BS151" s="3">
        <v>45727</v>
      </c>
      <c r="BT151" s="4">
        <v>0.4236111111111111</v>
      </c>
      <c r="BU151" t="s">
        <v>689</v>
      </c>
      <c r="BV151" t="s">
        <v>109</v>
      </c>
      <c r="BY151">
        <v>8908.34</v>
      </c>
      <c r="BZ151" t="s">
        <v>90</v>
      </c>
      <c r="CA151" t="s">
        <v>690</v>
      </c>
      <c r="CC151" t="s">
        <v>409</v>
      </c>
      <c r="CD151">
        <v>1500</v>
      </c>
      <c r="CE151" t="s">
        <v>224</v>
      </c>
      <c r="CF151" s="3">
        <v>45728</v>
      </c>
      <c r="CI151">
        <v>1</v>
      </c>
      <c r="CJ151">
        <v>1</v>
      </c>
      <c r="CK151">
        <v>21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"GAB2024768"</f>
        <v>GAB2024768</v>
      </c>
      <c r="F152" s="3">
        <v>45726</v>
      </c>
      <c r="G152">
        <v>202512</v>
      </c>
      <c r="H152" t="s">
        <v>97</v>
      </c>
      <c r="I152" t="s">
        <v>98</v>
      </c>
      <c r="J152" t="s">
        <v>99</v>
      </c>
      <c r="K152" t="s">
        <v>78</v>
      </c>
      <c r="L152" t="s">
        <v>97</v>
      </c>
      <c r="M152" t="s">
        <v>98</v>
      </c>
      <c r="N152" t="s">
        <v>691</v>
      </c>
      <c r="O152" t="s">
        <v>82</v>
      </c>
      <c r="P152" t="str">
        <f>"INV-00115925 00115924 CT093007"</f>
        <v>INV-00115925 00115924 CT093007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18.79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2.4</v>
      </c>
      <c r="BK152">
        <v>3</v>
      </c>
      <c r="BL152">
        <v>56.75</v>
      </c>
      <c r="BM152">
        <v>8.51</v>
      </c>
      <c r="BN152">
        <v>65.260000000000005</v>
      </c>
      <c r="BO152">
        <v>65.260000000000005</v>
      </c>
      <c r="BQ152" t="s">
        <v>692</v>
      </c>
      <c r="BR152" t="s">
        <v>101</v>
      </c>
      <c r="BS152" s="3">
        <v>45727</v>
      </c>
      <c r="BT152" s="4">
        <v>0.34027777777777779</v>
      </c>
      <c r="BU152" t="s">
        <v>693</v>
      </c>
      <c r="BV152" t="s">
        <v>109</v>
      </c>
      <c r="BY152">
        <v>12143.04</v>
      </c>
      <c r="BZ152" t="s">
        <v>90</v>
      </c>
      <c r="CA152" t="s">
        <v>694</v>
      </c>
      <c r="CC152" t="s">
        <v>98</v>
      </c>
      <c r="CD152">
        <v>7441</v>
      </c>
      <c r="CE152" t="s">
        <v>695</v>
      </c>
      <c r="CF152" s="3">
        <v>45728</v>
      </c>
      <c r="CI152">
        <v>1</v>
      </c>
      <c r="CJ152">
        <v>1</v>
      </c>
      <c r="CK152">
        <v>22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"GAB2024769"</f>
        <v>GAB2024769</v>
      </c>
      <c r="F153" s="3">
        <v>45726</v>
      </c>
      <c r="G153">
        <v>202512</v>
      </c>
      <c r="H153" t="s">
        <v>97</v>
      </c>
      <c r="I153" t="s">
        <v>98</v>
      </c>
      <c r="J153" t="s">
        <v>99</v>
      </c>
      <c r="K153" t="s">
        <v>78</v>
      </c>
      <c r="L153" t="s">
        <v>533</v>
      </c>
      <c r="M153" t="s">
        <v>534</v>
      </c>
      <c r="N153" t="s">
        <v>535</v>
      </c>
      <c r="O153" t="s">
        <v>82</v>
      </c>
      <c r="P153" t="str">
        <f>"INV-00115923 CT093008         "</f>
        <v xml:space="preserve">INV-00115923 CT093008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57.13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2.5</v>
      </c>
      <c r="BK153">
        <v>2.5</v>
      </c>
      <c r="BL153">
        <v>172.55</v>
      </c>
      <c r="BM153">
        <v>25.88</v>
      </c>
      <c r="BN153">
        <v>198.43</v>
      </c>
      <c r="BO153">
        <v>198.43</v>
      </c>
      <c r="BQ153" t="s">
        <v>536</v>
      </c>
      <c r="BR153" t="s">
        <v>101</v>
      </c>
      <c r="BS153" s="3">
        <v>45727</v>
      </c>
      <c r="BT153" s="4">
        <v>0.41666666666666669</v>
      </c>
      <c r="BU153" t="s">
        <v>696</v>
      </c>
      <c r="BV153" t="s">
        <v>109</v>
      </c>
      <c r="BY153">
        <v>12696.18</v>
      </c>
      <c r="BZ153" t="s">
        <v>90</v>
      </c>
      <c r="CA153" t="s">
        <v>514</v>
      </c>
      <c r="CC153" t="s">
        <v>534</v>
      </c>
      <c r="CD153">
        <v>2515</v>
      </c>
      <c r="CE153" t="s">
        <v>237</v>
      </c>
      <c r="CF153" s="3">
        <v>45728</v>
      </c>
      <c r="CI153">
        <v>1</v>
      </c>
      <c r="CJ153">
        <v>1</v>
      </c>
      <c r="CK153">
        <v>23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"GAB2024770"</f>
        <v>GAB2024770</v>
      </c>
      <c r="F154" s="3">
        <v>45726</v>
      </c>
      <c r="G154">
        <v>202512</v>
      </c>
      <c r="H154" t="s">
        <v>97</v>
      </c>
      <c r="I154" t="s">
        <v>98</v>
      </c>
      <c r="J154" t="s">
        <v>99</v>
      </c>
      <c r="K154" t="s">
        <v>78</v>
      </c>
      <c r="L154" t="s">
        <v>697</v>
      </c>
      <c r="M154" t="s">
        <v>698</v>
      </c>
      <c r="N154" t="s">
        <v>699</v>
      </c>
      <c r="O154" t="s">
        <v>82</v>
      </c>
      <c r="P154" t="str">
        <f>"INV-00115926 CT093014         "</f>
        <v xml:space="preserve">INV-00115926 CT093014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67.66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0.3</v>
      </c>
      <c r="BJ154">
        <v>2.9</v>
      </c>
      <c r="BK154">
        <v>3</v>
      </c>
      <c r="BL154">
        <v>204.34</v>
      </c>
      <c r="BM154">
        <v>30.65</v>
      </c>
      <c r="BN154">
        <v>234.99</v>
      </c>
      <c r="BO154">
        <v>234.99</v>
      </c>
      <c r="BQ154" t="s">
        <v>700</v>
      </c>
      <c r="BR154" t="s">
        <v>101</v>
      </c>
      <c r="BS154" s="3">
        <v>45729</v>
      </c>
      <c r="BT154" s="4">
        <v>0.44236111111111109</v>
      </c>
      <c r="BU154" t="s">
        <v>701</v>
      </c>
      <c r="BV154" t="s">
        <v>109</v>
      </c>
      <c r="BY154">
        <v>14338.24</v>
      </c>
      <c r="BZ154" t="s">
        <v>90</v>
      </c>
      <c r="CA154" t="s">
        <v>702</v>
      </c>
      <c r="CC154" t="s">
        <v>698</v>
      </c>
      <c r="CD154">
        <v>8800</v>
      </c>
      <c r="CE154" t="s">
        <v>213</v>
      </c>
      <c r="CF154" s="3">
        <v>45730</v>
      </c>
      <c r="CI154">
        <v>3</v>
      </c>
      <c r="CJ154">
        <v>3</v>
      </c>
      <c r="CK154">
        <v>23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"GAB2024747"</f>
        <v>GAB2024747</v>
      </c>
      <c r="F155" s="3">
        <v>45726</v>
      </c>
      <c r="G155">
        <v>202512</v>
      </c>
      <c r="H155" t="s">
        <v>97</v>
      </c>
      <c r="I155" t="s">
        <v>98</v>
      </c>
      <c r="J155" t="s">
        <v>99</v>
      </c>
      <c r="K155" t="s">
        <v>78</v>
      </c>
      <c r="L155" t="s">
        <v>280</v>
      </c>
      <c r="M155" t="s">
        <v>281</v>
      </c>
      <c r="N155" t="s">
        <v>703</v>
      </c>
      <c r="O155" t="s">
        <v>100</v>
      </c>
      <c r="P155" t="str">
        <f>"INV-00033311 030855           "</f>
        <v xml:space="preserve">INV-00033311 030855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46.52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5.8</v>
      </c>
      <c r="BJ155">
        <v>11.9</v>
      </c>
      <c r="BK155">
        <v>12</v>
      </c>
      <c r="BL155">
        <v>146.07</v>
      </c>
      <c r="BM155">
        <v>21.91</v>
      </c>
      <c r="BN155">
        <v>167.98</v>
      </c>
      <c r="BO155">
        <v>167.98</v>
      </c>
      <c r="BQ155" t="s">
        <v>704</v>
      </c>
      <c r="BR155" t="s">
        <v>101</v>
      </c>
      <c r="BS155" s="3">
        <v>45744</v>
      </c>
      <c r="BT155" s="4">
        <v>0.58333333333333337</v>
      </c>
      <c r="BU155" t="s">
        <v>705</v>
      </c>
      <c r="BV155" t="s">
        <v>87</v>
      </c>
      <c r="BY155">
        <v>59582.25</v>
      </c>
      <c r="CC155" t="s">
        <v>281</v>
      </c>
      <c r="CD155">
        <v>3201</v>
      </c>
      <c r="CE155" t="s">
        <v>111</v>
      </c>
      <c r="CF155" s="3">
        <v>45745</v>
      </c>
      <c r="CI155">
        <v>4</v>
      </c>
      <c r="CJ155">
        <v>14</v>
      </c>
      <c r="CK155">
        <v>41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"GAB2024754"</f>
        <v>GAB2024754</v>
      </c>
      <c r="F156" s="3">
        <v>45726</v>
      </c>
      <c r="G156">
        <v>202512</v>
      </c>
      <c r="H156" t="s">
        <v>97</v>
      </c>
      <c r="I156" t="s">
        <v>98</v>
      </c>
      <c r="J156" t="s">
        <v>99</v>
      </c>
      <c r="K156" t="s">
        <v>78</v>
      </c>
      <c r="L156" t="s">
        <v>519</v>
      </c>
      <c r="M156" t="s">
        <v>520</v>
      </c>
      <c r="N156" t="s">
        <v>706</v>
      </c>
      <c r="O156" t="s">
        <v>100</v>
      </c>
      <c r="P156" t="str">
        <f>"INV-00115899 CT092086         "</f>
        <v xml:space="preserve">INV-00115899 CT092086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46.52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2.2999999999999998</v>
      </c>
      <c r="BJ156">
        <v>8</v>
      </c>
      <c r="BK156">
        <v>8</v>
      </c>
      <c r="BL156">
        <v>146.07</v>
      </c>
      <c r="BM156">
        <v>21.91</v>
      </c>
      <c r="BN156">
        <v>167.98</v>
      </c>
      <c r="BO156">
        <v>167.98</v>
      </c>
      <c r="BQ156" t="s">
        <v>707</v>
      </c>
      <c r="BR156" t="s">
        <v>101</v>
      </c>
      <c r="BS156" s="3">
        <v>45728</v>
      </c>
      <c r="BT156" s="4">
        <v>0.38541666666666669</v>
      </c>
      <c r="BU156" t="s">
        <v>708</v>
      </c>
      <c r="BV156" t="s">
        <v>109</v>
      </c>
      <c r="BY156">
        <v>40177.800000000003</v>
      </c>
      <c r="CA156" t="s">
        <v>709</v>
      </c>
      <c r="CC156" t="s">
        <v>520</v>
      </c>
      <c r="CD156">
        <v>6001</v>
      </c>
      <c r="CE156" t="s">
        <v>584</v>
      </c>
      <c r="CF156" s="3">
        <v>45728</v>
      </c>
      <c r="CI156">
        <v>3</v>
      </c>
      <c r="CJ156">
        <v>2</v>
      </c>
      <c r="CK156">
        <v>41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"GAB2024755"</f>
        <v>GAB2024755</v>
      </c>
      <c r="F157" s="3">
        <v>45726</v>
      </c>
      <c r="G157">
        <v>202512</v>
      </c>
      <c r="H157" t="s">
        <v>97</v>
      </c>
      <c r="I157" t="s">
        <v>98</v>
      </c>
      <c r="J157" t="s">
        <v>99</v>
      </c>
      <c r="K157" t="s">
        <v>78</v>
      </c>
      <c r="L157" t="s">
        <v>710</v>
      </c>
      <c r="M157" t="s">
        <v>711</v>
      </c>
      <c r="N157" t="s">
        <v>712</v>
      </c>
      <c r="O157" t="s">
        <v>100</v>
      </c>
      <c r="P157" t="str">
        <f>"INV-00115894 CT092983         "</f>
        <v xml:space="preserve">INV-00115894 CT092983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152.74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3</v>
      </c>
      <c r="BI157">
        <v>18.7</v>
      </c>
      <c r="BJ157">
        <v>40.200000000000003</v>
      </c>
      <c r="BK157">
        <v>41</v>
      </c>
      <c r="BL157">
        <v>466.88</v>
      </c>
      <c r="BM157">
        <v>70.03</v>
      </c>
      <c r="BN157">
        <v>536.91</v>
      </c>
      <c r="BO157">
        <v>536.91</v>
      </c>
      <c r="BQ157" t="s">
        <v>713</v>
      </c>
      <c r="BR157" t="s">
        <v>101</v>
      </c>
      <c r="BS157" s="3">
        <v>45728</v>
      </c>
      <c r="BT157" s="4">
        <v>0.66666666666666663</v>
      </c>
      <c r="BU157" t="s">
        <v>714</v>
      </c>
      <c r="BV157" t="s">
        <v>109</v>
      </c>
      <c r="BY157">
        <v>201039.28</v>
      </c>
      <c r="CA157" t="s">
        <v>715</v>
      </c>
      <c r="CC157" t="s">
        <v>711</v>
      </c>
      <c r="CD157">
        <v>1947</v>
      </c>
      <c r="CE157" t="s">
        <v>111</v>
      </c>
      <c r="CF157" s="3">
        <v>45728</v>
      </c>
      <c r="CI157">
        <v>2</v>
      </c>
      <c r="CJ157">
        <v>2</v>
      </c>
      <c r="CK157">
        <v>43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"GAB2024758"</f>
        <v>GAB2024758</v>
      </c>
      <c r="F158" s="3">
        <v>45726</v>
      </c>
      <c r="G158">
        <v>202512</v>
      </c>
      <c r="H158" t="s">
        <v>97</v>
      </c>
      <c r="I158" t="s">
        <v>98</v>
      </c>
      <c r="J158" t="s">
        <v>99</v>
      </c>
      <c r="K158" t="s">
        <v>78</v>
      </c>
      <c r="L158" t="s">
        <v>392</v>
      </c>
      <c r="M158" t="s">
        <v>393</v>
      </c>
      <c r="N158" t="s">
        <v>394</v>
      </c>
      <c r="O158" t="s">
        <v>100</v>
      </c>
      <c r="P158" t="str">
        <f>"INV-00115910 CT092986         "</f>
        <v xml:space="preserve">INV-00115910 CT092986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125.93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4</v>
      </c>
      <c r="BI158">
        <v>9.6</v>
      </c>
      <c r="BJ158">
        <v>32.299999999999997</v>
      </c>
      <c r="BK158">
        <v>33</v>
      </c>
      <c r="BL158">
        <v>385.91</v>
      </c>
      <c r="BM158">
        <v>57.89</v>
      </c>
      <c r="BN158">
        <v>443.8</v>
      </c>
      <c r="BO158">
        <v>443.8</v>
      </c>
      <c r="BQ158" t="s">
        <v>716</v>
      </c>
      <c r="BR158" t="s">
        <v>101</v>
      </c>
      <c r="BS158" s="3">
        <v>45728</v>
      </c>
      <c r="BT158" s="4">
        <v>0.52361111111111114</v>
      </c>
      <c r="BU158" t="s">
        <v>716</v>
      </c>
      <c r="BV158" t="s">
        <v>109</v>
      </c>
      <c r="BY158">
        <v>161585.1</v>
      </c>
      <c r="CA158" t="s">
        <v>717</v>
      </c>
      <c r="CC158" t="s">
        <v>393</v>
      </c>
      <c r="CD158">
        <v>4420</v>
      </c>
      <c r="CE158" t="s">
        <v>118</v>
      </c>
      <c r="CF158" s="3">
        <v>45731</v>
      </c>
      <c r="CI158">
        <v>4</v>
      </c>
      <c r="CJ158">
        <v>2</v>
      </c>
      <c r="CK158">
        <v>43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"GAB2024760"</f>
        <v>GAB2024760</v>
      </c>
      <c r="F159" s="3">
        <v>45726</v>
      </c>
      <c r="G159">
        <v>202512</v>
      </c>
      <c r="H159" t="s">
        <v>97</v>
      </c>
      <c r="I159" t="s">
        <v>98</v>
      </c>
      <c r="J159" t="s">
        <v>99</v>
      </c>
      <c r="K159" t="s">
        <v>78</v>
      </c>
      <c r="L159" t="s">
        <v>262</v>
      </c>
      <c r="M159" t="s">
        <v>263</v>
      </c>
      <c r="N159" t="s">
        <v>718</v>
      </c>
      <c r="O159" t="s">
        <v>100</v>
      </c>
      <c r="P159" t="str">
        <f>"INV-00115913 CT092988         "</f>
        <v xml:space="preserve">INV-00115913 CT092988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46.52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2.4</v>
      </c>
      <c r="BK159">
        <v>3</v>
      </c>
      <c r="BL159">
        <v>146.07</v>
      </c>
      <c r="BM159">
        <v>21.91</v>
      </c>
      <c r="BN159">
        <v>167.98</v>
      </c>
      <c r="BO159">
        <v>167.98</v>
      </c>
      <c r="BQ159" t="s">
        <v>719</v>
      </c>
      <c r="BR159" t="s">
        <v>101</v>
      </c>
      <c r="BS159" s="3">
        <v>45728</v>
      </c>
      <c r="BT159" s="4">
        <v>0.37638888888888888</v>
      </c>
      <c r="BU159" t="s">
        <v>720</v>
      </c>
      <c r="BV159" t="s">
        <v>109</v>
      </c>
      <c r="BY159">
        <v>12000</v>
      </c>
      <c r="CA159" t="s">
        <v>721</v>
      </c>
      <c r="CC159" t="s">
        <v>263</v>
      </c>
      <c r="CD159" s="5" t="s">
        <v>722</v>
      </c>
      <c r="CE159" t="s">
        <v>265</v>
      </c>
      <c r="CF159" s="3">
        <v>45728</v>
      </c>
      <c r="CI159">
        <v>3</v>
      </c>
      <c r="CJ159">
        <v>2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"GAB2024761"</f>
        <v>GAB2024761</v>
      </c>
      <c r="F160" s="3">
        <v>45726</v>
      </c>
      <c r="G160">
        <v>202512</v>
      </c>
      <c r="H160" t="s">
        <v>97</v>
      </c>
      <c r="I160" t="s">
        <v>98</v>
      </c>
      <c r="J160" t="s">
        <v>99</v>
      </c>
      <c r="K160" t="s">
        <v>78</v>
      </c>
      <c r="L160" t="s">
        <v>244</v>
      </c>
      <c r="M160" t="s">
        <v>245</v>
      </c>
      <c r="N160" t="s">
        <v>723</v>
      </c>
      <c r="O160" t="s">
        <v>100</v>
      </c>
      <c r="P160" t="str">
        <f>"INV-00115916 CT092990         "</f>
        <v xml:space="preserve">INV-00115916 CT092990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65.61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1.7</v>
      </c>
      <c r="BK160">
        <v>2</v>
      </c>
      <c r="BL160">
        <v>203.73</v>
      </c>
      <c r="BM160">
        <v>30.56</v>
      </c>
      <c r="BN160">
        <v>234.29</v>
      </c>
      <c r="BO160">
        <v>234.29</v>
      </c>
      <c r="BQ160" t="s">
        <v>724</v>
      </c>
      <c r="BR160" t="s">
        <v>101</v>
      </c>
      <c r="BS160" s="3">
        <v>45728</v>
      </c>
      <c r="BT160" s="4">
        <v>0.43125000000000002</v>
      </c>
      <c r="BU160" t="s">
        <v>725</v>
      </c>
      <c r="BV160" t="s">
        <v>109</v>
      </c>
      <c r="BY160">
        <v>8265.68</v>
      </c>
      <c r="CA160" t="s">
        <v>514</v>
      </c>
      <c r="CC160" t="s">
        <v>245</v>
      </c>
      <c r="CD160" s="5" t="s">
        <v>249</v>
      </c>
      <c r="CE160" t="s">
        <v>111</v>
      </c>
      <c r="CF160" s="3">
        <v>45729</v>
      </c>
      <c r="CI160">
        <v>3</v>
      </c>
      <c r="CJ160">
        <v>2</v>
      </c>
      <c r="CK160">
        <v>43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"GAB2024765"</f>
        <v>GAB2024765</v>
      </c>
      <c r="F161" s="3">
        <v>45726</v>
      </c>
      <c r="G161">
        <v>202512</v>
      </c>
      <c r="H161" t="s">
        <v>97</v>
      </c>
      <c r="I161" t="s">
        <v>98</v>
      </c>
      <c r="J161" t="s">
        <v>99</v>
      </c>
      <c r="K161" t="s">
        <v>78</v>
      </c>
      <c r="L161" t="s">
        <v>429</v>
      </c>
      <c r="M161" t="s">
        <v>430</v>
      </c>
      <c r="N161" t="s">
        <v>590</v>
      </c>
      <c r="O161" t="s">
        <v>100</v>
      </c>
      <c r="P161" t="str">
        <f>"INV-00033360 030389           "</f>
        <v xml:space="preserve">INV-00033360 030389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184.8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4</v>
      </c>
      <c r="BI161">
        <v>38.5</v>
      </c>
      <c r="BJ161">
        <v>86.6</v>
      </c>
      <c r="BK161">
        <v>87</v>
      </c>
      <c r="BL161">
        <v>563.71</v>
      </c>
      <c r="BM161">
        <v>84.56</v>
      </c>
      <c r="BN161">
        <v>648.27</v>
      </c>
      <c r="BO161">
        <v>648.27</v>
      </c>
      <c r="BR161" t="s">
        <v>101</v>
      </c>
      <c r="BS161" s="3">
        <v>45728</v>
      </c>
      <c r="BT161" s="4">
        <v>0.41666666666666669</v>
      </c>
      <c r="BU161" t="s">
        <v>677</v>
      </c>
      <c r="BV161" t="s">
        <v>109</v>
      </c>
      <c r="BY161">
        <v>432869.02</v>
      </c>
      <c r="CC161" t="s">
        <v>430</v>
      </c>
      <c r="CD161">
        <v>1632</v>
      </c>
      <c r="CE161" t="s">
        <v>726</v>
      </c>
      <c r="CF161" s="3">
        <v>45729</v>
      </c>
      <c r="CI161">
        <v>2</v>
      </c>
      <c r="CJ161">
        <v>2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"GAB2024767"</f>
        <v>GAB2024767</v>
      </c>
      <c r="F162" s="3">
        <v>45726</v>
      </c>
      <c r="G162">
        <v>202512</v>
      </c>
      <c r="H162" t="s">
        <v>97</v>
      </c>
      <c r="I162" t="s">
        <v>98</v>
      </c>
      <c r="J162" t="s">
        <v>99</v>
      </c>
      <c r="K162" t="s">
        <v>78</v>
      </c>
      <c r="L162" t="s">
        <v>94</v>
      </c>
      <c r="M162" t="s">
        <v>95</v>
      </c>
      <c r="N162" t="s">
        <v>727</v>
      </c>
      <c r="O162" t="s">
        <v>100</v>
      </c>
      <c r="P162" t="str">
        <f>"000379 00374                  "</f>
        <v xml:space="preserve">000379 00374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65.61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2.6</v>
      </c>
      <c r="BJ162">
        <v>7.6</v>
      </c>
      <c r="BK162">
        <v>8</v>
      </c>
      <c r="BL162">
        <v>203.73</v>
      </c>
      <c r="BM162">
        <v>30.56</v>
      </c>
      <c r="BN162">
        <v>234.29</v>
      </c>
      <c r="BO162">
        <v>234.29</v>
      </c>
      <c r="BR162" t="s">
        <v>101</v>
      </c>
      <c r="BS162" s="3">
        <v>45742</v>
      </c>
      <c r="BT162" s="4">
        <v>0.69027777777777777</v>
      </c>
      <c r="BU162" t="s">
        <v>728</v>
      </c>
      <c r="BV162" t="s">
        <v>87</v>
      </c>
      <c r="BW162" t="s">
        <v>88</v>
      </c>
      <c r="BX162" t="s">
        <v>729</v>
      </c>
      <c r="BY162">
        <v>37908.78</v>
      </c>
      <c r="CA162" t="s">
        <v>421</v>
      </c>
      <c r="CC162" t="s">
        <v>95</v>
      </c>
      <c r="CD162">
        <v>2745</v>
      </c>
      <c r="CE162" t="s">
        <v>584</v>
      </c>
      <c r="CF162" s="3">
        <v>45743</v>
      </c>
      <c r="CI162">
        <v>2</v>
      </c>
      <c r="CJ162">
        <v>12</v>
      </c>
      <c r="CK162">
        <v>43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"GAB2024774"</f>
        <v>GAB2024774</v>
      </c>
      <c r="F163" s="3">
        <v>45727</v>
      </c>
      <c r="G163">
        <v>202512</v>
      </c>
      <c r="H163" t="s">
        <v>97</v>
      </c>
      <c r="I163" t="s">
        <v>98</v>
      </c>
      <c r="J163" t="s">
        <v>99</v>
      </c>
      <c r="K163" t="s">
        <v>78</v>
      </c>
      <c r="L163" t="s">
        <v>75</v>
      </c>
      <c r="M163" t="s">
        <v>76</v>
      </c>
      <c r="N163" t="s">
        <v>730</v>
      </c>
      <c r="O163" t="s">
        <v>100</v>
      </c>
      <c r="P163" t="str">
        <f>"INV-00033362 028920           "</f>
        <v xml:space="preserve">INV-00033362 028920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48.44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5.6</v>
      </c>
      <c r="BJ163">
        <v>15.2</v>
      </c>
      <c r="BK163">
        <v>16</v>
      </c>
      <c r="BL163">
        <v>151.87</v>
      </c>
      <c r="BM163">
        <v>22.78</v>
      </c>
      <c r="BN163">
        <v>174.65</v>
      </c>
      <c r="BO163">
        <v>174.65</v>
      </c>
      <c r="BQ163" t="s">
        <v>372</v>
      </c>
      <c r="BR163" t="s">
        <v>101</v>
      </c>
      <c r="BS163" s="3">
        <v>45733</v>
      </c>
      <c r="BT163" s="4">
        <v>0.54305555555555551</v>
      </c>
      <c r="BU163" t="s">
        <v>731</v>
      </c>
      <c r="BV163" t="s">
        <v>87</v>
      </c>
      <c r="BW163" t="s">
        <v>198</v>
      </c>
      <c r="BX163" t="s">
        <v>732</v>
      </c>
      <c r="BY163">
        <v>75885.94</v>
      </c>
      <c r="CA163" t="s">
        <v>733</v>
      </c>
      <c r="CC163" t="s">
        <v>76</v>
      </c>
      <c r="CD163">
        <v>4001</v>
      </c>
      <c r="CE163" t="s">
        <v>111</v>
      </c>
      <c r="CF163" s="3">
        <v>45734</v>
      </c>
      <c r="CI163">
        <v>3</v>
      </c>
      <c r="CJ163">
        <v>4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"GAB2024776"</f>
        <v>GAB2024776</v>
      </c>
      <c r="F164" s="3">
        <v>45727</v>
      </c>
      <c r="G164">
        <v>202512</v>
      </c>
      <c r="H164" t="s">
        <v>97</v>
      </c>
      <c r="I164" t="s">
        <v>98</v>
      </c>
      <c r="J164" t="s">
        <v>99</v>
      </c>
      <c r="K164" t="s">
        <v>78</v>
      </c>
      <c r="L164" t="s">
        <v>316</v>
      </c>
      <c r="M164" t="s">
        <v>317</v>
      </c>
      <c r="N164" t="s">
        <v>734</v>
      </c>
      <c r="O164" t="s">
        <v>100</v>
      </c>
      <c r="P164" t="str">
        <f>"INV-00033374 030919           "</f>
        <v xml:space="preserve">INV-00033374 030919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65.61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2.7</v>
      </c>
      <c r="BJ164">
        <v>6</v>
      </c>
      <c r="BK164">
        <v>6</v>
      </c>
      <c r="BL164">
        <v>203.73</v>
      </c>
      <c r="BM164">
        <v>30.56</v>
      </c>
      <c r="BN164">
        <v>234.29</v>
      </c>
      <c r="BO164">
        <v>234.29</v>
      </c>
      <c r="BQ164" t="s">
        <v>210</v>
      </c>
      <c r="BR164" t="s">
        <v>101</v>
      </c>
      <c r="BS164" s="3">
        <v>45731</v>
      </c>
      <c r="BT164" s="4">
        <v>0.54513888888888884</v>
      </c>
      <c r="BU164" t="s">
        <v>735</v>
      </c>
      <c r="BV164" t="s">
        <v>87</v>
      </c>
      <c r="BW164" t="s">
        <v>633</v>
      </c>
      <c r="BX164" t="s">
        <v>736</v>
      </c>
      <c r="BY164">
        <v>29853</v>
      </c>
      <c r="CA164" t="s">
        <v>737</v>
      </c>
      <c r="CC164" t="s">
        <v>317</v>
      </c>
      <c r="CD164" s="5" t="s">
        <v>322</v>
      </c>
      <c r="CE164" t="s">
        <v>111</v>
      </c>
      <c r="CF164" s="3">
        <v>45733</v>
      </c>
      <c r="CI164">
        <v>3</v>
      </c>
      <c r="CJ164">
        <v>3</v>
      </c>
      <c r="CK164">
        <v>43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"GAB2024779"</f>
        <v>GAB2024779</v>
      </c>
      <c r="F165" s="3">
        <v>45727</v>
      </c>
      <c r="G165">
        <v>202512</v>
      </c>
      <c r="H165" t="s">
        <v>97</v>
      </c>
      <c r="I165" t="s">
        <v>98</v>
      </c>
      <c r="J165" t="s">
        <v>99</v>
      </c>
      <c r="K165" t="s">
        <v>78</v>
      </c>
      <c r="L165" t="s">
        <v>738</v>
      </c>
      <c r="M165" t="s">
        <v>739</v>
      </c>
      <c r="N165" t="s">
        <v>740</v>
      </c>
      <c r="O165" t="s">
        <v>100</v>
      </c>
      <c r="P165" t="str">
        <f>"INV-00115965 CT092477         "</f>
        <v xml:space="preserve">INV-00115965 CT092477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52.28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8.5</v>
      </c>
      <c r="BJ165">
        <v>17.8</v>
      </c>
      <c r="BK165">
        <v>18</v>
      </c>
      <c r="BL165">
        <v>163.47</v>
      </c>
      <c r="BM165">
        <v>24.52</v>
      </c>
      <c r="BN165">
        <v>187.99</v>
      </c>
      <c r="BO165">
        <v>187.99</v>
      </c>
      <c r="BQ165" t="s">
        <v>741</v>
      </c>
      <c r="BR165" t="s">
        <v>101</v>
      </c>
      <c r="BS165" s="3">
        <v>45729</v>
      </c>
      <c r="BT165" s="4">
        <v>0.50624999999999998</v>
      </c>
      <c r="BU165" t="s">
        <v>742</v>
      </c>
      <c r="BV165" t="s">
        <v>109</v>
      </c>
      <c r="BY165">
        <v>89248.320000000007</v>
      </c>
      <c r="CA165" t="s">
        <v>743</v>
      </c>
      <c r="CC165" t="s">
        <v>739</v>
      </c>
      <c r="CD165">
        <v>1449</v>
      </c>
      <c r="CE165" t="s">
        <v>584</v>
      </c>
      <c r="CF165" s="3">
        <v>45730</v>
      </c>
      <c r="CI165">
        <v>3</v>
      </c>
      <c r="CJ165">
        <v>2</v>
      </c>
      <c r="CK165">
        <v>41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"GAB2024780"</f>
        <v>GAB2024780</v>
      </c>
      <c r="F166" s="3">
        <v>45727</v>
      </c>
      <c r="G166">
        <v>202512</v>
      </c>
      <c r="H166" t="s">
        <v>97</v>
      </c>
      <c r="I166" t="s">
        <v>98</v>
      </c>
      <c r="J166" t="s">
        <v>99</v>
      </c>
      <c r="K166" t="s">
        <v>78</v>
      </c>
      <c r="L166" t="s">
        <v>182</v>
      </c>
      <c r="M166" t="s">
        <v>183</v>
      </c>
      <c r="N166" t="s">
        <v>655</v>
      </c>
      <c r="O166" t="s">
        <v>100</v>
      </c>
      <c r="P166" t="str">
        <f>"INV-00115934 CT093015         "</f>
        <v xml:space="preserve">INV-00115934 CT093015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67.650000000000006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7.7</v>
      </c>
      <c r="BJ166">
        <v>25.5</v>
      </c>
      <c r="BK166">
        <v>26</v>
      </c>
      <c r="BL166">
        <v>209.88</v>
      </c>
      <c r="BM166">
        <v>31.48</v>
      </c>
      <c r="BN166">
        <v>241.36</v>
      </c>
      <c r="BO166">
        <v>241.36</v>
      </c>
      <c r="BQ166" t="s">
        <v>656</v>
      </c>
      <c r="BR166" t="s">
        <v>101</v>
      </c>
      <c r="BS166" s="3">
        <v>45729</v>
      </c>
      <c r="BT166" s="4">
        <v>0.70138888888888884</v>
      </c>
      <c r="BU166" t="s">
        <v>657</v>
      </c>
      <c r="BV166" t="s">
        <v>109</v>
      </c>
      <c r="BY166">
        <v>127547.18</v>
      </c>
      <c r="CA166" t="s">
        <v>744</v>
      </c>
      <c r="CC166" t="s">
        <v>183</v>
      </c>
      <c r="CD166">
        <v>3610</v>
      </c>
      <c r="CE166" t="s">
        <v>111</v>
      </c>
      <c r="CF166" s="3">
        <v>45730</v>
      </c>
      <c r="CI166">
        <v>3</v>
      </c>
      <c r="CJ166">
        <v>2</v>
      </c>
      <c r="CK166">
        <v>41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"GAB2024771"</f>
        <v>GAB2024771</v>
      </c>
      <c r="F167" s="3">
        <v>45727</v>
      </c>
      <c r="G167">
        <v>202512</v>
      </c>
      <c r="H167" t="s">
        <v>97</v>
      </c>
      <c r="I167" t="s">
        <v>98</v>
      </c>
      <c r="J167" t="s">
        <v>99</v>
      </c>
      <c r="K167" t="s">
        <v>78</v>
      </c>
      <c r="L167" t="s">
        <v>408</v>
      </c>
      <c r="M167" t="s">
        <v>409</v>
      </c>
      <c r="N167" t="s">
        <v>745</v>
      </c>
      <c r="O167" t="s">
        <v>82</v>
      </c>
      <c r="P167" t="str">
        <f>"INV-00033389 030933           "</f>
        <v xml:space="preserve">INV-00033389 030933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24.06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0.1</v>
      </c>
      <c r="BJ167">
        <v>1.6</v>
      </c>
      <c r="BK167">
        <v>2</v>
      </c>
      <c r="BL167">
        <v>72.66</v>
      </c>
      <c r="BM167">
        <v>10.9</v>
      </c>
      <c r="BN167">
        <v>83.56</v>
      </c>
      <c r="BO167">
        <v>83.56</v>
      </c>
      <c r="BQ167" t="s">
        <v>210</v>
      </c>
      <c r="BR167" t="s">
        <v>101</v>
      </c>
      <c r="BS167" s="3">
        <v>45728</v>
      </c>
      <c r="BT167" s="4">
        <v>0.3888888888888889</v>
      </c>
      <c r="BU167" t="s">
        <v>746</v>
      </c>
      <c r="BV167" t="s">
        <v>109</v>
      </c>
      <c r="BY167">
        <v>7959.6</v>
      </c>
      <c r="BZ167" t="s">
        <v>90</v>
      </c>
      <c r="CA167" t="s">
        <v>747</v>
      </c>
      <c r="CC167" t="s">
        <v>409</v>
      </c>
      <c r="CD167">
        <v>1501</v>
      </c>
      <c r="CE167" t="s">
        <v>149</v>
      </c>
      <c r="CF167" s="3">
        <v>45729</v>
      </c>
      <c r="CI167">
        <v>1</v>
      </c>
      <c r="CJ167">
        <v>1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"GAB2024772"</f>
        <v>GAB2024772</v>
      </c>
      <c r="F168" s="3">
        <v>45727</v>
      </c>
      <c r="G168">
        <v>202512</v>
      </c>
      <c r="H168" t="s">
        <v>97</v>
      </c>
      <c r="I168" t="s">
        <v>98</v>
      </c>
      <c r="J168" t="s">
        <v>99</v>
      </c>
      <c r="K168" t="s">
        <v>78</v>
      </c>
      <c r="L168" t="s">
        <v>491</v>
      </c>
      <c r="M168" t="s">
        <v>492</v>
      </c>
      <c r="N168" t="s">
        <v>748</v>
      </c>
      <c r="O168" t="s">
        <v>82</v>
      </c>
      <c r="P168" t="str">
        <f>"INV-00033390 030885           "</f>
        <v xml:space="preserve">INV-00033390 030885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30.07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2.4</v>
      </c>
      <c r="BK168">
        <v>2.5</v>
      </c>
      <c r="BL168">
        <v>90.81</v>
      </c>
      <c r="BM168">
        <v>13.62</v>
      </c>
      <c r="BN168">
        <v>104.43</v>
      </c>
      <c r="BO168">
        <v>104.43</v>
      </c>
      <c r="BQ168" t="s">
        <v>749</v>
      </c>
      <c r="BR168" t="s">
        <v>101</v>
      </c>
      <c r="BS168" s="3">
        <v>45729</v>
      </c>
      <c r="BT168" s="4">
        <v>0.30486111111111114</v>
      </c>
      <c r="BU168" t="s">
        <v>750</v>
      </c>
      <c r="BV168" t="s">
        <v>87</v>
      </c>
      <c r="BW168" t="s">
        <v>88</v>
      </c>
      <c r="BX168" t="s">
        <v>751</v>
      </c>
      <c r="BY168">
        <v>11881.3</v>
      </c>
      <c r="BZ168" t="s">
        <v>90</v>
      </c>
      <c r="CA168" t="s">
        <v>752</v>
      </c>
      <c r="CC168" t="s">
        <v>492</v>
      </c>
      <c r="CD168">
        <v>1709</v>
      </c>
      <c r="CE168" t="s">
        <v>213</v>
      </c>
      <c r="CF168" s="3">
        <v>45730</v>
      </c>
      <c r="CI168">
        <v>1</v>
      </c>
      <c r="CJ168">
        <v>2</v>
      </c>
      <c r="CK168">
        <v>21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"GAB2024773"</f>
        <v>GAB2024773</v>
      </c>
      <c r="F169" s="3">
        <v>45727</v>
      </c>
      <c r="G169">
        <v>202512</v>
      </c>
      <c r="H169" t="s">
        <v>97</v>
      </c>
      <c r="I169" t="s">
        <v>98</v>
      </c>
      <c r="J169" t="s">
        <v>99</v>
      </c>
      <c r="K169" t="s">
        <v>78</v>
      </c>
      <c r="L169" t="s">
        <v>130</v>
      </c>
      <c r="M169" t="s">
        <v>131</v>
      </c>
      <c r="N169" t="s">
        <v>753</v>
      </c>
      <c r="O169" t="s">
        <v>82</v>
      </c>
      <c r="P169" t="str">
        <f>"INV-00033361 030730           "</f>
        <v xml:space="preserve">INV-00033361 030730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30.07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2.2000000000000002</v>
      </c>
      <c r="BK169">
        <v>2.5</v>
      </c>
      <c r="BL169">
        <v>90.81</v>
      </c>
      <c r="BM169">
        <v>13.62</v>
      </c>
      <c r="BN169">
        <v>104.43</v>
      </c>
      <c r="BO169">
        <v>104.43</v>
      </c>
      <c r="BQ169" t="s">
        <v>640</v>
      </c>
      <c r="BR169" t="s">
        <v>101</v>
      </c>
      <c r="BS169" s="3">
        <v>45729</v>
      </c>
      <c r="BT169" s="4">
        <v>0.41666666666666669</v>
      </c>
      <c r="BU169" t="s">
        <v>754</v>
      </c>
      <c r="BV169" t="s">
        <v>109</v>
      </c>
      <c r="BY169">
        <v>11053.35</v>
      </c>
      <c r="BZ169" t="s">
        <v>90</v>
      </c>
      <c r="CC169" t="s">
        <v>131</v>
      </c>
      <c r="CD169" s="5" t="s">
        <v>136</v>
      </c>
      <c r="CE169" t="s">
        <v>149</v>
      </c>
      <c r="CF169" s="3">
        <v>45729</v>
      </c>
      <c r="CI169">
        <v>2</v>
      </c>
      <c r="CJ169">
        <v>2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"GAB2024775"</f>
        <v>GAB2024775</v>
      </c>
      <c r="F170" s="3">
        <v>45727</v>
      </c>
      <c r="G170">
        <v>202512</v>
      </c>
      <c r="H170" t="s">
        <v>97</v>
      </c>
      <c r="I170" t="s">
        <v>98</v>
      </c>
      <c r="J170" t="s">
        <v>99</v>
      </c>
      <c r="K170" t="s">
        <v>78</v>
      </c>
      <c r="L170" t="s">
        <v>214</v>
      </c>
      <c r="M170" t="s">
        <v>215</v>
      </c>
      <c r="N170" t="s">
        <v>216</v>
      </c>
      <c r="O170" t="s">
        <v>82</v>
      </c>
      <c r="P170" t="str">
        <f>"INV-00115930 CT093013         "</f>
        <v xml:space="preserve">INV-00115930 CT093013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30.07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2.4</v>
      </c>
      <c r="BK170">
        <v>2.5</v>
      </c>
      <c r="BL170">
        <v>90.81</v>
      </c>
      <c r="BM170">
        <v>13.62</v>
      </c>
      <c r="BN170">
        <v>104.43</v>
      </c>
      <c r="BO170">
        <v>104.43</v>
      </c>
      <c r="BQ170" t="s">
        <v>217</v>
      </c>
      <c r="BR170" t="s">
        <v>101</v>
      </c>
      <c r="BS170" s="3">
        <v>45728</v>
      </c>
      <c r="BT170" s="4">
        <v>0.44930555555555557</v>
      </c>
      <c r="BU170" t="s">
        <v>755</v>
      </c>
      <c r="BV170" t="s">
        <v>87</v>
      </c>
      <c r="BY170">
        <v>12088.44</v>
      </c>
      <c r="BZ170" t="s">
        <v>90</v>
      </c>
      <c r="CA170" t="s">
        <v>756</v>
      </c>
      <c r="CC170" t="s">
        <v>215</v>
      </c>
      <c r="CD170">
        <v>6529</v>
      </c>
      <c r="CE170" t="s">
        <v>149</v>
      </c>
      <c r="CF170" s="3">
        <v>45728</v>
      </c>
      <c r="CI170">
        <v>1</v>
      </c>
      <c r="CJ170">
        <v>1</v>
      </c>
      <c r="CK170">
        <v>21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"GAB2024777"</f>
        <v>GAB2024777</v>
      </c>
      <c r="F171" s="3">
        <v>45727</v>
      </c>
      <c r="G171">
        <v>202512</v>
      </c>
      <c r="H171" t="s">
        <v>97</v>
      </c>
      <c r="I171" t="s">
        <v>98</v>
      </c>
      <c r="J171" t="s">
        <v>99</v>
      </c>
      <c r="K171" t="s">
        <v>78</v>
      </c>
      <c r="L171" t="s">
        <v>328</v>
      </c>
      <c r="M171" t="s">
        <v>329</v>
      </c>
      <c r="N171" t="s">
        <v>330</v>
      </c>
      <c r="O171" t="s">
        <v>82</v>
      </c>
      <c r="P171" t="str">
        <f>"INV-00115932 00115931 CT093017"</f>
        <v>INV-00115932 00115931 CT093017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30.07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16.739999999999998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2.2999999999999998</v>
      </c>
      <c r="BK171">
        <v>2.5</v>
      </c>
      <c r="BL171">
        <v>107.55</v>
      </c>
      <c r="BM171">
        <v>16.13</v>
      </c>
      <c r="BN171">
        <v>123.68</v>
      </c>
      <c r="BO171">
        <v>123.68</v>
      </c>
      <c r="BQ171" t="s">
        <v>331</v>
      </c>
      <c r="BR171" t="s">
        <v>101</v>
      </c>
      <c r="BS171" s="3">
        <v>45728</v>
      </c>
      <c r="BT171" s="4">
        <v>0.47916666666666669</v>
      </c>
      <c r="BU171" t="s">
        <v>670</v>
      </c>
      <c r="BV171" t="s">
        <v>109</v>
      </c>
      <c r="BY171">
        <v>11652.48</v>
      </c>
      <c r="BZ171" t="s">
        <v>296</v>
      </c>
      <c r="CA171" t="s">
        <v>671</v>
      </c>
      <c r="CC171" t="s">
        <v>329</v>
      </c>
      <c r="CD171">
        <v>1475</v>
      </c>
      <c r="CE171" t="s">
        <v>237</v>
      </c>
      <c r="CF171" s="3">
        <v>45729</v>
      </c>
      <c r="CI171">
        <v>1</v>
      </c>
      <c r="CJ171">
        <v>1</v>
      </c>
      <c r="CK171">
        <v>21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"GAB2024778"</f>
        <v>GAB2024778</v>
      </c>
      <c r="F172" s="3">
        <v>45727</v>
      </c>
      <c r="G172">
        <v>202512</v>
      </c>
      <c r="H172" t="s">
        <v>97</v>
      </c>
      <c r="I172" t="s">
        <v>98</v>
      </c>
      <c r="J172" t="s">
        <v>99</v>
      </c>
      <c r="K172" t="s">
        <v>78</v>
      </c>
      <c r="L172" t="s">
        <v>97</v>
      </c>
      <c r="M172" t="s">
        <v>98</v>
      </c>
      <c r="N172" t="s">
        <v>451</v>
      </c>
      <c r="O172" t="s">
        <v>82</v>
      </c>
      <c r="P172" t="str">
        <f>"INV-00115973 00115974 CT093061"</f>
        <v>INV-00115973 00115974 CT093061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18.79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1.8</v>
      </c>
      <c r="BK172">
        <v>2</v>
      </c>
      <c r="BL172">
        <v>56.75</v>
      </c>
      <c r="BM172">
        <v>8.51</v>
      </c>
      <c r="BN172">
        <v>65.260000000000005</v>
      </c>
      <c r="BO172">
        <v>65.260000000000005</v>
      </c>
      <c r="BQ172" t="s">
        <v>452</v>
      </c>
      <c r="BR172" t="s">
        <v>101</v>
      </c>
      <c r="BS172" s="3">
        <v>45728</v>
      </c>
      <c r="BT172" s="4">
        <v>0.3611111111111111</v>
      </c>
      <c r="BU172" t="s">
        <v>757</v>
      </c>
      <c r="BV172" t="s">
        <v>109</v>
      </c>
      <c r="BY172">
        <v>8921.6</v>
      </c>
      <c r="BZ172" t="s">
        <v>90</v>
      </c>
      <c r="CA172" t="s">
        <v>236</v>
      </c>
      <c r="CC172" t="s">
        <v>98</v>
      </c>
      <c r="CD172">
        <v>7700</v>
      </c>
      <c r="CE172" t="s">
        <v>662</v>
      </c>
      <c r="CF172" s="3">
        <v>45729</v>
      </c>
      <c r="CI172">
        <v>1</v>
      </c>
      <c r="CJ172">
        <v>1</v>
      </c>
      <c r="CK172">
        <v>22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"GAB2024781"</f>
        <v>GAB2024781</v>
      </c>
      <c r="F173" s="3">
        <v>45727</v>
      </c>
      <c r="G173">
        <v>202512</v>
      </c>
      <c r="H173" t="s">
        <v>97</v>
      </c>
      <c r="I173" t="s">
        <v>98</v>
      </c>
      <c r="J173" t="s">
        <v>99</v>
      </c>
      <c r="K173" t="s">
        <v>78</v>
      </c>
      <c r="L173" t="s">
        <v>401</v>
      </c>
      <c r="M173" t="s">
        <v>402</v>
      </c>
      <c r="N173" t="s">
        <v>758</v>
      </c>
      <c r="O173" t="s">
        <v>82</v>
      </c>
      <c r="P173" t="str">
        <f>"INV-00115956 CT093052         "</f>
        <v xml:space="preserve">INV-00115956 CT093052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67.66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3</v>
      </c>
      <c r="BK173">
        <v>3</v>
      </c>
      <c r="BL173">
        <v>204.34</v>
      </c>
      <c r="BM173">
        <v>30.65</v>
      </c>
      <c r="BN173">
        <v>234.99</v>
      </c>
      <c r="BO173">
        <v>234.99</v>
      </c>
      <c r="BQ173" t="s">
        <v>759</v>
      </c>
      <c r="BR173" t="s">
        <v>101</v>
      </c>
      <c r="BS173" s="3">
        <v>45728</v>
      </c>
      <c r="BT173" s="4">
        <v>0.44444444444444442</v>
      </c>
      <c r="BU173" t="s">
        <v>760</v>
      </c>
      <c r="BV173" t="s">
        <v>109</v>
      </c>
      <c r="BY173">
        <v>14936.16</v>
      </c>
      <c r="BZ173" t="s">
        <v>90</v>
      </c>
      <c r="CA173" t="s">
        <v>761</v>
      </c>
      <c r="CC173" t="s">
        <v>402</v>
      </c>
      <c r="CD173" s="5" t="s">
        <v>407</v>
      </c>
      <c r="CE173" t="s">
        <v>213</v>
      </c>
      <c r="CF173" s="3">
        <v>45729</v>
      </c>
      <c r="CI173">
        <v>2</v>
      </c>
      <c r="CJ173">
        <v>1</v>
      </c>
      <c r="CK173">
        <v>23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"GAB2024782"</f>
        <v>GAB2024782</v>
      </c>
      <c r="F174" s="3">
        <v>45727</v>
      </c>
      <c r="G174">
        <v>202512</v>
      </c>
      <c r="H174" t="s">
        <v>97</v>
      </c>
      <c r="I174" t="s">
        <v>98</v>
      </c>
      <c r="J174" t="s">
        <v>99</v>
      </c>
      <c r="K174" t="s">
        <v>78</v>
      </c>
      <c r="L174" t="s">
        <v>262</v>
      </c>
      <c r="M174" t="s">
        <v>263</v>
      </c>
      <c r="N174" t="s">
        <v>473</v>
      </c>
      <c r="O174" t="s">
        <v>82</v>
      </c>
      <c r="P174" t="str">
        <f>"INV-00115957 CT093049         "</f>
        <v xml:space="preserve">INV-00115957 CT093049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30.07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2.5</v>
      </c>
      <c r="BK174">
        <v>2.5</v>
      </c>
      <c r="BL174">
        <v>90.81</v>
      </c>
      <c r="BM174">
        <v>13.62</v>
      </c>
      <c r="BN174">
        <v>104.43</v>
      </c>
      <c r="BO174">
        <v>104.43</v>
      </c>
      <c r="BQ174" t="s">
        <v>474</v>
      </c>
      <c r="BR174" t="s">
        <v>101</v>
      </c>
      <c r="BS174" s="3">
        <v>45728</v>
      </c>
      <c r="BT174" s="4">
        <v>0.35555555555555557</v>
      </c>
      <c r="BU174" t="s">
        <v>762</v>
      </c>
      <c r="BV174" t="s">
        <v>109</v>
      </c>
      <c r="BY174">
        <v>12566</v>
      </c>
      <c r="BZ174" t="s">
        <v>90</v>
      </c>
      <c r="CA174" t="s">
        <v>645</v>
      </c>
      <c r="CC174" t="s">
        <v>263</v>
      </c>
      <c r="CD174" s="5" t="s">
        <v>444</v>
      </c>
      <c r="CE174" t="s">
        <v>149</v>
      </c>
      <c r="CF174" s="3">
        <v>45728</v>
      </c>
      <c r="CI174">
        <v>1</v>
      </c>
      <c r="CJ174">
        <v>1</v>
      </c>
      <c r="CK174">
        <v>21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"GAB2024783"</f>
        <v>GAB2024783</v>
      </c>
      <c r="F175" s="3">
        <v>45727</v>
      </c>
      <c r="G175">
        <v>202512</v>
      </c>
      <c r="H175" t="s">
        <v>97</v>
      </c>
      <c r="I175" t="s">
        <v>98</v>
      </c>
      <c r="J175" t="s">
        <v>99</v>
      </c>
      <c r="K175" t="s">
        <v>78</v>
      </c>
      <c r="L175" t="s">
        <v>79</v>
      </c>
      <c r="M175" t="s">
        <v>80</v>
      </c>
      <c r="N175" t="s">
        <v>119</v>
      </c>
      <c r="O175" t="s">
        <v>82</v>
      </c>
      <c r="P175" t="str">
        <f>"ATT:BIANKA                    "</f>
        <v xml:space="preserve">ATT:BIANKA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24.06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0.1</v>
      </c>
      <c r="BJ175">
        <v>1.8</v>
      </c>
      <c r="BK175">
        <v>2</v>
      </c>
      <c r="BL175">
        <v>72.66</v>
      </c>
      <c r="BM175">
        <v>10.9</v>
      </c>
      <c r="BN175">
        <v>83.56</v>
      </c>
      <c r="BO175">
        <v>83.56</v>
      </c>
      <c r="BQ175" t="s">
        <v>629</v>
      </c>
      <c r="BR175" t="s">
        <v>101</v>
      </c>
      <c r="BS175" s="3">
        <v>45728</v>
      </c>
      <c r="BT175" s="4">
        <v>0.42638888888888887</v>
      </c>
      <c r="BU175" t="s">
        <v>763</v>
      </c>
      <c r="BV175" t="s">
        <v>109</v>
      </c>
      <c r="BY175">
        <v>8843.58</v>
      </c>
      <c r="BZ175" t="s">
        <v>90</v>
      </c>
      <c r="CA175" t="s">
        <v>91</v>
      </c>
      <c r="CC175" t="s">
        <v>80</v>
      </c>
      <c r="CD175" s="5" t="s">
        <v>92</v>
      </c>
      <c r="CE175" t="s">
        <v>764</v>
      </c>
      <c r="CF175" s="3">
        <v>45728</v>
      </c>
      <c r="CI175">
        <v>1</v>
      </c>
      <c r="CJ175">
        <v>1</v>
      </c>
      <c r="CK175">
        <v>21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"GAB2024784"</f>
        <v>GAB2024784</v>
      </c>
      <c r="F176" s="3">
        <v>45727</v>
      </c>
      <c r="G176">
        <v>202512</v>
      </c>
      <c r="H176" t="s">
        <v>97</v>
      </c>
      <c r="I176" t="s">
        <v>98</v>
      </c>
      <c r="J176" t="s">
        <v>99</v>
      </c>
      <c r="K176" t="s">
        <v>78</v>
      </c>
      <c r="L176" t="s">
        <v>182</v>
      </c>
      <c r="M176" t="s">
        <v>183</v>
      </c>
      <c r="N176" t="s">
        <v>435</v>
      </c>
      <c r="O176" t="s">
        <v>82</v>
      </c>
      <c r="P176" t="str">
        <f>"ATT:LEVENE                    "</f>
        <v xml:space="preserve">ATT:LEVENE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24.06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1.3</v>
      </c>
      <c r="BK176">
        <v>1.5</v>
      </c>
      <c r="BL176">
        <v>72.66</v>
      </c>
      <c r="BM176">
        <v>10.9</v>
      </c>
      <c r="BN176">
        <v>83.56</v>
      </c>
      <c r="BO176">
        <v>83.56</v>
      </c>
      <c r="BQ176" t="s">
        <v>550</v>
      </c>
      <c r="BR176" t="s">
        <v>101</v>
      </c>
      <c r="BS176" s="3">
        <v>45730</v>
      </c>
      <c r="BT176" s="4">
        <v>0.49513888888888891</v>
      </c>
      <c r="BU176" t="s">
        <v>765</v>
      </c>
      <c r="BV176" t="s">
        <v>87</v>
      </c>
      <c r="BW176" t="s">
        <v>198</v>
      </c>
      <c r="BX176" t="s">
        <v>199</v>
      </c>
      <c r="BY176">
        <v>6281.55</v>
      </c>
      <c r="BZ176" t="s">
        <v>90</v>
      </c>
      <c r="CC176" t="s">
        <v>183</v>
      </c>
      <c r="CD176">
        <v>3610</v>
      </c>
      <c r="CE176" t="s">
        <v>123</v>
      </c>
      <c r="CF176" s="3">
        <v>45730</v>
      </c>
      <c r="CI176">
        <v>2</v>
      </c>
      <c r="CJ176">
        <v>3</v>
      </c>
      <c r="CK176">
        <v>21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"GAB2024785"</f>
        <v>GAB2024785</v>
      </c>
      <c r="F177" s="3">
        <v>45727</v>
      </c>
      <c r="G177">
        <v>202512</v>
      </c>
      <c r="H177" t="s">
        <v>97</v>
      </c>
      <c r="I177" t="s">
        <v>98</v>
      </c>
      <c r="J177" t="s">
        <v>99</v>
      </c>
      <c r="K177" t="s">
        <v>78</v>
      </c>
      <c r="L177" t="s">
        <v>519</v>
      </c>
      <c r="M177" t="s">
        <v>520</v>
      </c>
      <c r="N177" t="s">
        <v>706</v>
      </c>
      <c r="O177" t="s">
        <v>82</v>
      </c>
      <c r="P177" t="str">
        <f>"INV-00033408  0003404 030531 0"</f>
        <v>INV-00033408  0003404 030531 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30.07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0.4</v>
      </c>
      <c r="BJ177">
        <v>2.2999999999999998</v>
      </c>
      <c r="BK177">
        <v>2.5</v>
      </c>
      <c r="BL177">
        <v>90.81</v>
      </c>
      <c r="BM177">
        <v>13.62</v>
      </c>
      <c r="BN177">
        <v>104.43</v>
      </c>
      <c r="BO177">
        <v>104.43</v>
      </c>
      <c r="BQ177" t="s">
        <v>766</v>
      </c>
      <c r="BR177" t="s">
        <v>101</v>
      </c>
      <c r="BS177" s="3">
        <v>45729</v>
      </c>
      <c r="BT177" s="4">
        <v>0.375</v>
      </c>
      <c r="BU177" t="s">
        <v>767</v>
      </c>
      <c r="BV177" t="s">
        <v>109</v>
      </c>
      <c r="BY177">
        <v>11684.1</v>
      </c>
      <c r="BZ177" t="s">
        <v>90</v>
      </c>
      <c r="CA177" t="s">
        <v>709</v>
      </c>
      <c r="CC177" t="s">
        <v>520</v>
      </c>
      <c r="CD177">
        <v>6001</v>
      </c>
      <c r="CE177" t="s">
        <v>237</v>
      </c>
      <c r="CF177" s="3">
        <v>45729</v>
      </c>
      <c r="CI177">
        <v>2</v>
      </c>
      <c r="CJ177">
        <v>2</v>
      </c>
      <c r="CK177">
        <v>21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"GAB2024786"</f>
        <v>GAB2024786</v>
      </c>
      <c r="F178" s="3">
        <v>45727</v>
      </c>
      <c r="G178">
        <v>202512</v>
      </c>
      <c r="H178" t="s">
        <v>97</v>
      </c>
      <c r="I178" t="s">
        <v>98</v>
      </c>
      <c r="J178" t="s">
        <v>99</v>
      </c>
      <c r="K178" t="s">
        <v>78</v>
      </c>
      <c r="L178" t="s">
        <v>508</v>
      </c>
      <c r="M178" t="s">
        <v>509</v>
      </c>
      <c r="N178" t="s">
        <v>768</v>
      </c>
      <c r="O178" t="s">
        <v>82</v>
      </c>
      <c r="P178" t="str">
        <f>"INV-00033416 0003415 030748 03"</f>
        <v>INV-00033416 0003415 030748 03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30.07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0.1</v>
      </c>
      <c r="BJ178">
        <v>2.4</v>
      </c>
      <c r="BK178">
        <v>2.5</v>
      </c>
      <c r="BL178">
        <v>90.81</v>
      </c>
      <c r="BM178">
        <v>13.62</v>
      </c>
      <c r="BN178">
        <v>104.43</v>
      </c>
      <c r="BO178">
        <v>104.43</v>
      </c>
      <c r="BQ178" t="s">
        <v>769</v>
      </c>
      <c r="BR178" t="s">
        <v>101</v>
      </c>
      <c r="BS178" s="3">
        <v>45728</v>
      </c>
      <c r="BT178" s="4">
        <v>0.37916666666666665</v>
      </c>
      <c r="BU178" t="s">
        <v>770</v>
      </c>
      <c r="BV178" t="s">
        <v>109</v>
      </c>
      <c r="BY178">
        <v>11793.6</v>
      </c>
      <c r="BZ178" t="s">
        <v>90</v>
      </c>
      <c r="CA178" t="s">
        <v>771</v>
      </c>
      <c r="CC178" t="s">
        <v>509</v>
      </c>
      <c r="CD178">
        <v>1541</v>
      </c>
      <c r="CE178" t="s">
        <v>137</v>
      </c>
      <c r="CF178" s="3">
        <v>45729</v>
      </c>
      <c r="CI178">
        <v>1</v>
      </c>
      <c r="CJ178">
        <v>1</v>
      </c>
      <c r="CK178">
        <v>21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"GAB2024788"</f>
        <v>GAB2024788</v>
      </c>
      <c r="F179" s="3">
        <v>45727</v>
      </c>
      <c r="G179">
        <v>202512</v>
      </c>
      <c r="H179" t="s">
        <v>97</v>
      </c>
      <c r="I179" t="s">
        <v>98</v>
      </c>
      <c r="J179" t="s">
        <v>99</v>
      </c>
      <c r="K179" t="s">
        <v>78</v>
      </c>
      <c r="L179" t="s">
        <v>262</v>
      </c>
      <c r="M179" t="s">
        <v>263</v>
      </c>
      <c r="N179" t="s">
        <v>642</v>
      </c>
      <c r="O179" t="s">
        <v>82</v>
      </c>
      <c r="P179" t="str">
        <f>"INV-00033419 030902           "</f>
        <v xml:space="preserve">INV-00033419 030902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24.06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1.7</v>
      </c>
      <c r="BK179">
        <v>2</v>
      </c>
      <c r="BL179">
        <v>72.66</v>
      </c>
      <c r="BM179">
        <v>10.9</v>
      </c>
      <c r="BN179">
        <v>83.56</v>
      </c>
      <c r="BO179">
        <v>83.56</v>
      </c>
      <c r="BQ179" t="s">
        <v>643</v>
      </c>
      <c r="BR179" t="s">
        <v>101</v>
      </c>
      <c r="BS179" s="3">
        <v>45728</v>
      </c>
      <c r="BT179" s="4">
        <v>0.44027777777777777</v>
      </c>
      <c r="BU179" t="s">
        <v>772</v>
      </c>
      <c r="BV179" t="s">
        <v>87</v>
      </c>
      <c r="BW179" t="s">
        <v>88</v>
      </c>
      <c r="BX179" t="s">
        <v>89</v>
      </c>
      <c r="BY179">
        <v>8519.0400000000009</v>
      </c>
      <c r="BZ179" t="s">
        <v>90</v>
      </c>
      <c r="CC179" t="s">
        <v>263</v>
      </c>
      <c r="CD179" s="5" t="s">
        <v>444</v>
      </c>
      <c r="CE179" t="s">
        <v>169</v>
      </c>
      <c r="CF179" s="3">
        <v>45728</v>
      </c>
      <c r="CI179">
        <v>1</v>
      </c>
      <c r="CJ179">
        <v>1</v>
      </c>
      <c r="CK179">
        <v>21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"GAB2024789"</f>
        <v>GAB2024789</v>
      </c>
      <c r="F180" s="3">
        <v>45727</v>
      </c>
      <c r="G180">
        <v>202512</v>
      </c>
      <c r="H180" t="s">
        <v>97</v>
      </c>
      <c r="I180" t="s">
        <v>98</v>
      </c>
      <c r="J180" t="s">
        <v>99</v>
      </c>
      <c r="K180" t="s">
        <v>78</v>
      </c>
      <c r="L180" t="s">
        <v>262</v>
      </c>
      <c r="M180" t="s">
        <v>263</v>
      </c>
      <c r="N180" t="s">
        <v>773</v>
      </c>
      <c r="O180" t="s">
        <v>82</v>
      </c>
      <c r="P180" t="str">
        <f>"INV-00033418 030938           "</f>
        <v xml:space="preserve">INV-00033418 030938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36.08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2.9</v>
      </c>
      <c r="BK180">
        <v>3</v>
      </c>
      <c r="BL180">
        <v>108.96</v>
      </c>
      <c r="BM180">
        <v>16.34</v>
      </c>
      <c r="BN180">
        <v>125.3</v>
      </c>
      <c r="BO180">
        <v>125.3</v>
      </c>
      <c r="BQ180" t="s">
        <v>356</v>
      </c>
      <c r="BR180" t="s">
        <v>101</v>
      </c>
      <c r="BS180" s="3">
        <v>45728</v>
      </c>
      <c r="BT180" s="4">
        <v>0.4236111111111111</v>
      </c>
      <c r="BU180" t="s">
        <v>774</v>
      </c>
      <c r="BV180" t="s">
        <v>109</v>
      </c>
      <c r="BY180">
        <v>14302.98</v>
      </c>
      <c r="BZ180" t="s">
        <v>90</v>
      </c>
      <c r="CA180" t="s">
        <v>775</v>
      </c>
      <c r="CC180" t="s">
        <v>263</v>
      </c>
      <c r="CD180" s="5" t="s">
        <v>776</v>
      </c>
      <c r="CE180" t="s">
        <v>129</v>
      </c>
      <c r="CF180" s="3">
        <v>45728</v>
      </c>
      <c r="CI180">
        <v>1</v>
      </c>
      <c r="CJ180">
        <v>1</v>
      </c>
      <c r="CK180">
        <v>21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"GAB2024791"</f>
        <v>GAB2024791</v>
      </c>
      <c r="F181" s="3">
        <v>45727</v>
      </c>
      <c r="G181">
        <v>202512</v>
      </c>
      <c r="H181" t="s">
        <v>97</v>
      </c>
      <c r="I181" t="s">
        <v>98</v>
      </c>
      <c r="J181" t="s">
        <v>99</v>
      </c>
      <c r="K181" t="s">
        <v>78</v>
      </c>
      <c r="L181" t="s">
        <v>144</v>
      </c>
      <c r="M181" t="s">
        <v>145</v>
      </c>
      <c r="N181" t="s">
        <v>146</v>
      </c>
      <c r="O181" t="s">
        <v>82</v>
      </c>
      <c r="P181" t="str">
        <f>"INV-00033414 030900           "</f>
        <v xml:space="preserve">INV-00033414 030900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57.13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2.5</v>
      </c>
      <c r="BK181">
        <v>2.5</v>
      </c>
      <c r="BL181">
        <v>172.55</v>
      </c>
      <c r="BM181">
        <v>25.88</v>
      </c>
      <c r="BN181">
        <v>198.43</v>
      </c>
      <c r="BO181">
        <v>198.43</v>
      </c>
      <c r="BQ181" t="s">
        <v>147</v>
      </c>
      <c r="BR181" t="s">
        <v>101</v>
      </c>
      <c r="BS181" s="3">
        <v>45728</v>
      </c>
      <c r="BT181" s="4">
        <v>0.5</v>
      </c>
      <c r="BU181" t="s">
        <v>777</v>
      </c>
      <c r="BV181" t="s">
        <v>109</v>
      </c>
      <c r="BY181">
        <v>12445.92</v>
      </c>
      <c r="BZ181" t="s">
        <v>90</v>
      </c>
      <c r="CA181" t="s">
        <v>778</v>
      </c>
      <c r="CC181" t="s">
        <v>145</v>
      </c>
      <c r="CD181">
        <v>1055</v>
      </c>
      <c r="CE181" t="s">
        <v>129</v>
      </c>
      <c r="CF181" s="3">
        <v>45728</v>
      </c>
      <c r="CI181">
        <v>1</v>
      </c>
      <c r="CJ181">
        <v>1</v>
      </c>
      <c r="CK181">
        <v>23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"GAB2024792"</f>
        <v>GAB2024792</v>
      </c>
      <c r="F182" s="3">
        <v>45727</v>
      </c>
      <c r="G182">
        <v>202512</v>
      </c>
      <c r="H182" t="s">
        <v>97</v>
      </c>
      <c r="I182" t="s">
        <v>98</v>
      </c>
      <c r="J182" t="s">
        <v>99</v>
      </c>
      <c r="K182" t="s">
        <v>78</v>
      </c>
      <c r="L182" t="s">
        <v>75</v>
      </c>
      <c r="M182" t="s">
        <v>76</v>
      </c>
      <c r="N182" t="s">
        <v>779</v>
      </c>
      <c r="O182" t="s">
        <v>82</v>
      </c>
      <c r="P182" t="str">
        <f>"INV-00033412 030616           "</f>
        <v xml:space="preserve">INV-00033412 030616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36.08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0.1</v>
      </c>
      <c r="BJ182">
        <v>2.8</v>
      </c>
      <c r="BK182">
        <v>3</v>
      </c>
      <c r="BL182">
        <v>108.96</v>
      </c>
      <c r="BM182">
        <v>16.34</v>
      </c>
      <c r="BN182">
        <v>125.3</v>
      </c>
      <c r="BO182">
        <v>125.3</v>
      </c>
      <c r="BQ182" t="s">
        <v>780</v>
      </c>
      <c r="BR182" t="s">
        <v>101</v>
      </c>
      <c r="BS182" s="3">
        <v>45729</v>
      </c>
      <c r="BT182" s="4">
        <v>0.41666666666666669</v>
      </c>
      <c r="BU182" t="s">
        <v>781</v>
      </c>
      <c r="BV182" t="s">
        <v>109</v>
      </c>
      <c r="BY182">
        <v>14176.8</v>
      </c>
      <c r="BZ182" t="s">
        <v>90</v>
      </c>
      <c r="CA182" t="s">
        <v>782</v>
      </c>
      <c r="CC182" t="s">
        <v>76</v>
      </c>
      <c r="CD182">
        <v>4092</v>
      </c>
      <c r="CE182" t="s">
        <v>149</v>
      </c>
      <c r="CF182" s="3">
        <v>45730</v>
      </c>
      <c r="CI182">
        <v>2</v>
      </c>
      <c r="CJ182">
        <v>2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"GAB2024793"</f>
        <v>GAB2024793</v>
      </c>
      <c r="F183" s="3">
        <v>45727</v>
      </c>
      <c r="G183">
        <v>202512</v>
      </c>
      <c r="H183" t="s">
        <v>97</v>
      </c>
      <c r="I183" t="s">
        <v>98</v>
      </c>
      <c r="J183" t="s">
        <v>99</v>
      </c>
      <c r="K183" t="s">
        <v>78</v>
      </c>
      <c r="L183" t="s">
        <v>97</v>
      </c>
      <c r="M183" t="s">
        <v>98</v>
      </c>
      <c r="N183" t="s">
        <v>233</v>
      </c>
      <c r="O183" t="s">
        <v>82</v>
      </c>
      <c r="P183" t="str">
        <f>"INV-00033410 030598           "</f>
        <v xml:space="preserve">INV-00033410 030598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18.79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</v>
      </c>
      <c r="BK183">
        <v>2</v>
      </c>
      <c r="BL183">
        <v>56.75</v>
      </c>
      <c r="BM183">
        <v>8.51</v>
      </c>
      <c r="BN183">
        <v>65.260000000000005</v>
      </c>
      <c r="BO183">
        <v>65.260000000000005</v>
      </c>
      <c r="BQ183" t="s">
        <v>783</v>
      </c>
      <c r="BR183" t="s">
        <v>101</v>
      </c>
      <c r="BS183" s="3">
        <v>45729</v>
      </c>
      <c r="BT183" s="4">
        <v>0.5756944444444444</v>
      </c>
      <c r="BU183" t="s">
        <v>784</v>
      </c>
      <c r="BV183" t="s">
        <v>87</v>
      </c>
      <c r="BY183">
        <v>10068.75</v>
      </c>
      <c r="BZ183" t="s">
        <v>90</v>
      </c>
      <c r="CA183" t="s">
        <v>785</v>
      </c>
      <c r="CC183" t="s">
        <v>98</v>
      </c>
      <c r="CD183">
        <v>7708</v>
      </c>
      <c r="CE183" t="s">
        <v>213</v>
      </c>
      <c r="CI183">
        <v>1</v>
      </c>
      <c r="CJ183">
        <v>2</v>
      </c>
      <c r="CK183">
        <v>22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"GAB2024794"</f>
        <v>GAB2024794</v>
      </c>
      <c r="F184" s="3">
        <v>45727</v>
      </c>
      <c r="G184">
        <v>202512</v>
      </c>
      <c r="H184" t="s">
        <v>97</v>
      </c>
      <c r="I184" t="s">
        <v>98</v>
      </c>
      <c r="J184" t="s">
        <v>99</v>
      </c>
      <c r="K184" t="s">
        <v>78</v>
      </c>
      <c r="L184" t="s">
        <v>786</v>
      </c>
      <c r="M184" t="s">
        <v>787</v>
      </c>
      <c r="N184" t="s">
        <v>788</v>
      </c>
      <c r="O184" t="s">
        <v>82</v>
      </c>
      <c r="P184" t="str">
        <f>"INV-00033409 030715           "</f>
        <v xml:space="preserve">INV-00033409 030715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46.61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1.8</v>
      </c>
      <c r="BK184">
        <v>2</v>
      </c>
      <c r="BL184">
        <v>140.77000000000001</v>
      </c>
      <c r="BM184">
        <v>21.12</v>
      </c>
      <c r="BN184">
        <v>161.88999999999999</v>
      </c>
      <c r="BO184">
        <v>161.88999999999999</v>
      </c>
      <c r="BQ184" t="s">
        <v>789</v>
      </c>
      <c r="BR184" t="s">
        <v>101</v>
      </c>
      <c r="BS184" s="3">
        <v>45728</v>
      </c>
      <c r="BT184" s="4">
        <v>0.35694444444444445</v>
      </c>
      <c r="BU184" t="s">
        <v>790</v>
      </c>
      <c r="BV184" t="s">
        <v>109</v>
      </c>
      <c r="BY184">
        <v>8791.74</v>
      </c>
      <c r="BZ184" t="s">
        <v>90</v>
      </c>
      <c r="CA184" t="s">
        <v>791</v>
      </c>
      <c r="CC184" t="s">
        <v>787</v>
      </c>
      <c r="CD184">
        <v>2570</v>
      </c>
      <c r="CE184" t="s">
        <v>792</v>
      </c>
      <c r="CF184" s="3">
        <v>45729</v>
      </c>
      <c r="CI184">
        <v>2</v>
      </c>
      <c r="CJ184">
        <v>1</v>
      </c>
      <c r="CK184">
        <v>23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"GAB2024795"</f>
        <v>GAB2024795</v>
      </c>
      <c r="F185" s="3">
        <v>45727</v>
      </c>
      <c r="G185">
        <v>202512</v>
      </c>
      <c r="H185" t="s">
        <v>97</v>
      </c>
      <c r="I185" t="s">
        <v>98</v>
      </c>
      <c r="J185" t="s">
        <v>99</v>
      </c>
      <c r="K185" t="s">
        <v>78</v>
      </c>
      <c r="L185" t="s">
        <v>75</v>
      </c>
      <c r="M185" t="s">
        <v>76</v>
      </c>
      <c r="N185" t="s">
        <v>793</v>
      </c>
      <c r="O185" t="s">
        <v>82</v>
      </c>
      <c r="P185" t="str">
        <f>"INV-00033407 030410           "</f>
        <v xml:space="preserve">INV-00033407 030410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30.07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2.2999999999999998</v>
      </c>
      <c r="BK185">
        <v>2.5</v>
      </c>
      <c r="BL185">
        <v>90.81</v>
      </c>
      <c r="BM185">
        <v>13.62</v>
      </c>
      <c r="BN185">
        <v>104.43</v>
      </c>
      <c r="BO185">
        <v>104.43</v>
      </c>
      <c r="BQ185" t="s">
        <v>794</v>
      </c>
      <c r="BR185" t="s">
        <v>101</v>
      </c>
      <c r="BS185" s="3">
        <v>45729</v>
      </c>
      <c r="BT185" s="4">
        <v>0.6</v>
      </c>
      <c r="BU185" t="s">
        <v>795</v>
      </c>
      <c r="BV185" t="s">
        <v>87</v>
      </c>
      <c r="BW185" t="s">
        <v>187</v>
      </c>
      <c r="BX185" t="s">
        <v>278</v>
      </c>
      <c r="BY185">
        <v>11716.78</v>
      </c>
      <c r="BZ185" t="s">
        <v>90</v>
      </c>
      <c r="CA185" t="s">
        <v>796</v>
      </c>
      <c r="CC185" t="s">
        <v>76</v>
      </c>
      <c r="CD185">
        <v>4080</v>
      </c>
      <c r="CE185" t="s">
        <v>149</v>
      </c>
      <c r="CF185" s="3">
        <v>45730</v>
      </c>
      <c r="CI185">
        <v>2</v>
      </c>
      <c r="CJ185">
        <v>2</v>
      </c>
      <c r="CK185">
        <v>21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"GAB2024797"</f>
        <v>GAB2024797</v>
      </c>
      <c r="F186" s="3">
        <v>45727</v>
      </c>
      <c r="G186">
        <v>202512</v>
      </c>
      <c r="H186" t="s">
        <v>97</v>
      </c>
      <c r="I186" t="s">
        <v>98</v>
      </c>
      <c r="J186" t="s">
        <v>99</v>
      </c>
      <c r="K186" t="s">
        <v>78</v>
      </c>
      <c r="L186" t="s">
        <v>408</v>
      </c>
      <c r="M186" t="s">
        <v>409</v>
      </c>
      <c r="N186" t="s">
        <v>797</v>
      </c>
      <c r="O186" t="s">
        <v>82</v>
      </c>
      <c r="P186" t="str">
        <f>"INV-00033403 030935           "</f>
        <v xml:space="preserve">INV-00033403 030935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42.08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0.4</v>
      </c>
      <c r="BJ186">
        <v>3.2</v>
      </c>
      <c r="BK186">
        <v>3.5</v>
      </c>
      <c r="BL186">
        <v>127.1</v>
      </c>
      <c r="BM186">
        <v>19.07</v>
      </c>
      <c r="BN186">
        <v>146.16999999999999</v>
      </c>
      <c r="BO186">
        <v>146.16999999999999</v>
      </c>
      <c r="BQ186" t="s">
        <v>798</v>
      </c>
      <c r="BR186" t="s">
        <v>101</v>
      </c>
      <c r="BS186" s="3">
        <v>45728</v>
      </c>
      <c r="BT186" s="4">
        <v>0.34027777777777779</v>
      </c>
      <c r="BU186" t="s">
        <v>799</v>
      </c>
      <c r="BV186" t="s">
        <v>109</v>
      </c>
      <c r="BY186">
        <v>15968.7</v>
      </c>
      <c r="BZ186" t="s">
        <v>90</v>
      </c>
      <c r="CA186" t="s">
        <v>800</v>
      </c>
      <c r="CC186" t="s">
        <v>409</v>
      </c>
      <c r="CD186">
        <v>1501</v>
      </c>
      <c r="CE186" t="s">
        <v>352</v>
      </c>
      <c r="CF186" s="3">
        <v>45728</v>
      </c>
      <c r="CI186">
        <v>1</v>
      </c>
      <c r="CJ186">
        <v>1</v>
      </c>
      <c r="CK186">
        <v>21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"GAB2024798"</f>
        <v>GAB2024798</v>
      </c>
      <c r="F187" s="3">
        <v>45727</v>
      </c>
      <c r="G187">
        <v>202512</v>
      </c>
      <c r="H187" t="s">
        <v>97</v>
      </c>
      <c r="I187" t="s">
        <v>98</v>
      </c>
      <c r="J187" t="s">
        <v>99</v>
      </c>
      <c r="K187" t="s">
        <v>78</v>
      </c>
      <c r="L187" t="s">
        <v>502</v>
      </c>
      <c r="M187" t="s">
        <v>503</v>
      </c>
      <c r="N187" t="s">
        <v>801</v>
      </c>
      <c r="O187" t="s">
        <v>82</v>
      </c>
      <c r="P187" t="str">
        <f>"INV-00033402 030889           "</f>
        <v xml:space="preserve">INV-00033402 030889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36.08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0.1</v>
      </c>
      <c r="BJ187">
        <v>2.7</v>
      </c>
      <c r="BK187">
        <v>3</v>
      </c>
      <c r="BL187">
        <v>108.96</v>
      </c>
      <c r="BM187">
        <v>16.34</v>
      </c>
      <c r="BN187">
        <v>125.3</v>
      </c>
      <c r="BO187">
        <v>125.3</v>
      </c>
      <c r="BQ187" t="s">
        <v>802</v>
      </c>
      <c r="BR187" t="s">
        <v>101</v>
      </c>
      <c r="BS187" s="3">
        <v>45729</v>
      </c>
      <c r="BT187" s="4">
        <v>0.45277777777777778</v>
      </c>
      <c r="BU187" t="s">
        <v>803</v>
      </c>
      <c r="BV187" t="s">
        <v>87</v>
      </c>
      <c r="BY187">
        <v>13729.28</v>
      </c>
      <c r="BZ187" t="s">
        <v>90</v>
      </c>
      <c r="CA187" t="s">
        <v>804</v>
      </c>
      <c r="CC187" t="s">
        <v>503</v>
      </c>
      <c r="CD187">
        <v>5200</v>
      </c>
      <c r="CE187" t="s">
        <v>149</v>
      </c>
      <c r="CF187" s="3">
        <v>45730</v>
      </c>
      <c r="CI187">
        <v>1</v>
      </c>
      <c r="CJ187">
        <v>2</v>
      </c>
      <c r="CK187">
        <v>21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"GAB2024799"</f>
        <v>GAB2024799</v>
      </c>
      <c r="F188" s="3">
        <v>45727</v>
      </c>
      <c r="G188">
        <v>202512</v>
      </c>
      <c r="H188" t="s">
        <v>97</v>
      </c>
      <c r="I188" t="s">
        <v>98</v>
      </c>
      <c r="J188" t="s">
        <v>99</v>
      </c>
      <c r="K188" t="s">
        <v>78</v>
      </c>
      <c r="L188" t="s">
        <v>429</v>
      </c>
      <c r="M188" t="s">
        <v>430</v>
      </c>
      <c r="N188" t="s">
        <v>805</v>
      </c>
      <c r="O188" t="s">
        <v>82</v>
      </c>
      <c r="P188" t="str">
        <f>"INV-00033406 00033417 030467 0"</f>
        <v>INV-00033406 00033417 030467 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24.06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0.6</v>
      </c>
      <c r="BJ188">
        <v>1.7</v>
      </c>
      <c r="BK188">
        <v>2</v>
      </c>
      <c r="BL188">
        <v>72.66</v>
      </c>
      <c r="BM188">
        <v>10.9</v>
      </c>
      <c r="BN188">
        <v>83.56</v>
      </c>
      <c r="BO188">
        <v>83.56</v>
      </c>
      <c r="BQ188" t="s">
        <v>806</v>
      </c>
      <c r="BR188" t="s">
        <v>101</v>
      </c>
      <c r="BS188" s="3">
        <v>45728</v>
      </c>
      <c r="BT188" s="4">
        <v>0.35625000000000001</v>
      </c>
      <c r="BU188" t="s">
        <v>807</v>
      </c>
      <c r="BV188" t="s">
        <v>109</v>
      </c>
      <c r="BY188">
        <v>8721</v>
      </c>
      <c r="BZ188" t="s">
        <v>90</v>
      </c>
      <c r="CA188" t="s">
        <v>808</v>
      </c>
      <c r="CC188" t="s">
        <v>430</v>
      </c>
      <c r="CD188">
        <v>1619</v>
      </c>
      <c r="CE188" t="s">
        <v>224</v>
      </c>
      <c r="CF188" s="3">
        <v>45728</v>
      </c>
      <c r="CI188">
        <v>1</v>
      </c>
      <c r="CJ188">
        <v>1</v>
      </c>
      <c r="CK188">
        <v>21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"GAB2024800"</f>
        <v>GAB2024800</v>
      </c>
      <c r="F189" s="3">
        <v>45727</v>
      </c>
      <c r="G189">
        <v>202512</v>
      </c>
      <c r="H189" t="s">
        <v>97</v>
      </c>
      <c r="I189" t="s">
        <v>98</v>
      </c>
      <c r="J189" t="s">
        <v>99</v>
      </c>
      <c r="K189" t="s">
        <v>78</v>
      </c>
      <c r="L189" t="s">
        <v>502</v>
      </c>
      <c r="M189" t="s">
        <v>503</v>
      </c>
      <c r="N189" t="s">
        <v>809</v>
      </c>
      <c r="O189" t="s">
        <v>82</v>
      </c>
      <c r="P189" t="str">
        <f>"INV-00033413 00033405 030492 0"</f>
        <v>INV-00033413 00033405 030492 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36.08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2.6</v>
      </c>
      <c r="BK189">
        <v>3</v>
      </c>
      <c r="BL189">
        <v>108.96</v>
      </c>
      <c r="BM189">
        <v>16.34</v>
      </c>
      <c r="BN189">
        <v>125.3</v>
      </c>
      <c r="BO189">
        <v>125.3</v>
      </c>
      <c r="BQ189" t="s">
        <v>810</v>
      </c>
      <c r="BR189" t="s">
        <v>101</v>
      </c>
      <c r="BS189" s="3">
        <v>45729</v>
      </c>
      <c r="BT189" s="4">
        <v>0.47152777777777777</v>
      </c>
      <c r="BU189" t="s">
        <v>811</v>
      </c>
      <c r="BV189" t="s">
        <v>87</v>
      </c>
      <c r="BY189">
        <v>12956.76</v>
      </c>
      <c r="BZ189" t="s">
        <v>90</v>
      </c>
      <c r="CA189" t="s">
        <v>812</v>
      </c>
      <c r="CC189" t="s">
        <v>503</v>
      </c>
      <c r="CD189">
        <v>5213</v>
      </c>
      <c r="CE189" t="s">
        <v>137</v>
      </c>
      <c r="CF189" s="3">
        <v>45730</v>
      </c>
      <c r="CI189">
        <v>1</v>
      </c>
      <c r="CJ189">
        <v>2</v>
      </c>
      <c r="CK189">
        <v>21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"GAB2024802"</f>
        <v>GAB2024802</v>
      </c>
      <c r="F190" s="3">
        <v>45727</v>
      </c>
      <c r="G190">
        <v>202512</v>
      </c>
      <c r="H190" t="s">
        <v>97</v>
      </c>
      <c r="I190" t="s">
        <v>98</v>
      </c>
      <c r="J190" t="s">
        <v>99</v>
      </c>
      <c r="K190" t="s">
        <v>78</v>
      </c>
      <c r="L190" t="s">
        <v>244</v>
      </c>
      <c r="M190" t="s">
        <v>245</v>
      </c>
      <c r="N190" t="s">
        <v>723</v>
      </c>
      <c r="O190" t="s">
        <v>82</v>
      </c>
      <c r="P190" t="str">
        <f>"INV-00115986 CT091544         "</f>
        <v xml:space="preserve">INV-00115986 CT091544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46.61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1.6</v>
      </c>
      <c r="BK190">
        <v>2</v>
      </c>
      <c r="BL190">
        <v>140.77000000000001</v>
      </c>
      <c r="BM190">
        <v>21.12</v>
      </c>
      <c r="BN190">
        <v>161.88999999999999</v>
      </c>
      <c r="BO190">
        <v>161.88999999999999</v>
      </c>
      <c r="BQ190" t="s">
        <v>724</v>
      </c>
      <c r="BR190" t="s">
        <v>101</v>
      </c>
      <c r="BS190" s="3">
        <v>45728</v>
      </c>
      <c r="BT190" s="4">
        <v>0.41875000000000001</v>
      </c>
      <c r="BU190" t="s">
        <v>725</v>
      </c>
      <c r="BV190" t="s">
        <v>109</v>
      </c>
      <c r="BY190">
        <v>7933.05</v>
      </c>
      <c r="BZ190" t="s">
        <v>90</v>
      </c>
      <c r="CA190" t="s">
        <v>514</v>
      </c>
      <c r="CC190" t="s">
        <v>245</v>
      </c>
      <c r="CD190" s="5" t="s">
        <v>249</v>
      </c>
      <c r="CE190" t="s">
        <v>149</v>
      </c>
      <c r="CF190" s="3">
        <v>45729</v>
      </c>
      <c r="CI190">
        <v>2</v>
      </c>
      <c r="CJ190">
        <v>1</v>
      </c>
      <c r="CK190">
        <v>23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"GAB2024804"</f>
        <v>GAB2024804</v>
      </c>
      <c r="F191" s="3">
        <v>45727</v>
      </c>
      <c r="G191">
        <v>202512</v>
      </c>
      <c r="H191" t="s">
        <v>97</v>
      </c>
      <c r="I191" t="s">
        <v>98</v>
      </c>
      <c r="J191" t="s">
        <v>99</v>
      </c>
      <c r="K191" t="s">
        <v>78</v>
      </c>
      <c r="L191" t="s">
        <v>244</v>
      </c>
      <c r="M191" t="s">
        <v>245</v>
      </c>
      <c r="N191" t="s">
        <v>246</v>
      </c>
      <c r="O191" t="s">
        <v>82</v>
      </c>
      <c r="P191" t="str">
        <f>"INV-0115985 CT092764          "</f>
        <v xml:space="preserve">INV-0115985 CT092764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46.61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1.7</v>
      </c>
      <c r="BK191">
        <v>2</v>
      </c>
      <c r="BL191">
        <v>140.77000000000001</v>
      </c>
      <c r="BM191">
        <v>21.12</v>
      </c>
      <c r="BN191">
        <v>161.88999999999999</v>
      </c>
      <c r="BO191">
        <v>161.88999999999999</v>
      </c>
      <c r="BQ191" t="s">
        <v>247</v>
      </c>
      <c r="BR191" t="s">
        <v>101</v>
      </c>
      <c r="BS191" s="3">
        <v>45729</v>
      </c>
      <c r="BT191" s="4">
        <v>0.38263888888888886</v>
      </c>
      <c r="BU191" t="s">
        <v>386</v>
      </c>
      <c r="BV191" t="s">
        <v>109</v>
      </c>
      <c r="BY191">
        <v>8714.16</v>
      </c>
      <c r="BZ191" t="s">
        <v>90</v>
      </c>
      <c r="CA191" t="s">
        <v>387</v>
      </c>
      <c r="CC191" t="s">
        <v>245</v>
      </c>
      <c r="CD191" s="5" t="s">
        <v>249</v>
      </c>
      <c r="CE191" t="s">
        <v>149</v>
      </c>
      <c r="CF191" s="3">
        <v>45730</v>
      </c>
      <c r="CI191">
        <v>2</v>
      </c>
      <c r="CJ191">
        <v>2</v>
      </c>
      <c r="CK191">
        <v>23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"gab2024803"</f>
        <v>gab2024803</v>
      </c>
      <c r="F192" s="3">
        <v>45727</v>
      </c>
      <c r="G192">
        <v>202512</v>
      </c>
      <c r="H192" t="s">
        <v>97</v>
      </c>
      <c r="I192" t="s">
        <v>98</v>
      </c>
      <c r="J192" t="s">
        <v>119</v>
      </c>
      <c r="K192" t="s">
        <v>78</v>
      </c>
      <c r="L192" t="s">
        <v>540</v>
      </c>
      <c r="M192" t="s">
        <v>541</v>
      </c>
      <c r="N192" t="s">
        <v>813</v>
      </c>
      <c r="O192" t="s">
        <v>82</v>
      </c>
      <c r="P192" t="str">
        <f>"INV-00033410                  "</f>
        <v xml:space="preserve">INV-00033410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78.180000000000007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3.4</v>
      </c>
      <c r="BK192">
        <v>3.5</v>
      </c>
      <c r="BL192">
        <v>236.12</v>
      </c>
      <c r="BM192">
        <v>35.42</v>
      </c>
      <c r="BN192">
        <v>271.54000000000002</v>
      </c>
      <c r="BO192">
        <v>271.54000000000002</v>
      </c>
      <c r="BQ192" t="s">
        <v>783</v>
      </c>
      <c r="BR192" t="s">
        <v>617</v>
      </c>
      <c r="BS192" s="3">
        <v>45728</v>
      </c>
      <c r="BT192" s="4">
        <v>0.60416666666666663</v>
      </c>
      <c r="BU192" t="s">
        <v>544</v>
      </c>
      <c r="BV192" t="s">
        <v>109</v>
      </c>
      <c r="BY192">
        <v>17136</v>
      </c>
      <c r="BZ192" t="s">
        <v>90</v>
      </c>
      <c r="CC192" t="s">
        <v>541</v>
      </c>
      <c r="CD192">
        <v>6500</v>
      </c>
      <c r="CE192" t="s">
        <v>265</v>
      </c>
      <c r="CF192" s="3">
        <v>45729</v>
      </c>
      <c r="CI192">
        <v>1</v>
      </c>
      <c r="CJ192">
        <v>1</v>
      </c>
      <c r="CK192">
        <v>23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"009944695120"</f>
        <v>009944695120</v>
      </c>
      <c r="F193" s="3">
        <v>45727</v>
      </c>
      <c r="G193">
        <v>202512</v>
      </c>
      <c r="H193" t="s">
        <v>79</v>
      </c>
      <c r="I193" t="s">
        <v>80</v>
      </c>
      <c r="J193" t="s">
        <v>194</v>
      </c>
      <c r="K193" t="s">
        <v>78</v>
      </c>
      <c r="L193" t="s">
        <v>112</v>
      </c>
      <c r="M193" t="s">
        <v>113</v>
      </c>
      <c r="N193" t="s">
        <v>548</v>
      </c>
      <c r="O193" t="s">
        <v>82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48.09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4</v>
      </c>
      <c r="BJ193">
        <v>1.9</v>
      </c>
      <c r="BK193">
        <v>4</v>
      </c>
      <c r="BL193">
        <v>145.25</v>
      </c>
      <c r="BM193">
        <v>21.79</v>
      </c>
      <c r="BN193">
        <v>167.04</v>
      </c>
      <c r="BO193">
        <v>167.04</v>
      </c>
      <c r="BQ193" t="s">
        <v>814</v>
      </c>
      <c r="BR193" t="s">
        <v>258</v>
      </c>
      <c r="BS193" s="3">
        <v>45733</v>
      </c>
      <c r="BT193" s="4">
        <v>0.43055555555555558</v>
      </c>
      <c r="BU193" t="s">
        <v>179</v>
      </c>
      <c r="BV193" t="s">
        <v>87</v>
      </c>
      <c r="BW193" t="s">
        <v>180</v>
      </c>
      <c r="BX193" t="s">
        <v>181</v>
      </c>
      <c r="BY193">
        <v>9600</v>
      </c>
      <c r="BZ193" t="s">
        <v>90</v>
      </c>
      <c r="CC193" t="s">
        <v>113</v>
      </c>
      <c r="CD193">
        <v>9300</v>
      </c>
      <c r="CE193" t="s">
        <v>265</v>
      </c>
      <c r="CF193" s="3">
        <v>45734</v>
      </c>
      <c r="CI193">
        <v>1</v>
      </c>
      <c r="CJ193">
        <v>4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"009944695119"</f>
        <v>009944695119</v>
      </c>
      <c r="F194" s="3">
        <v>45727</v>
      </c>
      <c r="G194">
        <v>202512</v>
      </c>
      <c r="H194" t="s">
        <v>79</v>
      </c>
      <c r="I194" t="s">
        <v>80</v>
      </c>
      <c r="J194" t="s">
        <v>194</v>
      </c>
      <c r="K194" t="s">
        <v>78</v>
      </c>
      <c r="L194" t="s">
        <v>97</v>
      </c>
      <c r="M194" t="s">
        <v>98</v>
      </c>
      <c r="N194" t="s">
        <v>548</v>
      </c>
      <c r="O194" t="s">
        <v>82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24.06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72.66</v>
      </c>
      <c r="BM194">
        <v>10.9</v>
      </c>
      <c r="BN194">
        <v>83.56</v>
      </c>
      <c r="BO194">
        <v>83.56</v>
      </c>
      <c r="BQ194" t="s">
        <v>815</v>
      </c>
      <c r="BR194" t="s">
        <v>816</v>
      </c>
      <c r="BS194" s="3">
        <v>45729</v>
      </c>
      <c r="BT194" s="4">
        <v>0.43055555555555558</v>
      </c>
      <c r="BU194" t="s">
        <v>817</v>
      </c>
      <c r="BV194" t="s">
        <v>87</v>
      </c>
      <c r="BY194">
        <v>1200</v>
      </c>
      <c r="BZ194" t="s">
        <v>90</v>
      </c>
      <c r="CA194" t="s">
        <v>104</v>
      </c>
      <c r="CC194" t="s">
        <v>98</v>
      </c>
      <c r="CD194">
        <v>7460</v>
      </c>
      <c r="CE194" t="s">
        <v>265</v>
      </c>
      <c r="CF194" s="3">
        <v>45730</v>
      </c>
      <c r="CI194">
        <v>1</v>
      </c>
      <c r="CJ194">
        <v>2</v>
      </c>
      <c r="CK194">
        <v>21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"GAB2024805"</f>
        <v>GAB2024805</v>
      </c>
      <c r="F195" s="3">
        <v>45728</v>
      </c>
      <c r="G195">
        <v>202512</v>
      </c>
      <c r="H195" t="s">
        <v>97</v>
      </c>
      <c r="I195" t="s">
        <v>98</v>
      </c>
      <c r="J195" t="s">
        <v>99</v>
      </c>
      <c r="K195" t="s">
        <v>78</v>
      </c>
      <c r="L195" t="s">
        <v>540</v>
      </c>
      <c r="M195" t="s">
        <v>541</v>
      </c>
      <c r="N195" t="s">
        <v>818</v>
      </c>
      <c r="O195" t="s">
        <v>82</v>
      </c>
      <c r="P195" t="str">
        <f>"inv-00033458 030330           "</f>
        <v xml:space="preserve">inv-00033458 030330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57.13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2.2000000000000002</v>
      </c>
      <c r="BK195">
        <v>2.5</v>
      </c>
      <c r="BL195">
        <v>172.55</v>
      </c>
      <c r="BM195">
        <v>25.88</v>
      </c>
      <c r="BN195">
        <v>198.43</v>
      </c>
      <c r="BO195">
        <v>198.43</v>
      </c>
      <c r="BQ195" t="s">
        <v>819</v>
      </c>
      <c r="BR195" t="s">
        <v>101</v>
      </c>
      <c r="BS195" s="3">
        <v>45729</v>
      </c>
      <c r="BT195" s="4">
        <v>0.57430555555555551</v>
      </c>
      <c r="BU195" t="s">
        <v>820</v>
      </c>
      <c r="BV195" t="s">
        <v>109</v>
      </c>
      <c r="BY195">
        <v>10880.22</v>
      </c>
      <c r="BZ195" t="s">
        <v>90</v>
      </c>
      <c r="CA195" t="s">
        <v>821</v>
      </c>
      <c r="CC195" t="s">
        <v>541</v>
      </c>
      <c r="CD195">
        <v>6506</v>
      </c>
      <c r="CE195" t="s">
        <v>822</v>
      </c>
      <c r="CF195" s="3">
        <v>45729</v>
      </c>
      <c r="CI195">
        <v>1</v>
      </c>
      <c r="CJ195">
        <v>1</v>
      </c>
      <c r="CK195">
        <v>23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"GAB2024806"</f>
        <v>GAB2024806</v>
      </c>
      <c r="F196" s="3">
        <v>45728</v>
      </c>
      <c r="G196">
        <v>202512</v>
      </c>
      <c r="H196" t="s">
        <v>97</v>
      </c>
      <c r="I196" t="s">
        <v>98</v>
      </c>
      <c r="J196" t="s">
        <v>99</v>
      </c>
      <c r="K196" t="s">
        <v>78</v>
      </c>
      <c r="L196" t="s">
        <v>502</v>
      </c>
      <c r="M196" t="s">
        <v>503</v>
      </c>
      <c r="N196" t="s">
        <v>809</v>
      </c>
      <c r="O196" t="s">
        <v>82</v>
      </c>
      <c r="P196" t="str">
        <f>"inv00033455 030990            "</f>
        <v xml:space="preserve">inv00033455 030990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24.06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1.8</v>
      </c>
      <c r="BK196">
        <v>2</v>
      </c>
      <c r="BL196">
        <v>72.66</v>
      </c>
      <c r="BM196">
        <v>10.9</v>
      </c>
      <c r="BN196">
        <v>83.56</v>
      </c>
      <c r="BO196">
        <v>83.56</v>
      </c>
      <c r="BQ196" t="s">
        <v>823</v>
      </c>
      <c r="BR196" t="s">
        <v>101</v>
      </c>
      <c r="BS196" s="3">
        <v>45729</v>
      </c>
      <c r="BT196" s="4">
        <v>0.43125000000000002</v>
      </c>
      <c r="BU196" t="s">
        <v>811</v>
      </c>
      <c r="BV196" t="s">
        <v>109</v>
      </c>
      <c r="BY196">
        <v>9163.44</v>
      </c>
      <c r="BZ196" t="s">
        <v>90</v>
      </c>
      <c r="CA196" t="s">
        <v>812</v>
      </c>
      <c r="CC196" t="s">
        <v>503</v>
      </c>
      <c r="CD196">
        <v>5213</v>
      </c>
      <c r="CE196" t="s">
        <v>824</v>
      </c>
      <c r="CF196" s="3">
        <v>45730</v>
      </c>
      <c r="CI196">
        <v>1</v>
      </c>
      <c r="CJ196">
        <v>1</v>
      </c>
      <c r="CK196">
        <v>21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"GAB2024807"</f>
        <v>GAB2024807</v>
      </c>
      <c r="F197" s="3">
        <v>45728</v>
      </c>
      <c r="G197">
        <v>202512</v>
      </c>
      <c r="H197" t="s">
        <v>97</v>
      </c>
      <c r="I197" t="s">
        <v>98</v>
      </c>
      <c r="J197" t="s">
        <v>99</v>
      </c>
      <c r="K197" t="s">
        <v>78</v>
      </c>
      <c r="L197" t="s">
        <v>97</v>
      </c>
      <c r="M197" t="s">
        <v>98</v>
      </c>
      <c r="N197" t="s">
        <v>233</v>
      </c>
      <c r="O197" t="s">
        <v>82</v>
      </c>
      <c r="P197" t="str">
        <f>"00033451 030290               "</f>
        <v xml:space="preserve">00033451 030290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18.79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2.1</v>
      </c>
      <c r="BK197">
        <v>3</v>
      </c>
      <c r="BL197">
        <v>56.75</v>
      </c>
      <c r="BM197">
        <v>8.51</v>
      </c>
      <c r="BN197">
        <v>65.260000000000005</v>
      </c>
      <c r="BO197">
        <v>65.260000000000005</v>
      </c>
      <c r="BQ197" t="s">
        <v>825</v>
      </c>
      <c r="BR197" t="s">
        <v>101</v>
      </c>
      <c r="BS197" s="3">
        <v>45729</v>
      </c>
      <c r="BT197" s="4">
        <v>0.45208333333333334</v>
      </c>
      <c r="BU197" t="s">
        <v>826</v>
      </c>
      <c r="BV197" t="s">
        <v>87</v>
      </c>
      <c r="BW197" t="s">
        <v>204</v>
      </c>
      <c r="BX197" t="s">
        <v>827</v>
      </c>
      <c r="BY197">
        <v>10456.290000000001</v>
      </c>
      <c r="BZ197" t="s">
        <v>90</v>
      </c>
      <c r="CA197" t="s">
        <v>828</v>
      </c>
      <c r="CC197" t="s">
        <v>98</v>
      </c>
      <c r="CD197">
        <v>7708</v>
      </c>
      <c r="CE197" t="s">
        <v>829</v>
      </c>
      <c r="CF197" s="3">
        <v>45733</v>
      </c>
      <c r="CI197">
        <v>1</v>
      </c>
      <c r="CJ197">
        <v>1</v>
      </c>
      <c r="CK197">
        <v>22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"GAB2024808"</f>
        <v>GAB2024808</v>
      </c>
      <c r="F198" s="3">
        <v>45728</v>
      </c>
      <c r="G198">
        <v>202512</v>
      </c>
      <c r="H198" t="s">
        <v>97</v>
      </c>
      <c r="I198" t="s">
        <v>98</v>
      </c>
      <c r="J198" t="s">
        <v>99</v>
      </c>
      <c r="K198" t="s">
        <v>78</v>
      </c>
      <c r="L198" t="s">
        <v>830</v>
      </c>
      <c r="M198" t="s">
        <v>831</v>
      </c>
      <c r="N198" t="s">
        <v>832</v>
      </c>
      <c r="O198" t="s">
        <v>82</v>
      </c>
      <c r="P198" t="str">
        <f>"00033450 030969               "</f>
        <v xml:space="preserve">00033450 030969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30.07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2.2999999999999998</v>
      </c>
      <c r="BK198">
        <v>2.5</v>
      </c>
      <c r="BL198">
        <v>90.81</v>
      </c>
      <c r="BM198">
        <v>13.62</v>
      </c>
      <c r="BN198">
        <v>104.43</v>
      </c>
      <c r="BO198">
        <v>104.43</v>
      </c>
      <c r="BQ198" t="s">
        <v>659</v>
      </c>
      <c r="BR198" t="s">
        <v>101</v>
      </c>
      <c r="BS198" s="3">
        <v>45729</v>
      </c>
      <c r="BT198" s="4">
        <v>0.36805555555555558</v>
      </c>
      <c r="BU198" t="s">
        <v>833</v>
      </c>
      <c r="BV198" t="s">
        <v>109</v>
      </c>
      <c r="BY198">
        <v>11321.52</v>
      </c>
      <c r="BZ198" t="s">
        <v>90</v>
      </c>
      <c r="CA198" t="s">
        <v>834</v>
      </c>
      <c r="CC198" t="s">
        <v>831</v>
      </c>
      <c r="CD198">
        <v>1559</v>
      </c>
      <c r="CE198" t="s">
        <v>835</v>
      </c>
      <c r="CF198" s="3">
        <v>45729</v>
      </c>
      <c r="CI198">
        <v>1</v>
      </c>
      <c r="CJ198">
        <v>1</v>
      </c>
      <c r="CK198">
        <v>21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"GAB2024809"</f>
        <v>GAB2024809</v>
      </c>
      <c r="F199" s="3">
        <v>45728</v>
      </c>
      <c r="G199">
        <v>202512</v>
      </c>
      <c r="H199" t="s">
        <v>97</v>
      </c>
      <c r="I199" t="s">
        <v>98</v>
      </c>
      <c r="J199" t="s">
        <v>99</v>
      </c>
      <c r="K199" t="s">
        <v>78</v>
      </c>
      <c r="L199" t="s">
        <v>97</v>
      </c>
      <c r="M199" t="s">
        <v>98</v>
      </c>
      <c r="N199" t="s">
        <v>836</v>
      </c>
      <c r="O199" t="s">
        <v>82</v>
      </c>
      <c r="P199" t="str">
        <f>"00116002 ct092567             "</f>
        <v xml:space="preserve">00116002 ct092567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18.79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2.1</v>
      </c>
      <c r="BK199">
        <v>3</v>
      </c>
      <c r="BL199">
        <v>56.75</v>
      </c>
      <c r="BM199">
        <v>8.51</v>
      </c>
      <c r="BN199">
        <v>65.260000000000005</v>
      </c>
      <c r="BO199">
        <v>65.260000000000005</v>
      </c>
      <c r="BR199" t="s">
        <v>101</v>
      </c>
      <c r="BS199" s="3">
        <v>45729</v>
      </c>
      <c r="BT199" s="4">
        <v>0.35416666666666669</v>
      </c>
      <c r="BU199" t="s">
        <v>837</v>
      </c>
      <c r="BV199" t="s">
        <v>109</v>
      </c>
      <c r="BY199">
        <v>10683.09</v>
      </c>
      <c r="BZ199" t="s">
        <v>90</v>
      </c>
      <c r="CA199" t="s">
        <v>838</v>
      </c>
      <c r="CC199" t="s">
        <v>98</v>
      </c>
      <c r="CD199">
        <v>8001</v>
      </c>
      <c r="CE199" t="s">
        <v>839</v>
      </c>
      <c r="CF199" s="3">
        <v>45730</v>
      </c>
      <c r="CI199">
        <v>1</v>
      </c>
      <c r="CJ199">
        <v>1</v>
      </c>
      <c r="CK199">
        <v>22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"GAB2024810"</f>
        <v>GAB2024810</v>
      </c>
      <c r="F200" s="3">
        <v>45728</v>
      </c>
      <c r="G200">
        <v>202512</v>
      </c>
      <c r="H200" t="s">
        <v>97</v>
      </c>
      <c r="I200" t="s">
        <v>98</v>
      </c>
      <c r="J200" t="s">
        <v>99</v>
      </c>
      <c r="K200" t="s">
        <v>78</v>
      </c>
      <c r="L200" t="s">
        <v>144</v>
      </c>
      <c r="M200" t="s">
        <v>145</v>
      </c>
      <c r="N200" t="s">
        <v>160</v>
      </c>
      <c r="O200" t="s">
        <v>82</v>
      </c>
      <c r="P200" t="str">
        <f>"00033459 030957               "</f>
        <v xml:space="preserve">00033459 030957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46.61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1.5</v>
      </c>
      <c r="BK200">
        <v>1.5</v>
      </c>
      <c r="BL200">
        <v>140.77000000000001</v>
      </c>
      <c r="BM200">
        <v>21.12</v>
      </c>
      <c r="BN200">
        <v>161.88999999999999</v>
      </c>
      <c r="BO200">
        <v>161.88999999999999</v>
      </c>
      <c r="BQ200" t="s">
        <v>840</v>
      </c>
      <c r="BR200" t="s">
        <v>101</v>
      </c>
      <c r="BS200" s="3">
        <v>45730</v>
      </c>
      <c r="BT200" s="4">
        <v>0.40625</v>
      </c>
      <c r="BU200" t="s">
        <v>841</v>
      </c>
      <c r="BV200" t="s">
        <v>87</v>
      </c>
      <c r="BW200" t="s">
        <v>633</v>
      </c>
      <c r="BX200" t="s">
        <v>842</v>
      </c>
      <c r="BY200">
        <v>7693.18</v>
      </c>
      <c r="BZ200" t="s">
        <v>90</v>
      </c>
      <c r="CA200" t="s">
        <v>159</v>
      </c>
      <c r="CC200" t="s">
        <v>145</v>
      </c>
      <c r="CD200">
        <v>1035</v>
      </c>
      <c r="CE200" t="s">
        <v>824</v>
      </c>
      <c r="CF200" s="3">
        <v>45730</v>
      </c>
      <c r="CI200">
        <v>0</v>
      </c>
      <c r="CJ200">
        <v>0</v>
      </c>
      <c r="CK200">
        <v>23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"GAB2024811"</f>
        <v>GAB2024811</v>
      </c>
      <c r="F201" s="3">
        <v>45728</v>
      </c>
      <c r="G201">
        <v>202512</v>
      </c>
      <c r="H201" t="s">
        <v>97</v>
      </c>
      <c r="I201" t="s">
        <v>98</v>
      </c>
      <c r="J201" t="s">
        <v>99</v>
      </c>
      <c r="K201" t="s">
        <v>78</v>
      </c>
      <c r="L201" t="s">
        <v>138</v>
      </c>
      <c r="M201" t="s">
        <v>139</v>
      </c>
      <c r="N201" t="s">
        <v>140</v>
      </c>
      <c r="O201" t="s">
        <v>82</v>
      </c>
      <c r="P201" t="str">
        <f>"00116009 ct093089             "</f>
        <v xml:space="preserve">00116009 ct093089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46.61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1.9</v>
      </c>
      <c r="BK201">
        <v>2</v>
      </c>
      <c r="BL201">
        <v>140.77000000000001</v>
      </c>
      <c r="BM201">
        <v>21.12</v>
      </c>
      <c r="BN201">
        <v>161.88999999999999</v>
      </c>
      <c r="BO201">
        <v>161.88999999999999</v>
      </c>
      <c r="BQ201" t="s">
        <v>843</v>
      </c>
      <c r="BR201" t="s">
        <v>101</v>
      </c>
      <c r="BS201" s="3">
        <v>45729</v>
      </c>
      <c r="BT201" s="4">
        <v>0.37361111111111112</v>
      </c>
      <c r="BU201" t="s">
        <v>844</v>
      </c>
      <c r="BV201" t="s">
        <v>109</v>
      </c>
      <c r="BY201">
        <v>9643.68</v>
      </c>
      <c r="BZ201" t="s">
        <v>90</v>
      </c>
      <c r="CA201" t="s">
        <v>143</v>
      </c>
      <c r="CC201" t="s">
        <v>139</v>
      </c>
      <c r="CD201">
        <v>1900</v>
      </c>
      <c r="CE201" t="s">
        <v>824</v>
      </c>
      <c r="CF201" s="3">
        <v>45729</v>
      </c>
      <c r="CI201">
        <v>1</v>
      </c>
      <c r="CJ201">
        <v>1</v>
      </c>
      <c r="CK201">
        <v>23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"GAB2024812"</f>
        <v>GAB2024812</v>
      </c>
      <c r="F202" s="3">
        <v>45728</v>
      </c>
      <c r="G202">
        <v>202512</v>
      </c>
      <c r="H202" t="s">
        <v>97</v>
      </c>
      <c r="I202" t="s">
        <v>98</v>
      </c>
      <c r="J202" t="s">
        <v>99</v>
      </c>
      <c r="K202" t="s">
        <v>78</v>
      </c>
      <c r="L202" t="s">
        <v>408</v>
      </c>
      <c r="M202" t="s">
        <v>409</v>
      </c>
      <c r="N202" t="s">
        <v>423</v>
      </c>
      <c r="O202" t="s">
        <v>82</v>
      </c>
      <c r="P202" t="str">
        <f>"00116014 ct092845             "</f>
        <v xml:space="preserve">00116014 ct092845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30.07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2.5</v>
      </c>
      <c r="BK202">
        <v>2.5</v>
      </c>
      <c r="BL202">
        <v>90.81</v>
      </c>
      <c r="BM202">
        <v>13.62</v>
      </c>
      <c r="BN202">
        <v>104.43</v>
      </c>
      <c r="BO202">
        <v>104.43</v>
      </c>
      <c r="BQ202" t="s">
        <v>845</v>
      </c>
      <c r="BR202" t="s">
        <v>101</v>
      </c>
      <c r="BS202" s="3">
        <v>45729</v>
      </c>
      <c r="BT202" s="4">
        <v>0.39444444444444443</v>
      </c>
      <c r="BU202" t="s">
        <v>846</v>
      </c>
      <c r="BV202" t="s">
        <v>109</v>
      </c>
      <c r="BY202">
        <v>12257.85</v>
      </c>
      <c r="BZ202" t="s">
        <v>90</v>
      </c>
      <c r="CA202" t="s">
        <v>847</v>
      </c>
      <c r="CC202" t="s">
        <v>409</v>
      </c>
      <c r="CD202">
        <v>1501</v>
      </c>
      <c r="CE202" t="s">
        <v>829</v>
      </c>
      <c r="CF202" s="3">
        <v>45729</v>
      </c>
      <c r="CI202">
        <v>1</v>
      </c>
      <c r="CJ202">
        <v>1</v>
      </c>
      <c r="CK202">
        <v>21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"GAB2024815"</f>
        <v>GAB2024815</v>
      </c>
      <c r="F203" s="3">
        <v>45728</v>
      </c>
      <c r="G203">
        <v>202512</v>
      </c>
      <c r="H203" t="s">
        <v>97</v>
      </c>
      <c r="I203" t="s">
        <v>98</v>
      </c>
      <c r="J203" t="s">
        <v>99</v>
      </c>
      <c r="K203" t="s">
        <v>78</v>
      </c>
      <c r="L203" t="s">
        <v>262</v>
      </c>
      <c r="M203" t="s">
        <v>263</v>
      </c>
      <c r="N203" t="s">
        <v>848</v>
      </c>
      <c r="O203" t="s">
        <v>82</v>
      </c>
      <c r="P203" t="str">
        <f>"INV-00115997 CT093075         "</f>
        <v xml:space="preserve">INV-00115997 CT093075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24.06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0.7</v>
      </c>
      <c r="BJ203">
        <v>1.7</v>
      </c>
      <c r="BK203">
        <v>2</v>
      </c>
      <c r="BL203">
        <v>72.66</v>
      </c>
      <c r="BM203">
        <v>10.9</v>
      </c>
      <c r="BN203">
        <v>83.56</v>
      </c>
      <c r="BO203">
        <v>83.56</v>
      </c>
      <c r="BQ203" t="s">
        <v>849</v>
      </c>
      <c r="BR203" t="s">
        <v>101</v>
      </c>
      <c r="BS203" s="3">
        <v>45729</v>
      </c>
      <c r="BT203" s="4">
        <v>0.44027777777777777</v>
      </c>
      <c r="BU203" t="s">
        <v>850</v>
      </c>
      <c r="BV203" t="s">
        <v>87</v>
      </c>
      <c r="BW203" t="s">
        <v>88</v>
      </c>
      <c r="BX203" t="s">
        <v>499</v>
      </c>
      <c r="BY203">
        <v>8633.4599999999991</v>
      </c>
      <c r="BZ203" t="s">
        <v>90</v>
      </c>
      <c r="CA203" t="s">
        <v>851</v>
      </c>
      <c r="CC203" t="s">
        <v>263</v>
      </c>
      <c r="CD203" s="5" t="s">
        <v>852</v>
      </c>
      <c r="CE203" t="s">
        <v>193</v>
      </c>
      <c r="CF203" s="3">
        <v>45729</v>
      </c>
      <c r="CI203">
        <v>1</v>
      </c>
      <c r="CJ203">
        <v>1</v>
      </c>
      <c r="CK203">
        <v>21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"GAB2024816"</f>
        <v>GAB2024816</v>
      </c>
      <c r="F204" s="3">
        <v>45728</v>
      </c>
      <c r="G204">
        <v>202512</v>
      </c>
      <c r="H204" t="s">
        <v>97</v>
      </c>
      <c r="I204" t="s">
        <v>98</v>
      </c>
      <c r="J204" t="s">
        <v>99</v>
      </c>
      <c r="K204" t="s">
        <v>78</v>
      </c>
      <c r="L204" t="s">
        <v>79</v>
      </c>
      <c r="M204" t="s">
        <v>80</v>
      </c>
      <c r="N204" t="s">
        <v>106</v>
      </c>
      <c r="O204" t="s">
        <v>82</v>
      </c>
      <c r="P204" t="str">
        <f>"INV-00116011 CT092716         "</f>
        <v xml:space="preserve">INV-00116011 CT092716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24.06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0.4</v>
      </c>
      <c r="BJ204">
        <v>1.8</v>
      </c>
      <c r="BK204">
        <v>2</v>
      </c>
      <c r="BL204">
        <v>72.66</v>
      </c>
      <c r="BM204">
        <v>10.9</v>
      </c>
      <c r="BN204">
        <v>83.56</v>
      </c>
      <c r="BO204">
        <v>83.56</v>
      </c>
      <c r="BQ204" t="s">
        <v>107</v>
      </c>
      <c r="BR204" t="s">
        <v>101</v>
      </c>
      <c r="BS204" s="3">
        <v>45729</v>
      </c>
      <c r="BT204" s="4">
        <v>0.34791666666666665</v>
      </c>
      <c r="BU204" t="s">
        <v>853</v>
      </c>
      <c r="BV204" t="s">
        <v>109</v>
      </c>
      <c r="BY204">
        <v>8954.75</v>
      </c>
      <c r="BZ204" t="s">
        <v>90</v>
      </c>
      <c r="CA204" t="s">
        <v>110</v>
      </c>
      <c r="CC204" t="s">
        <v>80</v>
      </c>
      <c r="CD204" s="5" t="s">
        <v>92</v>
      </c>
      <c r="CE204" t="s">
        <v>854</v>
      </c>
      <c r="CF204" s="3">
        <v>45729</v>
      </c>
      <c r="CI204">
        <v>1</v>
      </c>
      <c r="CJ204">
        <v>1</v>
      </c>
      <c r="CK204">
        <v>21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"GAB2024817"</f>
        <v>GAB2024817</v>
      </c>
      <c r="F205" s="3">
        <v>45728</v>
      </c>
      <c r="G205">
        <v>202512</v>
      </c>
      <c r="H205" t="s">
        <v>97</v>
      </c>
      <c r="I205" t="s">
        <v>98</v>
      </c>
      <c r="J205" t="s">
        <v>99</v>
      </c>
      <c r="K205" t="s">
        <v>78</v>
      </c>
      <c r="L205" t="s">
        <v>182</v>
      </c>
      <c r="M205" t="s">
        <v>183</v>
      </c>
      <c r="N205" t="s">
        <v>655</v>
      </c>
      <c r="O205" t="s">
        <v>82</v>
      </c>
      <c r="P205" t="str">
        <f>"INV-00116010 CT093015         "</f>
        <v xml:space="preserve">INV-00116010 CT093015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24.06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1.8</v>
      </c>
      <c r="BK205">
        <v>2</v>
      </c>
      <c r="BL205">
        <v>72.66</v>
      </c>
      <c r="BM205">
        <v>10.9</v>
      </c>
      <c r="BN205">
        <v>83.56</v>
      </c>
      <c r="BO205">
        <v>83.56</v>
      </c>
      <c r="BQ205" t="s">
        <v>656</v>
      </c>
      <c r="BR205" t="s">
        <v>101</v>
      </c>
      <c r="BS205" s="3">
        <v>45735</v>
      </c>
      <c r="BT205" s="4">
        <v>0.39583333333333331</v>
      </c>
      <c r="BU205" t="s">
        <v>855</v>
      </c>
      <c r="BV205" t="s">
        <v>87</v>
      </c>
      <c r="BW205" t="s">
        <v>187</v>
      </c>
      <c r="BX205" t="s">
        <v>364</v>
      </c>
      <c r="BY205">
        <v>8809.19</v>
      </c>
      <c r="BZ205" t="s">
        <v>90</v>
      </c>
      <c r="CC205" t="s">
        <v>183</v>
      </c>
      <c r="CD205">
        <v>3610</v>
      </c>
      <c r="CE205" t="s">
        <v>854</v>
      </c>
      <c r="CF205" s="3">
        <v>45736</v>
      </c>
      <c r="CI205">
        <v>2</v>
      </c>
      <c r="CJ205">
        <v>5</v>
      </c>
      <c r="CK205">
        <v>21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"GAB2024818"</f>
        <v>GAB2024818</v>
      </c>
      <c r="F206" s="3">
        <v>45728</v>
      </c>
      <c r="G206">
        <v>202512</v>
      </c>
      <c r="H206" t="s">
        <v>97</v>
      </c>
      <c r="I206" t="s">
        <v>98</v>
      </c>
      <c r="J206" t="s">
        <v>99</v>
      </c>
      <c r="K206" t="s">
        <v>78</v>
      </c>
      <c r="L206" t="s">
        <v>262</v>
      </c>
      <c r="M206" t="s">
        <v>263</v>
      </c>
      <c r="N206" t="s">
        <v>856</v>
      </c>
      <c r="O206" t="s">
        <v>82</v>
      </c>
      <c r="P206" t="str">
        <f>"INV-00033434 00033436 030965 0"</f>
        <v>INV-00033434 00033436 030965 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30.07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0.4</v>
      </c>
      <c r="BJ206">
        <v>2.5</v>
      </c>
      <c r="BK206">
        <v>2.5</v>
      </c>
      <c r="BL206">
        <v>90.81</v>
      </c>
      <c r="BM206">
        <v>13.62</v>
      </c>
      <c r="BN206">
        <v>104.43</v>
      </c>
      <c r="BO206">
        <v>104.43</v>
      </c>
      <c r="BQ206" t="s">
        <v>857</v>
      </c>
      <c r="BR206" t="s">
        <v>101</v>
      </c>
      <c r="BS206" s="3">
        <v>45729</v>
      </c>
      <c r="BT206" s="4">
        <v>0.6166666666666667</v>
      </c>
      <c r="BU206" t="s">
        <v>858</v>
      </c>
      <c r="BV206" t="s">
        <v>87</v>
      </c>
      <c r="BW206" t="s">
        <v>88</v>
      </c>
      <c r="BX206" t="s">
        <v>499</v>
      </c>
      <c r="BY206">
        <v>12317.61</v>
      </c>
      <c r="BZ206" t="s">
        <v>90</v>
      </c>
      <c r="CC206" t="s">
        <v>263</v>
      </c>
      <c r="CD206" s="5" t="s">
        <v>444</v>
      </c>
      <c r="CE206" t="s">
        <v>859</v>
      </c>
      <c r="CF206" s="3">
        <v>45729</v>
      </c>
      <c r="CI206">
        <v>1</v>
      </c>
      <c r="CJ206">
        <v>1</v>
      </c>
      <c r="CK206">
        <v>21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"GAB2024819"</f>
        <v>GAB2024819</v>
      </c>
      <c r="F207" s="3">
        <v>45728</v>
      </c>
      <c r="G207">
        <v>202512</v>
      </c>
      <c r="H207" t="s">
        <v>97</v>
      </c>
      <c r="I207" t="s">
        <v>98</v>
      </c>
      <c r="J207" t="s">
        <v>99</v>
      </c>
      <c r="K207" t="s">
        <v>78</v>
      </c>
      <c r="L207" t="s">
        <v>429</v>
      </c>
      <c r="M207" t="s">
        <v>430</v>
      </c>
      <c r="N207" t="s">
        <v>805</v>
      </c>
      <c r="O207" t="s">
        <v>82</v>
      </c>
      <c r="P207" t="str">
        <f>"INV-00033469 030959           "</f>
        <v xml:space="preserve">INV-00033469 030959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30.07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2.4</v>
      </c>
      <c r="BK207">
        <v>2.5</v>
      </c>
      <c r="BL207">
        <v>90.81</v>
      </c>
      <c r="BM207">
        <v>13.62</v>
      </c>
      <c r="BN207">
        <v>104.43</v>
      </c>
      <c r="BO207">
        <v>104.43</v>
      </c>
      <c r="BQ207" t="s">
        <v>806</v>
      </c>
      <c r="BR207" t="s">
        <v>101</v>
      </c>
      <c r="BS207" s="3">
        <v>45729</v>
      </c>
      <c r="BT207" s="4">
        <v>0.34097222222222223</v>
      </c>
      <c r="BU207" t="s">
        <v>860</v>
      </c>
      <c r="BV207" t="s">
        <v>109</v>
      </c>
      <c r="BY207">
        <v>11956</v>
      </c>
      <c r="BZ207" t="s">
        <v>90</v>
      </c>
      <c r="CA207" t="s">
        <v>808</v>
      </c>
      <c r="CC207" t="s">
        <v>430</v>
      </c>
      <c r="CD207">
        <v>1619</v>
      </c>
      <c r="CE207" t="s">
        <v>237</v>
      </c>
      <c r="CF207" s="3">
        <v>45729</v>
      </c>
      <c r="CI207">
        <v>1</v>
      </c>
      <c r="CJ207">
        <v>1</v>
      </c>
      <c r="CK207">
        <v>21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"GAB2024820"</f>
        <v>GAB2024820</v>
      </c>
      <c r="F208" s="3">
        <v>45728</v>
      </c>
      <c r="G208">
        <v>202512</v>
      </c>
      <c r="H208" t="s">
        <v>97</v>
      </c>
      <c r="I208" t="s">
        <v>98</v>
      </c>
      <c r="J208" t="s">
        <v>99</v>
      </c>
      <c r="K208" t="s">
        <v>78</v>
      </c>
      <c r="L208" t="s">
        <v>163</v>
      </c>
      <c r="M208" t="s">
        <v>164</v>
      </c>
      <c r="N208" t="s">
        <v>165</v>
      </c>
      <c r="O208" t="s">
        <v>82</v>
      </c>
      <c r="P208" t="str">
        <f>"INV-00116020 CT093093         "</f>
        <v xml:space="preserve">INV-00116020 CT093093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46.61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0.4</v>
      </c>
      <c r="BJ208">
        <v>1.7</v>
      </c>
      <c r="BK208">
        <v>2</v>
      </c>
      <c r="BL208">
        <v>140.77000000000001</v>
      </c>
      <c r="BM208">
        <v>21.12</v>
      </c>
      <c r="BN208">
        <v>161.88999999999999</v>
      </c>
      <c r="BO208">
        <v>161.88999999999999</v>
      </c>
      <c r="BQ208" t="s">
        <v>166</v>
      </c>
      <c r="BR208" t="s">
        <v>101</v>
      </c>
      <c r="BS208" s="3">
        <v>45729</v>
      </c>
      <c r="BT208" s="4">
        <v>0.41597222222222224</v>
      </c>
      <c r="BU208" t="s">
        <v>861</v>
      </c>
      <c r="BV208" t="s">
        <v>109</v>
      </c>
      <c r="BY208">
        <v>8464.5</v>
      </c>
      <c r="BZ208" t="s">
        <v>90</v>
      </c>
      <c r="CA208" t="s">
        <v>168</v>
      </c>
      <c r="CC208" t="s">
        <v>164</v>
      </c>
      <c r="CD208">
        <v>9459</v>
      </c>
      <c r="CE208" t="s">
        <v>854</v>
      </c>
      <c r="CF208" s="3">
        <v>45729</v>
      </c>
      <c r="CI208">
        <v>2</v>
      </c>
      <c r="CJ208">
        <v>1</v>
      </c>
      <c r="CK208">
        <v>23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"GAB2024821"</f>
        <v>GAB2024821</v>
      </c>
      <c r="F209" s="3">
        <v>45728</v>
      </c>
      <c r="G209">
        <v>202512</v>
      </c>
      <c r="H209" t="s">
        <v>97</v>
      </c>
      <c r="I209" t="s">
        <v>98</v>
      </c>
      <c r="J209" t="s">
        <v>99</v>
      </c>
      <c r="K209" t="s">
        <v>78</v>
      </c>
      <c r="L209" t="s">
        <v>97</v>
      </c>
      <c r="M209" t="s">
        <v>98</v>
      </c>
      <c r="N209" t="s">
        <v>862</v>
      </c>
      <c r="O209" t="s">
        <v>82</v>
      </c>
      <c r="P209" t="str">
        <f>"INV-00116021 CT093092         "</f>
        <v xml:space="preserve">INV-00116021 CT093092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18.79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2.5</v>
      </c>
      <c r="BK209">
        <v>3</v>
      </c>
      <c r="BL209">
        <v>56.75</v>
      </c>
      <c r="BM209">
        <v>8.51</v>
      </c>
      <c r="BN209">
        <v>65.260000000000005</v>
      </c>
      <c r="BO209">
        <v>65.260000000000005</v>
      </c>
      <c r="BQ209" t="s">
        <v>863</v>
      </c>
      <c r="BR209" t="s">
        <v>101</v>
      </c>
      <c r="BS209" s="3">
        <v>45729</v>
      </c>
      <c r="BT209" s="4">
        <v>0.3923611111111111</v>
      </c>
      <c r="BU209" t="s">
        <v>864</v>
      </c>
      <c r="BV209" t="s">
        <v>109</v>
      </c>
      <c r="BY209">
        <v>12274.4</v>
      </c>
      <c r="BZ209" t="s">
        <v>90</v>
      </c>
      <c r="CA209" t="s">
        <v>694</v>
      </c>
      <c r="CC209" t="s">
        <v>98</v>
      </c>
      <c r="CD209">
        <v>7441</v>
      </c>
      <c r="CE209" t="s">
        <v>129</v>
      </c>
      <c r="CF209" s="3">
        <v>45730</v>
      </c>
      <c r="CI209">
        <v>1</v>
      </c>
      <c r="CJ209">
        <v>1</v>
      </c>
      <c r="CK209">
        <v>22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"GAB2024825"</f>
        <v>GAB2024825</v>
      </c>
      <c r="F210" s="3">
        <v>45728</v>
      </c>
      <c r="G210">
        <v>202512</v>
      </c>
      <c r="H210" t="s">
        <v>97</v>
      </c>
      <c r="I210" t="s">
        <v>98</v>
      </c>
      <c r="J210" t="s">
        <v>99</v>
      </c>
      <c r="K210" t="s">
        <v>78</v>
      </c>
      <c r="L210" t="s">
        <v>238</v>
      </c>
      <c r="M210" t="s">
        <v>239</v>
      </c>
      <c r="N210" t="s">
        <v>561</v>
      </c>
      <c r="O210" t="s">
        <v>82</v>
      </c>
      <c r="P210" t="str">
        <f>"INV-00116025 CT093095         "</f>
        <v xml:space="preserve">INV-00116025 CT093095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30.07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16.739999999999998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2.2999999999999998</v>
      </c>
      <c r="BK210">
        <v>2.5</v>
      </c>
      <c r="BL210">
        <v>107.55</v>
      </c>
      <c r="BM210">
        <v>16.13</v>
      </c>
      <c r="BN210">
        <v>123.68</v>
      </c>
      <c r="BO210">
        <v>123.68</v>
      </c>
      <c r="BQ210" t="s">
        <v>562</v>
      </c>
      <c r="BR210" t="s">
        <v>101</v>
      </c>
      <c r="BS210" s="3">
        <v>45729</v>
      </c>
      <c r="BT210" s="4">
        <v>0.60277777777777775</v>
      </c>
      <c r="BU210" t="s">
        <v>865</v>
      </c>
      <c r="BV210" t="s">
        <v>109</v>
      </c>
      <c r="BY210">
        <v>11337.3</v>
      </c>
      <c r="BZ210" t="s">
        <v>296</v>
      </c>
      <c r="CA210" t="s">
        <v>866</v>
      </c>
      <c r="CC210" t="s">
        <v>239</v>
      </c>
      <c r="CD210">
        <v>1862</v>
      </c>
      <c r="CE210" t="s">
        <v>129</v>
      </c>
      <c r="CF210" s="3">
        <v>45730</v>
      </c>
      <c r="CI210">
        <v>0</v>
      </c>
      <c r="CJ210">
        <v>0</v>
      </c>
      <c r="CK210">
        <v>21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"GAB2024826"</f>
        <v>GAB2024826</v>
      </c>
      <c r="F211" s="3">
        <v>45728</v>
      </c>
      <c r="G211">
        <v>202512</v>
      </c>
      <c r="H211" t="s">
        <v>97</v>
      </c>
      <c r="I211" t="s">
        <v>98</v>
      </c>
      <c r="J211" t="s">
        <v>99</v>
      </c>
      <c r="K211" t="s">
        <v>78</v>
      </c>
      <c r="L211" t="s">
        <v>97</v>
      </c>
      <c r="M211" t="s">
        <v>98</v>
      </c>
      <c r="N211" t="s">
        <v>206</v>
      </c>
      <c r="O211" t="s">
        <v>82</v>
      </c>
      <c r="P211" t="str">
        <f>"INV-00116027 CT093094         "</f>
        <v xml:space="preserve">INV-00116027 CT093094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18.79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2.2000000000000002</v>
      </c>
      <c r="BK211">
        <v>3</v>
      </c>
      <c r="BL211">
        <v>56.75</v>
      </c>
      <c r="BM211">
        <v>8.51</v>
      </c>
      <c r="BN211">
        <v>65.260000000000005</v>
      </c>
      <c r="BO211">
        <v>65.260000000000005</v>
      </c>
      <c r="BQ211" t="s">
        <v>207</v>
      </c>
      <c r="BR211" t="s">
        <v>101</v>
      </c>
      <c r="BS211" s="3">
        <v>45729</v>
      </c>
      <c r="BT211" s="4">
        <v>0.43194444444444446</v>
      </c>
      <c r="BU211" t="s">
        <v>527</v>
      </c>
      <c r="BV211" t="s">
        <v>109</v>
      </c>
      <c r="BY211">
        <v>11098.2</v>
      </c>
      <c r="BZ211" t="s">
        <v>90</v>
      </c>
      <c r="CA211" t="s">
        <v>315</v>
      </c>
      <c r="CC211" t="s">
        <v>98</v>
      </c>
      <c r="CD211">
        <v>7550</v>
      </c>
      <c r="CE211" t="s">
        <v>137</v>
      </c>
      <c r="CF211" s="3">
        <v>45730</v>
      </c>
      <c r="CI211">
        <v>1</v>
      </c>
      <c r="CJ211">
        <v>1</v>
      </c>
      <c r="CK211">
        <v>22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"GAB2024827"</f>
        <v>GAB2024827</v>
      </c>
      <c r="F212" s="3">
        <v>45728</v>
      </c>
      <c r="G212">
        <v>202512</v>
      </c>
      <c r="H212" t="s">
        <v>97</v>
      </c>
      <c r="I212" t="s">
        <v>98</v>
      </c>
      <c r="J212" t="s">
        <v>99</v>
      </c>
      <c r="K212" t="s">
        <v>78</v>
      </c>
      <c r="L212" t="s">
        <v>97</v>
      </c>
      <c r="M212" t="s">
        <v>98</v>
      </c>
      <c r="N212" t="s">
        <v>225</v>
      </c>
      <c r="O212" t="s">
        <v>82</v>
      </c>
      <c r="P212" t="str">
        <f>"INV-00116028 CT093101         "</f>
        <v xml:space="preserve">INV-00116028 CT093101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18.79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2.6</v>
      </c>
      <c r="BK212">
        <v>3</v>
      </c>
      <c r="BL212">
        <v>56.75</v>
      </c>
      <c r="BM212">
        <v>8.51</v>
      </c>
      <c r="BN212">
        <v>65.260000000000005</v>
      </c>
      <c r="BO212">
        <v>65.260000000000005</v>
      </c>
      <c r="BQ212" t="s">
        <v>226</v>
      </c>
      <c r="BR212" t="s">
        <v>101</v>
      </c>
      <c r="BS212" s="3">
        <v>45729</v>
      </c>
      <c r="BT212" s="4">
        <v>0.38055555555555554</v>
      </c>
      <c r="BU212" t="s">
        <v>867</v>
      </c>
      <c r="BV212" t="s">
        <v>109</v>
      </c>
      <c r="BY212">
        <v>13002.11</v>
      </c>
      <c r="BZ212" t="s">
        <v>90</v>
      </c>
      <c r="CA212" t="s">
        <v>868</v>
      </c>
      <c r="CC212" t="s">
        <v>98</v>
      </c>
      <c r="CD212">
        <v>7441</v>
      </c>
      <c r="CE212" t="s">
        <v>213</v>
      </c>
      <c r="CF212" s="3">
        <v>45730</v>
      </c>
      <c r="CI212">
        <v>1</v>
      </c>
      <c r="CJ212">
        <v>1</v>
      </c>
      <c r="CK212">
        <v>22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"GAB2024828"</f>
        <v>GAB2024828</v>
      </c>
      <c r="F213" s="3">
        <v>45728</v>
      </c>
      <c r="G213">
        <v>202512</v>
      </c>
      <c r="H213" t="s">
        <v>97</v>
      </c>
      <c r="I213" t="s">
        <v>98</v>
      </c>
      <c r="J213" t="s">
        <v>99</v>
      </c>
      <c r="K213" t="s">
        <v>78</v>
      </c>
      <c r="L213" t="s">
        <v>401</v>
      </c>
      <c r="M213" t="s">
        <v>402</v>
      </c>
      <c r="N213" t="s">
        <v>403</v>
      </c>
      <c r="O213" t="s">
        <v>82</v>
      </c>
      <c r="P213" t="str">
        <f>"INV-00033484 030971           "</f>
        <v xml:space="preserve">INV-00033484 030971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67.66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2.9</v>
      </c>
      <c r="BK213">
        <v>3</v>
      </c>
      <c r="BL213">
        <v>204.34</v>
      </c>
      <c r="BM213">
        <v>30.65</v>
      </c>
      <c r="BN213">
        <v>234.99</v>
      </c>
      <c r="BO213">
        <v>234.99</v>
      </c>
      <c r="BQ213" t="s">
        <v>404</v>
      </c>
      <c r="BR213" t="s">
        <v>101</v>
      </c>
      <c r="BS213" s="3">
        <v>45729</v>
      </c>
      <c r="BT213" s="4">
        <v>0.39166666666666666</v>
      </c>
      <c r="BU213" t="s">
        <v>869</v>
      </c>
      <c r="BV213" t="s">
        <v>109</v>
      </c>
      <c r="BY213">
        <v>14408.35</v>
      </c>
      <c r="BZ213" t="s">
        <v>90</v>
      </c>
      <c r="CA213" t="s">
        <v>870</v>
      </c>
      <c r="CC213" t="s">
        <v>402</v>
      </c>
      <c r="CD213" s="5" t="s">
        <v>407</v>
      </c>
      <c r="CE213" t="s">
        <v>149</v>
      </c>
      <c r="CF213" s="3">
        <v>45730</v>
      </c>
      <c r="CI213">
        <v>2</v>
      </c>
      <c r="CJ213">
        <v>1</v>
      </c>
      <c r="CK213">
        <v>23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"GAB2024829"</f>
        <v>GAB2024829</v>
      </c>
      <c r="F214" s="3">
        <v>45728</v>
      </c>
      <c r="G214">
        <v>202512</v>
      </c>
      <c r="H214" t="s">
        <v>97</v>
      </c>
      <c r="I214" t="s">
        <v>98</v>
      </c>
      <c r="J214" t="s">
        <v>99</v>
      </c>
      <c r="K214" t="s">
        <v>78</v>
      </c>
      <c r="L214" t="s">
        <v>75</v>
      </c>
      <c r="M214" t="s">
        <v>76</v>
      </c>
      <c r="N214" t="s">
        <v>871</v>
      </c>
      <c r="O214" t="s">
        <v>82</v>
      </c>
      <c r="P214" t="str">
        <f>"INV-00033485 030955           "</f>
        <v xml:space="preserve">INV-00033485 030955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24.06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1.9</v>
      </c>
      <c r="BK214">
        <v>2</v>
      </c>
      <c r="BL214">
        <v>72.66</v>
      </c>
      <c r="BM214">
        <v>10.9</v>
      </c>
      <c r="BN214">
        <v>83.56</v>
      </c>
      <c r="BO214">
        <v>83.56</v>
      </c>
      <c r="BQ214" t="s">
        <v>872</v>
      </c>
      <c r="BR214" t="s">
        <v>101</v>
      </c>
      <c r="BS214" s="3">
        <v>45730</v>
      </c>
      <c r="BT214" s="4">
        <v>0.41875000000000001</v>
      </c>
      <c r="BU214" t="s">
        <v>873</v>
      </c>
      <c r="BV214" t="s">
        <v>109</v>
      </c>
      <c r="BY214">
        <v>9480.14</v>
      </c>
      <c r="BZ214" t="s">
        <v>90</v>
      </c>
      <c r="CA214" t="s">
        <v>279</v>
      </c>
      <c r="CC214" t="s">
        <v>76</v>
      </c>
      <c r="CD214">
        <v>3629</v>
      </c>
      <c r="CE214" t="s">
        <v>149</v>
      </c>
      <c r="CF214" s="3">
        <v>45732</v>
      </c>
      <c r="CI214">
        <v>2</v>
      </c>
      <c r="CJ214">
        <v>2</v>
      </c>
      <c r="CK214">
        <v>21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"GAB2024832"</f>
        <v>GAB2024832</v>
      </c>
      <c r="F215" s="3">
        <v>45728</v>
      </c>
      <c r="G215">
        <v>202512</v>
      </c>
      <c r="H215" t="s">
        <v>97</v>
      </c>
      <c r="I215" t="s">
        <v>98</v>
      </c>
      <c r="J215" t="s">
        <v>99</v>
      </c>
      <c r="K215" t="s">
        <v>78</v>
      </c>
      <c r="L215" t="s">
        <v>491</v>
      </c>
      <c r="M215" t="s">
        <v>492</v>
      </c>
      <c r="N215" t="s">
        <v>524</v>
      </c>
      <c r="O215" t="s">
        <v>82</v>
      </c>
      <c r="P215" t="str">
        <f>"INV-00116029 CT092911         "</f>
        <v xml:space="preserve">INV-00116029 CT092911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30.07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0.3</v>
      </c>
      <c r="BJ215">
        <v>2.2999999999999998</v>
      </c>
      <c r="BK215">
        <v>2.5</v>
      </c>
      <c r="BL215">
        <v>90.81</v>
      </c>
      <c r="BM215">
        <v>13.62</v>
      </c>
      <c r="BN215">
        <v>104.43</v>
      </c>
      <c r="BO215">
        <v>104.43</v>
      </c>
      <c r="BR215" t="s">
        <v>101</v>
      </c>
      <c r="BS215" s="3">
        <v>45729</v>
      </c>
      <c r="BT215" s="4">
        <v>0.5131944444444444</v>
      </c>
      <c r="BU215" t="s">
        <v>874</v>
      </c>
      <c r="BV215" t="s">
        <v>87</v>
      </c>
      <c r="BY215">
        <v>11647.35</v>
      </c>
      <c r="BZ215" t="s">
        <v>90</v>
      </c>
      <c r="CA215" t="s">
        <v>875</v>
      </c>
      <c r="CC215" t="s">
        <v>492</v>
      </c>
      <c r="CD215">
        <v>1725</v>
      </c>
      <c r="CE215" t="s">
        <v>237</v>
      </c>
      <c r="CF215" s="3">
        <v>45730</v>
      </c>
      <c r="CI215">
        <v>1</v>
      </c>
      <c r="CJ215">
        <v>1</v>
      </c>
      <c r="CK215">
        <v>21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"GAB2024836"</f>
        <v>GAB2024836</v>
      </c>
      <c r="F216" s="3">
        <v>45728</v>
      </c>
      <c r="G216">
        <v>202512</v>
      </c>
      <c r="H216" t="s">
        <v>97</v>
      </c>
      <c r="I216" t="s">
        <v>98</v>
      </c>
      <c r="J216" t="s">
        <v>99</v>
      </c>
      <c r="K216" t="s">
        <v>78</v>
      </c>
      <c r="L216" t="s">
        <v>328</v>
      </c>
      <c r="M216" t="s">
        <v>329</v>
      </c>
      <c r="N216" t="s">
        <v>330</v>
      </c>
      <c r="O216" t="s">
        <v>82</v>
      </c>
      <c r="P216" t="str">
        <f>"INV-00116034 CT093105         "</f>
        <v xml:space="preserve">INV-00116034 CT093105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24.06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16.739999999999998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</v>
      </c>
      <c r="BK216">
        <v>2</v>
      </c>
      <c r="BL216">
        <v>89.4</v>
      </c>
      <c r="BM216">
        <v>13.41</v>
      </c>
      <c r="BN216">
        <v>102.81</v>
      </c>
      <c r="BO216">
        <v>102.81</v>
      </c>
      <c r="BQ216" t="s">
        <v>331</v>
      </c>
      <c r="BR216" t="s">
        <v>101</v>
      </c>
      <c r="BS216" s="3">
        <v>45729</v>
      </c>
      <c r="BT216" s="4">
        <v>0.42638888888888887</v>
      </c>
      <c r="BU216" t="s">
        <v>670</v>
      </c>
      <c r="BV216" t="s">
        <v>109</v>
      </c>
      <c r="BY216">
        <v>9915.15</v>
      </c>
      <c r="BZ216" t="s">
        <v>296</v>
      </c>
      <c r="CA216" t="s">
        <v>671</v>
      </c>
      <c r="CC216" t="s">
        <v>329</v>
      </c>
      <c r="CD216">
        <v>1475</v>
      </c>
      <c r="CE216" t="s">
        <v>137</v>
      </c>
      <c r="CF216" s="3">
        <v>45729</v>
      </c>
      <c r="CI216">
        <v>1</v>
      </c>
      <c r="CJ216">
        <v>1</v>
      </c>
      <c r="CK216">
        <v>21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"GAB2024838"</f>
        <v>GAB2024838</v>
      </c>
      <c r="F217" s="3">
        <v>45728</v>
      </c>
      <c r="G217">
        <v>202512</v>
      </c>
      <c r="H217" t="s">
        <v>97</v>
      </c>
      <c r="I217" t="s">
        <v>98</v>
      </c>
      <c r="J217" t="s">
        <v>99</v>
      </c>
      <c r="K217" t="s">
        <v>78</v>
      </c>
      <c r="L217" t="s">
        <v>502</v>
      </c>
      <c r="M217" t="s">
        <v>503</v>
      </c>
      <c r="N217" t="s">
        <v>876</v>
      </c>
      <c r="O217" t="s">
        <v>82</v>
      </c>
      <c r="P217" t="str">
        <f>"INV-00116036 CT092970         "</f>
        <v xml:space="preserve">INV-00116036 CT092970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36.08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0.4</v>
      </c>
      <c r="BJ217">
        <v>2.7</v>
      </c>
      <c r="BK217">
        <v>3</v>
      </c>
      <c r="BL217">
        <v>108.96</v>
      </c>
      <c r="BM217">
        <v>16.34</v>
      </c>
      <c r="BN217">
        <v>125.3</v>
      </c>
      <c r="BO217">
        <v>125.3</v>
      </c>
      <c r="BR217" t="s">
        <v>101</v>
      </c>
      <c r="BS217" s="3">
        <v>45729</v>
      </c>
      <c r="BT217" s="4">
        <v>0.46250000000000002</v>
      </c>
      <c r="BU217" t="s">
        <v>877</v>
      </c>
      <c r="BV217" t="s">
        <v>87</v>
      </c>
      <c r="BY217">
        <v>13662.05</v>
      </c>
      <c r="BZ217" t="s">
        <v>90</v>
      </c>
      <c r="CA217" t="s">
        <v>804</v>
      </c>
      <c r="CC217" t="s">
        <v>503</v>
      </c>
      <c r="CD217">
        <v>5201</v>
      </c>
      <c r="CE217" t="s">
        <v>237</v>
      </c>
      <c r="CF217" s="3">
        <v>45730</v>
      </c>
      <c r="CI217">
        <v>1</v>
      </c>
      <c r="CJ217">
        <v>1</v>
      </c>
      <c r="CK217">
        <v>21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"GAB2024839"</f>
        <v>GAB2024839</v>
      </c>
      <c r="F218" s="3">
        <v>45728</v>
      </c>
      <c r="G218">
        <v>202512</v>
      </c>
      <c r="H218" t="s">
        <v>97</v>
      </c>
      <c r="I218" t="s">
        <v>98</v>
      </c>
      <c r="J218" t="s">
        <v>99</v>
      </c>
      <c r="K218" t="s">
        <v>78</v>
      </c>
      <c r="L218" t="s">
        <v>540</v>
      </c>
      <c r="M218" t="s">
        <v>541</v>
      </c>
      <c r="N218" t="s">
        <v>542</v>
      </c>
      <c r="O218" t="s">
        <v>82</v>
      </c>
      <c r="P218" t="str">
        <f>"INV-00033510 031033           "</f>
        <v xml:space="preserve">INV-00033510 031033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57.13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2.4</v>
      </c>
      <c r="BK218">
        <v>2.5</v>
      </c>
      <c r="BL218">
        <v>172.55</v>
      </c>
      <c r="BM218">
        <v>25.88</v>
      </c>
      <c r="BN218">
        <v>198.43</v>
      </c>
      <c r="BO218">
        <v>198.43</v>
      </c>
      <c r="BQ218" t="s">
        <v>783</v>
      </c>
      <c r="BR218" t="s">
        <v>101</v>
      </c>
      <c r="BS218" t="s">
        <v>83</v>
      </c>
      <c r="BY218">
        <v>12000</v>
      </c>
      <c r="CC218" t="s">
        <v>541</v>
      </c>
      <c r="CD218">
        <v>6500</v>
      </c>
      <c r="CE218" t="s">
        <v>149</v>
      </c>
      <c r="CI218">
        <v>1</v>
      </c>
      <c r="CJ218" t="s">
        <v>83</v>
      </c>
      <c r="CK218">
        <v>23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"009943325925"</f>
        <v>009943325925</v>
      </c>
      <c r="F219" s="3">
        <v>45728</v>
      </c>
      <c r="G219">
        <v>202512</v>
      </c>
      <c r="H219" t="s">
        <v>79</v>
      </c>
      <c r="I219" t="s">
        <v>80</v>
      </c>
      <c r="J219" t="s">
        <v>194</v>
      </c>
      <c r="K219" t="s">
        <v>78</v>
      </c>
      <c r="L219" t="s">
        <v>519</v>
      </c>
      <c r="M219" t="s">
        <v>520</v>
      </c>
      <c r="N219" t="s">
        <v>878</v>
      </c>
      <c r="O219" t="s">
        <v>100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59.96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22</v>
      </c>
      <c r="BJ219">
        <v>4.5</v>
      </c>
      <c r="BK219">
        <v>22</v>
      </c>
      <c r="BL219">
        <v>186.67</v>
      </c>
      <c r="BM219">
        <v>28</v>
      </c>
      <c r="BN219">
        <v>214.67</v>
      </c>
      <c r="BO219">
        <v>214.67</v>
      </c>
      <c r="BQ219" t="s">
        <v>879</v>
      </c>
      <c r="BR219" t="s">
        <v>196</v>
      </c>
      <c r="BS219" s="3">
        <v>45730</v>
      </c>
      <c r="BT219" s="4">
        <v>0.47013888888888888</v>
      </c>
      <c r="BU219" t="s">
        <v>880</v>
      </c>
      <c r="BV219" t="s">
        <v>109</v>
      </c>
      <c r="BY219">
        <v>11250</v>
      </c>
      <c r="BZ219" t="s">
        <v>260</v>
      </c>
      <c r="CA219" t="s">
        <v>881</v>
      </c>
      <c r="CC219" t="s">
        <v>520</v>
      </c>
      <c r="CD219">
        <v>6000</v>
      </c>
      <c r="CE219" t="s">
        <v>200</v>
      </c>
      <c r="CF219" s="3">
        <v>45730</v>
      </c>
      <c r="CI219">
        <v>3</v>
      </c>
      <c r="CJ219">
        <v>2</v>
      </c>
      <c r="CK219">
        <v>41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"009944695117"</f>
        <v>009944695117</v>
      </c>
      <c r="F220" s="3">
        <v>45728</v>
      </c>
      <c r="G220">
        <v>202512</v>
      </c>
      <c r="H220" t="s">
        <v>79</v>
      </c>
      <c r="I220" t="s">
        <v>80</v>
      </c>
      <c r="J220" t="s">
        <v>194</v>
      </c>
      <c r="K220" t="s">
        <v>78</v>
      </c>
      <c r="L220" t="s">
        <v>97</v>
      </c>
      <c r="M220" t="s">
        <v>98</v>
      </c>
      <c r="N220" t="s">
        <v>119</v>
      </c>
      <c r="O220" t="s">
        <v>100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102.22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4</v>
      </c>
      <c r="BI220">
        <v>44</v>
      </c>
      <c r="BJ220">
        <v>9</v>
      </c>
      <c r="BK220">
        <v>44</v>
      </c>
      <c r="BL220">
        <v>314.29000000000002</v>
      </c>
      <c r="BM220">
        <v>47.14</v>
      </c>
      <c r="BN220">
        <v>361.43</v>
      </c>
      <c r="BO220">
        <v>361.43</v>
      </c>
      <c r="BQ220" t="s">
        <v>882</v>
      </c>
      <c r="BR220" t="s">
        <v>196</v>
      </c>
      <c r="BS220" s="3">
        <v>45733</v>
      </c>
      <c r="BT220" s="4">
        <v>0.46805555555555556</v>
      </c>
      <c r="BU220" t="s">
        <v>817</v>
      </c>
      <c r="BV220" t="s">
        <v>109</v>
      </c>
      <c r="BY220">
        <v>11250</v>
      </c>
      <c r="BZ220" t="s">
        <v>260</v>
      </c>
      <c r="CA220" t="s">
        <v>104</v>
      </c>
      <c r="CC220" t="s">
        <v>98</v>
      </c>
      <c r="CD220">
        <v>7460</v>
      </c>
      <c r="CE220" t="s">
        <v>200</v>
      </c>
      <c r="CF220" s="3">
        <v>45734</v>
      </c>
      <c r="CI220">
        <v>3</v>
      </c>
      <c r="CJ220">
        <v>3</v>
      </c>
      <c r="CK220">
        <v>41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"GAB2024813"</f>
        <v>GAB2024813</v>
      </c>
      <c r="F221" s="3">
        <v>45728</v>
      </c>
      <c r="G221">
        <v>202512</v>
      </c>
      <c r="H221" t="s">
        <v>97</v>
      </c>
      <c r="I221" t="s">
        <v>98</v>
      </c>
      <c r="J221" t="s">
        <v>99</v>
      </c>
      <c r="K221" t="s">
        <v>78</v>
      </c>
      <c r="L221" t="s">
        <v>299</v>
      </c>
      <c r="M221" t="s">
        <v>300</v>
      </c>
      <c r="N221" t="s">
        <v>883</v>
      </c>
      <c r="O221" t="s">
        <v>100</v>
      </c>
      <c r="P221" t="str">
        <f>"INV-00115992 CT092961         "</f>
        <v xml:space="preserve">INV-00115992 CT092961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46.52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1.5</v>
      </c>
      <c r="BJ221">
        <v>1.7</v>
      </c>
      <c r="BK221">
        <v>2</v>
      </c>
      <c r="BL221">
        <v>146.07</v>
      </c>
      <c r="BM221">
        <v>21.91</v>
      </c>
      <c r="BN221">
        <v>167.98</v>
      </c>
      <c r="BO221">
        <v>167.98</v>
      </c>
      <c r="BR221" t="s">
        <v>101</v>
      </c>
      <c r="BS221" s="3">
        <v>45730</v>
      </c>
      <c r="BT221" s="4">
        <v>0.56874999999999998</v>
      </c>
      <c r="BU221" t="s">
        <v>884</v>
      </c>
      <c r="BV221" t="s">
        <v>109</v>
      </c>
      <c r="BY221">
        <v>8386.9500000000007</v>
      </c>
      <c r="CA221" t="s">
        <v>885</v>
      </c>
      <c r="CC221" t="s">
        <v>300</v>
      </c>
      <c r="CD221">
        <v>2162</v>
      </c>
      <c r="CE221" t="s">
        <v>886</v>
      </c>
      <c r="CF221" s="3">
        <v>45731</v>
      </c>
      <c r="CI221">
        <v>2</v>
      </c>
      <c r="CJ221">
        <v>2</v>
      </c>
      <c r="CK221">
        <v>41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"GAB2024814"</f>
        <v>GAB2024814</v>
      </c>
      <c r="F222" s="3">
        <v>45728</v>
      </c>
      <c r="G222">
        <v>202512</v>
      </c>
      <c r="H222" t="s">
        <v>97</v>
      </c>
      <c r="I222" t="s">
        <v>98</v>
      </c>
      <c r="J222" t="s">
        <v>99</v>
      </c>
      <c r="K222" t="s">
        <v>78</v>
      </c>
      <c r="L222" t="s">
        <v>887</v>
      </c>
      <c r="M222" t="s">
        <v>888</v>
      </c>
      <c r="N222" t="s">
        <v>889</v>
      </c>
      <c r="O222" t="s">
        <v>100</v>
      </c>
      <c r="P222" t="str">
        <f>"INV-00033429 030962           "</f>
        <v xml:space="preserve">INV-00033429 030962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105.83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9.8000000000000007</v>
      </c>
      <c r="BJ222">
        <v>27</v>
      </c>
      <c r="BK222">
        <v>27</v>
      </c>
      <c r="BL222">
        <v>325.19</v>
      </c>
      <c r="BM222">
        <v>48.78</v>
      </c>
      <c r="BN222">
        <v>373.97</v>
      </c>
      <c r="BO222">
        <v>373.97</v>
      </c>
      <c r="BQ222" t="s">
        <v>210</v>
      </c>
      <c r="BR222" t="s">
        <v>101</v>
      </c>
      <c r="BS222" s="3">
        <v>45733</v>
      </c>
      <c r="BT222" s="4">
        <v>0.53888888888888886</v>
      </c>
      <c r="BU222" t="s">
        <v>890</v>
      </c>
      <c r="BV222" t="s">
        <v>109</v>
      </c>
      <c r="BY222">
        <v>134770.48000000001</v>
      </c>
      <c r="CA222" t="s">
        <v>891</v>
      </c>
      <c r="CC222" t="s">
        <v>888</v>
      </c>
      <c r="CD222" s="5" t="s">
        <v>892</v>
      </c>
      <c r="CE222" t="s">
        <v>111</v>
      </c>
      <c r="CF222" s="3">
        <v>45734</v>
      </c>
      <c r="CI222">
        <v>2</v>
      </c>
      <c r="CJ222">
        <v>3</v>
      </c>
      <c r="CK222">
        <v>43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"GAB2024822"</f>
        <v>GAB2024822</v>
      </c>
      <c r="F223" s="3">
        <v>45728</v>
      </c>
      <c r="G223">
        <v>202512</v>
      </c>
      <c r="H223" t="s">
        <v>97</v>
      </c>
      <c r="I223" t="s">
        <v>98</v>
      </c>
      <c r="J223" t="s">
        <v>99</v>
      </c>
      <c r="K223" t="s">
        <v>78</v>
      </c>
      <c r="L223" t="s">
        <v>97</v>
      </c>
      <c r="M223" t="s">
        <v>98</v>
      </c>
      <c r="N223" t="s">
        <v>893</v>
      </c>
      <c r="O223" t="s">
        <v>100</v>
      </c>
      <c r="P223" t="str">
        <f>"INV-00116022 CT092923         "</f>
        <v xml:space="preserve">INV-00116022 CT092923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35.9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0.8</v>
      </c>
      <c r="BJ223">
        <v>2</v>
      </c>
      <c r="BK223">
        <v>2</v>
      </c>
      <c r="BL223">
        <v>113.99</v>
      </c>
      <c r="BM223">
        <v>17.100000000000001</v>
      </c>
      <c r="BN223">
        <v>131.09</v>
      </c>
      <c r="BO223">
        <v>131.09</v>
      </c>
      <c r="BQ223" t="s">
        <v>894</v>
      </c>
      <c r="BR223" t="s">
        <v>101</v>
      </c>
      <c r="BS223" s="3">
        <v>45729</v>
      </c>
      <c r="BT223" s="4">
        <v>0.38333333333333336</v>
      </c>
      <c r="BU223" t="s">
        <v>895</v>
      </c>
      <c r="BV223" t="s">
        <v>109</v>
      </c>
      <c r="BY223">
        <v>10017.42</v>
      </c>
      <c r="CA223" t="s">
        <v>896</v>
      </c>
      <c r="CC223" t="s">
        <v>98</v>
      </c>
      <c r="CD223">
        <v>7579</v>
      </c>
      <c r="CE223" t="s">
        <v>437</v>
      </c>
      <c r="CF223" s="3">
        <v>45730</v>
      </c>
      <c r="CI223">
        <v>1</v>
      </c>
      <c r="CJ223">
        <v>1</v>
      </c>
      <c r="CK223">
        <v>42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"GAB2024823"</f>
        <v>GAB2024823</v>
      </c>
      <c r="F224" s="3">
        <v>45728</v>
      </c>
      <c r="G224">
        <v>202512</v>
      </c>
      <c r="H224" t="s">
        <v>97</v>
      </c>
      <c r="I224" t="s">
        <v>98</v>
      </c>
      <c r="J224" t="s">
        <v>99</v>
      </c>
      <c r="K224" t="s">
        <v>78</v>
      </c>
      <c r="L224" t="s">
        <v>97</v>
      </c>
      <c r="M224" t="s">
        <v>98</v>
      </c>
      <c r="N224" t="s">
        <v>691</v>
      </c>
      <c r="O224" t="s">
        <v>100</v>
      </c>
      <c r="P224" t="str">
        <f>"INV-00116012  00116013 0011599"</f>
        <v>INV-00116012  00116013 0011599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35.9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1.7</v>
      </c>
      <c r="BJ224">
        <v>6</v>
      </c>
      <c r="BK224">
        <v>6</v>
      </c>
      <c r="BL224">
        <v>113.99</v>
      </c>
      <c r="BM224">
        <v>17.100000000000001</v>
      </c>
      <c r="BN224">
        <v>131.09</v>
      </c>
      <c r="BO224">
        <v>131.09</v>
      </c>
      <c r="BQ224" t="s">
        <v>692</v>
      </c>
      <c r="BR224" t="s">
        <v>101</v>
      </c>
      <c r="BS224" s="3">
        <v>45729</v>
      </c>
      <c r="BT224" s="4">
        <v>0.48125000000000001</v>
      </c>
      <c r="BU224" t="s">
        <v>897</v>
      </c>
      <c r="BV224" t="s">
        <v>109</v>
      </c>
      <c r="BY224">
        <v>29979.18</v>
      </c>
      <c r="CA224" t="s">
        <v>898</v>
      </c>
      <c r="CC224" t="s">
        <v>98</v>
      </c>
      <c r="CD224">
        <v>7441</v>
      </c>
      <c r="CE224" t="s">
        <v>111</v>
      </c>
      <c r="CF224" s="3">
        <v>45730</v>
      </c>
      <c r="CI224">
        <v>1</v>
      </c>
      <c r="CJ224">
        <v>1</v>
      </c>
      <c r="CK224">
        <v>42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"GAB2024824"</f>
        <v>GAB2024824</v>
      </c>
      <c r="F225" s="3">
        <v>45728</v>
      </c>
      <c r="G225">
        <v>202512</v>
      </c>
      <c r="H225" t="s">
        <v>97</v>
      </c>
      <c r="I225" t="s">
        <v>98</v>
      </c>
      <c r="J225" t="s">
        <v>99</v>
      </c>
      <c r="K225" t="s">
        <v>78</v>
      </c>
      <c r="L225" t="s">
        <v>899</v>
      </c>
      <c r="M225" t="s">
        <v>900</v>
      </c>
      <c r="N225" t="s">
        <v>901</v>
      </c>
      <c r="O225" t="s">
        <v>100</v>
      </c>
      <c r="P225" t="str">
        <f>"INV-00033486 00033456 00033457"</f>
        <v>INV-00033486 00033456 00033457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65.61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3.6</v>
      </c>
      <c r="BJ225">
        <v>12.5</v>
      </c>
      <c r="BK225">
        <v>13</v>
      </c>
      <c r="BL225">
        <v>203.73</v>
      </c>
      <c r="BM225">
        <v>30.56</v>
      </c>
      <c r="BN225">
        <v>234.29</v>
      </c>
      <c r="BO225">
        <v>234.29</v>
      </c>
      <c r="BQ225" t="s">
        <v>372</v>
      </c>
      <c r="BR225" t="s">
        <v>101</v>
      </c>
      <c r="BS225" s="3">
        <v>45730</v>
      </c>
      <c r="BT225" s="4">
        <v>0.41666666666666669</v>
      </c>
      <c r="BU225" t="s">
        <v>902</v>
      </c>
      <c r="BV225" t="s">
        <v>109</v>
      </c>
      <c r="BY225">
        <v>62473.95</v>
      </c>
      <c r="CA225" t="s">
        <v>903</v>
      </c>
      <c r="CC225" t="s">
        <v>900</v>
      </c>
      <c r="CD225">
        <v>1030</v>
      </c>
      <c r="CE225" t="s">
        <v>111</v>
      </c>
      <c r="CF225" s="3">
        <v>45730</v>
      </c>
      <c r="CI225">
        <v>6</v>
      </c>
      <c r="CJ225">
        <v>2</v>
      </c>
      <c r="CK225">
        <v>43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"GAB2024830"</f>
        <v>GAB2024830</v>
      </c>
      <c r="F226" s="3">
        <v>45728</v>
      </c>
      <c r="G226">
        <v>202512</v>
      </c>
      <c r="H226" t="s">
        <v>97</v>
      </c>
      <c r="I226" t="s">
        <v>98</v>
      </c>
      <c r="J226" t="s">
        <v>99</v>
      </c>
      <c r="K226" t="s">
        <v>78</v>
      </c>
      <c r="L226" t="s">
        <v>697</v>
      </c>
      <c r="M226" t="s">
        <v>698</v>
      </c>
      <c r="N226" t="s">
        <v>904</v>
      </c>
      <c r="O226" t="s">
        <v>100</v>
      </c>
      <c r="P226" t="str">
        <f>"INV-00033487 031002           "</f>
        <v xml:space="preserve">INV-00033487 031002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65.61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5.3</v>
      </c>
      <c r="BJ226">
        <v>12.4</v>
      </c>
      <c r="BK226">
        <v>13</v>
      </c>
      <c r="BL226">
        <v>203.73</v>
      </c>
      <c r="BM226">
        <v>30.56</v>
      </c>
      <c r="BN226">
        <v>234.29</v>
      </c>
      <c r="BO226">
        <v>234.29</v>
      </c>
      <c r="BR226" t="s">
        <v>101</v>
      </c>
      <c r="BS226" s="3">
        <v>45733</v>
      </c>
      <c r="BT226" s="4">
        <v>0.52916666666666667</v>
      </c>
      <c r="BU226" t="s">
        <v>905</v>
      </c>
      <c r="BV226" t="s">
        <v>109</v>
      </c>
      <c r="BY226">
        <v>62092.800000000003</v>
      </c>
      <c r="CA226" t="s">
        <v>906</v>
      </c>
      <c r="CC226" t="s">
        <v>698</v>
      </c>
      <c r="CD226">
        <v>8801</v>
      </c>
      <c r="CE226" t="s">
        <v>111</v>
      </c>
      <c r="CF226" s="3">
        <v>45734</v>
      </c>
      <c r="CI226">
        <v>5</v>
      </c>
      <c r="CJ226">
        <v>3</v>
      </c>
      <c r="CK226">
        <v>43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"GAB2024831"</f>
        <v>GAB2024831</v>
      </c>
      <c r="F227" s="3">
        <v>45728</v>
      </c>
      <c r="G227">
        <v>202512</v>
      </c>
      <c r="H227" t="s">
        <v>97</v>
      </c>
      <c r="I227" t="s">
        <v>98</v>
      </c>
      <c r="J227" t="s">
        <v>99</v>
      </c>
      <c r="K227" t="s">
        <v>78</v>
      </c>
      <c r="L227" t="s">
        <v>79</v>
      </c>
      <c r="M227" t="s">
        <v>80</v>
      </c>
      <c r="N227" t="s">
        <v>604</v>
      </c>
      <c r="O227" t="s">
        <v>100</v>
      </c>
      <c r="P227" t="str">
        <f>"INV-00115983 CT093059         "</f>
        <v xml:space="preserve">INV-00115983 CT093059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56.12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7.9</v>
      </c>
      <c r="BJ227">
        <v>19.7</v>
      </c>
      <c r="BK227">
        <v>20</v>
      </c>
      <c r="BL227">
        <v>175.07</v>
      </c>
      <c r="BM227">
        <v>26.26</v>
      </c>
      <c r="BN227">
        <v>201.33</v>
      </c>
      <c r="BO227">
        <v>201.33</v>
      </c>
      <c r="BQ227" t="s">
        <v>459</v>
      </c>
      <c r="BR227" t="s">
        <v>101</v>
      </c>
      <c r="BS227" s="3">
        <v>45730</v>
      </c>
      <c r="BT227" s="4">
        <v>0.37986111111111109</v>
      </c>
      <c r="BU227" t="s">
        <v>907</v>
      </c>
      <c r="BV227" t="s">
        <v>109</v>
      </c>
      <c r="BY227">
        <v>98480.61</v>
      </c>
      <c r="CA227" t="s">
        <v>908</v>
      </c>
      <c r="CC227" t="s">
        <v>80</v>
      </c>
      <c r="CD227" s="5" t="s">
        <v>92</v>
      </c>
      <c r="CE227" t="s">
        <v>111</v>
      </c>
      <c r="CF227" s="3">
        <v>45730</v>
      </c>
      <c r="CI227">
        <v>3</v>
      </c>
      <c r="CJ227">
        <v>2</v>
      </c>
      <c r="CK227">
        <v>41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"GAB2024833"</f>
        <v>GAB2024833</v>
      </c>
      <c r="F228" s="3">
        <v>45728</v>
      </c>
      <c r="G228">
        <v>202512</v>
      </c>
      <c r="H228" t="s">
        <v>97</v>
      </c>
      <c r="I228" t="s">
        <v>98</v>
      </c>
      <c r="J228" t="s">
        <v>99</v>
      </c>
      <c r="K228" t="s">
        <v>78</v>
      </c>
      <c r="L228" t="s">
        <v>710</v>
      </c>
      <c r="M228" t="s">
        <v>711</v>
      </c>
      <c r="N228" t="s">
        <v>712</v>
      </c>
      <c r="O228" t="s">
        <v>100</v>
      </c>
      <c r="P228" t="str">
        <f>"INV-00116030 CT092172         "</f>
        <v xml:space="preserve">INV-00116030 CT092172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109.18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10.1</v>
      </c>
      <c r="BJ228">
        <v>27.6</v>
      </c>
      <c r="BK228">
        <v>28</v>
      </c>
      <c r="BL228">
        <v>335.31</v>
      </c>
      <c r="BM228">
        <v>50.3</v>
      </c>
      <c r="BN228">
        <v>385.61</v>
      </c>
      <c r="BO228">
        <v>385.61</v>
      </c>
      <c r="BQ228" t="s">
        <v>713</v>
      </c>
      <c r="BR228" t="s">
        <v>101</v>
      </c>
      <c r="BS228" s="3">
        <v>45730</v>
      </c>
      <c r="BT228" s="4">
        <v>0.64930555555555558</v>
      </c>
      <c r="BU228" t="s">
        <v>909</v>
      </c>
      <c r="BV228" t="s">
        <v>109</v>
      </c>
      <c r="BY228">
        <v>138165.26999999999</v>
      </c>
      <c r="CA228" t="s">
        <v>910</v>
      </c>
      <c r="CC228" t="s">
        <v>711</v>
      </c>
      <c r="CD228">
        <v>1947</v>
      </c>
      <c r="CE228" t="s">
        <v>911</v>
      </c>
      <c r="CF228" s="3">
        <v>45730</v>
      </c>
      <c r="CI228">
        <v>2</v>
      </c>
      <c r="CJ228">
        <v>2</v>
      </c>
      <c r="CK228">
        <v>43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"GAB2024835"</f>
        <v>GAB2024835</v>
      </c>
      <c r="F229" s="3">
        <v>45728</v>
      </c>
      <c r="G229">
        <v>202512</v>
      </c>
      <c r="H229" t="s">
        <v>97</v>
      </c>
      <c r="I229" t="s">
        <v>98</v>
      </c>
      <c r="J229" t="s">
        <v>99</v>
      </c>
      <c r="K229" t="s">
        <v>78</v>
      </c>
      <c r="L229" t="s">
        <v>262</v>
      </c>
      <c r="M229" t="s">
        <v>263</v>
      </c>
      <c r="N229" t="s">
        <v>473</v>
      </c>
      <c r="O229" t="s">
        <v>100</v>
      </c>
      <c r="P229" t="str">
        <f>"INV-00116032 CT093102         "</f>
        <v xml:space="preserve">INV-00116032 CT093102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46.52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3.7</v>
      </c>
      <c r="BJ229">
        <v>13.2</v>
      </c>
      <c r="BK229">
        <v>14</v>
      </c>
      <c r="BL229">
        <v>146.07</v>
      </c>
      <c r="BM229">
        <v>21.91</v>
      </c>
      <c r="BN229">
        <v>167.98</v>
      </c>
      <c r="BO229">
        <v>167.98</v>
      </c>
      <c r="BQ229" t="s">
        <v>912</v>
      </c>
      <c r="BR229" t="s">
        <v>101</v>
      </c>
      <c r="BS229" s="3">
        <v>45730</v>
      </c>
      <c r="BT229" s="4">
        <v>0.32708333333333334</v>
      </c>
      <c r="BU229" t="s">
        <v>913</v>
      </c>
      <c r="BV229" t="s">
        <v>109</v>
      </c>
      <c r="BY229">
        <v>66165.25</v>
      </c>
      <c r="CA229" t="s">
        <v>645</v>
      </c>
      <c r="CC229" t="s">
        <v>263</v>
      </c>
      <c r="CD229" s="5" t="s">
        <v>444</v>
      </c>
      <c r="CE229" t="s">
        <v>118</v>
      </c>
      <c r="CF229" s="3">
        <v>45730</v>
      </c>
      <c r="CI229">
        <v>3</v>
      </c>
      <c r="CJ229">
        <v>2</v>
      </c>
      <c r="CK229">
        <v>41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"GAB2024837"</f>
        <v>GAB2024837</v>
      </c>
      <c r="F230" s="3">
        <v>45728</v>
      </c>
      <c r="G230">
        <v>202512</v>
      </c>
      <c r="H230" t="s">
        <v>97</v>
      </c>
      <c r="I230" t="s">
        <v>98</v>
      </c>
      <c r="J230" t="s">
        <v>99</v>
      </c>
      <c r="K230" t="s">
        <v>78</v>
      </c>
      <c r="L230" t="s">
        <v>413</v>
      </c>
      <c r="M230" t="s">
        <v>414</v>
      </c>
      <c r="N230" t="s">
        <v>914</v>
      </c>
      <c r="O230" t="s">
        <v>100</v>
      </c>
      <c r="P230" t="str">
        <f>"INV-00116031 CT093103         "</f>
        <v xml:space="preserve">INV-00116031 CT093103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67.650000000000006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9</v>
      </c>
      <c r="BJ230">
        <v>25.5</v>
      </c>
      <c r="BK230">
        <v>26</v>
      </c>
      <c r="BL230">
        <v>209.88</v>
      </c>
      <c r="BM230">
        <v>31.48</v>
      </c>
      <c r="BN230">
        <v>241.36</v>
      </c>
      <c r="BO230">
        <v>241.36</v>
      </c>
      <c r="BQ230" t="s">
        <v>915</v>
      </c>
      <c r="BR230" t="s">
        <v>101</v>
      </c>
      <c r="BS230" s="3">
        <v>45730</v>
      </c>
      <c r="BT230" s="4">
        <v>0.3576388888888889</v>
      </c>
      <c r="BU230" t="s">
        <v>916</v>
      </c>
      <c r="BV230" t="s">
        <v>109</v>
      </c>
      <c r="BY230">
        <v>127731.36</v>
      </c>
      <c r="CA230" t="s">
        <v>417</v>
      </c>
      <c r="CC230" t="s">
        <v>414</v>
      </c>
      <c r="CD230">
        <v>1200</v>
      </c>
      <c r="CE230" t="s">
        <v>118</v>
      </c>
      <c r="CF230" s="3">
        <v>45730</v>
      </c>
      <c r="CI230">
        <v>3</v>
      </c>
      <c r="CJ230">
        <v>2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"GAB2024840"</f>
        <v>GAB2024840</v>
      </c>
      <c r="F231" s="3">
        <v>45728</v>
      </c>
      <c r="G231">
        <v>202512</v>
      </c>
      <c r="H231" t="s">
        <v>97</v>
      </c>
      <c r="I231" t="s">
        <v>98</v>
      </c>
      <c r="J231" t="s">
        <v>99</v>
      </c>
      <c r="K231" t="s">
        <v>78</v>
      </c>
      <c r="L231" t="s">
        <v>262</v>
      </c>
      <c r="M231" t="s">
        <v>263</v>
      </c>
      <c r="N231" t="s">
        <v>917</v>
      </c>
      <c r="O231" t="s">
        <v>100</v>
      </c>
      <c r="P231" t="str">
        <f>"INV-00033509 031032           "</f>
        <v xml:space="preserve">INV-00033509 031032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115.66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28.2</v>
      </c>
      <c r="BJ231">
        <v>50.8</v>
      </c>
      <c r="BK231">
        <v>51</v>
      </c>
      <c r="BL231">
        <v>354.89</v>
      </c>
      <c r="BM231">
        <v>53.23</v>
      </c>
      <c r="BN231">
        <v>408.12</v>
      </c>
      <c r="BO231">
        <v>408.12</v>
      </c>
      <c r="BR231" t="s">
        <v>101</v>
      </c>
      <c r="BS231" s="3">
        <v>45730</v>
      </c>
      <c r="BT231" s="4">
        <v>0.47152777777777777</v>
      </c>
      <c r="BU231" t="s">
        <v>918</v>
      </c>
      <c r="BV231" t="s">
        <v>109</v>
      </c>
      <c r="BY231">
        <v>253939.32</v>
      </c>
      <c r="CA231" t="s">
        <v>919</v>
      </c>
      <c r="CC231" t="s">
        <v>263</v>
      </c>
      <c r="CD231" s="5" t="s">
        <v>920</v>
      </c>
      <c r="CE231" t="s">
        <v>111</v>
      </c>
      <c r="CF231" s="3">
        <v>45730</v>
      </c>
      <c r="CI231">
        <v>3</v>
      </c>
      <c r="CJ231">
        <v>2</v>
      </c>
      <c r="CK231">
        <v>41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"009940256427"</f>
        <v>009940256427</v>
      </c>
      <c r="F232" s="3">
        <v>45727</v>
      </c>
      <c r="G232">
        <v>202512</v>
      </c>
      <c r="H232" t="s">
        <v>97</v>
      </c>
      <c r="I232" t="s">
        <v>98</v>
      </c>
      <c r="J232" t="s">
        <v>119</v>
      </c>
      <c r="K232" t="s">
        <v>78</v>
      </c>
      <c r="L232" t="s">
        <v>921</v>
      </c>
      <c r="M232" t="s">
        <v>922</v>
      </c>
      <c r="N232" t="s">
        <v>923</v>
      </c>
      <c r="O232" t="s">
        <v>924</v>
      </c>
      <c r="P232" t="str">
        <f>"CT 092974-00115933            "</f>
        <v xml:space="preserve">CT 092974-00115933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173.23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</v>
      </c>
      <c r="BJ232">
        <v>5.8</v>
      </c>
      <c r="BK232">
        <v>6</v>
      </c>
      <c r="BL232">
        <v>909.2</v>
      </c>
      <c r="BM232">
        <v>0</v>
      </c>
      <c r="BN232">
        <v>909.2</v>
      </c>
      <c r="BO232">
        <v>909.2</v>
      </c>
      <c r="BR232" t="s">
        <v>617</v>
      </c>
      <c r="BS232" s="3">
        <v>45733</v>
      </c>
      <c r="BT232" s="4">
        <v>0.54374999999999996</v>
      </c>
      <c r="BU232" t="s">
        <v>925</v>
      </c>
      <c r="BW232" t="s">
        <v>198</v>
      </c>
      <c r="BX232" t="s">
        <v>926</v>
      </c>
      <c r="BY232">
        <v>28800</v>
      </c>
      <c r="BZ232" t="s">
        <v>927</v>
      </c>
      <c r="CC232" t="s">
        <v>922</v>
      </c>
      <c r="CD232" t="s">
        <v>928</v>
      </c>
      <c r="CE232" t="s">
        <v>265</v>
      </c>
      <c r="CF232" s="3">
        <v>45743</v>
      </c>
      <c r="CI232">
        <v>0</v>
      </c>
      <c r="CJ232">
        <v>0</v>
      </c>
      <c r="CK232">
        <v>303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"RGAB2024793"</f>
        <v>RGAB2024793</v>
      </c>
      <c r="F233" s="3">
        <v>45729</v>
      </c>
      <c r="G233">
        <v>202512</v>
      </c>
      <c r="H233" t="s">
        <v>97</v>
      </c>
      <c r="I233" t="s">
        <v>98</v>
      </c>
      <c r="J233" t="s">
        <v>929</v>
      </c>
      <c r="K233" t="s">
        <v>78</v>
      </c>
      <c r="L233" t="s">
        <v>540</v>
      </c>
      <c r="M233" t="s">
        <v>541</v>
      </c>
      <c r="N233" t="s">
        <v>930</v>
      </c>
      <c r="O233" t="s">
        <v>82</v>
      </c>
      <c r="P233" t="str">
        <f>"INV-00033410 030598           "</f>
        <v xml:space="preserve">INV-00033410 030598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46.61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</v>
      </c>
      <c r="BK233">
        <v>2</v>
      </c>
      <c r="BL233">
        <v>140.77000000000001</v>
      </c>
      <c r="BM233">
        <v>21.12</v>
      </c>
      <c r="BN233">
        <v>161.88999999999999</v>
      </c>
      <c r="BO233">
        <v>161.88999999999999</v>
      </c>
      <c r="BQ233" t="s">
        <v>783</v>
      </c>
      <c r="BR233" t="s">
        <v>101</v>
      </c>
      <c r="BS233" s="3">
        <v>45733</v>
      </c>
      <c r="BT233" s="4">
        <v>0.45902777777777776</v>
      </c>
      <c r="BU233" t="s">
        <v>820</v>
      </c>
      <c r="BV233" t="s">
        <v>87</v>
      </c>
      <c r="BY233">
        <v>10068.75</v>
      </c>
      <c r="BZ233" t="s">
        <v>90</v>
      </c>
      <c r="CA233" t="s">
        <v>821</v>
      </c>
      <c r="CC233" t="s">
        <v>541</v>
      </c>
      <c r="CD233">
        <v>6500</v>
      </c>
      <c r="CE233" t="s">
        <v>213</v>
      </c>
      <c r="CF233" s="3">
        <v>45733</v>
      </c>
      <c r="CI233">
        <v>1</v>
      </c>
      <c r="CJ233">
        <v>2</v>
      </c>
      <c r="CK233">
        <v>23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"GAB2024841"</f>
        <v>GAB2024841</v>
      </c>
      <c r="F234" s="3">
        <v>45729</v>
      </c>
      <c r="G234">
        <v>202512</v>
      </c>
      <c r="H234" t="s">
        <v>97</v>
      </c>
      <c r="I234" t="s">
        <v>98</v>
      </c>
      <c r="J234" t="s">
        <v>99</v>
      </c>
      <c r="K234" t="s">
        <v>78</v>
      </c>
      <c r="L234" t="s">
        <v>931</v>
      </c>
      <c r="M234" t="s">
        <v>932</v>
      </c>
      <c r="N234" t="s">
        <v>933</v>
      </c>
      <c r="O234" t="s">
        <v>82</v>
      </c>
      <c r="P234" t="str">
        <f>"INV-00033555 030821           "</f>
        <v xml:space="preserve">INV-00033555 030821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57.13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2.5</v>
      </c>
      <c r="BK234">
        <v>2.5</v>
      </c>
      <c r="BL234">
        <v>172.55</v>
      </c>
      <c r="BM234">
        <v>25.88</v>
      </c>
      <c r="BN234">
        <v>198.43</v>
      </c>
      <c r="BO234">
        <v>198.43</v>
      </c>
      <c r="BR234" t="s">
        <v>101</v>
      </c>
      <c r="BS234" s="3">
        <v>45733</v>
      </c>
      <c r="BT234" s="4">
        <v>0.52013888888888893</v>
      </c>
      <c r="BU234" t="s">
        <v>934</v>
      </c>
      <c r="BV234" t="s">
        <v>109</v>
      </c>
      <c r="BY234">
        <v>12366.2</v>
      </c>
      <c r="BZ234" t="s">
        <v>90</v>
      </c>
      <c r="CC234" t="s">
        <v>932</v>
      </c>
      <c r="CD234">
        <v>5099</v>
      </c>
      <c r="CE234" t="s">
        <v>129</v>
      </c>
      <c r="CF234" s="3">
        <v>45734</v>
      </c>
      <c r="CI234">
        <v>4</v>
      </c>
      <c r="CJ234">
        <v>2</v>
      </c>
      <c r="CK234">
        <v>23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"GAB2024842"</f>
        <v>GAB2024842</v>
      </c>
      <c r="F235" s="3">
        <v>45729</v>
      </c>
      <c r="G235">
        <v>202512</v>
      </c>
      <c r="H235" t="s">
        <v>97</v>
      </c>
      <c r="I235" t="s">
        <v>98</v>
      </c>
      <c r="J235" t="s">
        <v>99</v>
      </c>
      <c r="K235" t="s">
        <v>78</v>
      </c>
      <c r="L235" t="s">
        <v>97</v>
      </c>
      <c r="M235" t="s">
        <v>98</v>
      </c>
      <c r="N235" t="s">
        <v>206</v>
      </c>
      <c r="O235" t="s">
        <v>82</v>
      </c>
      <c r="P235" t="str">
        <f>"INV-00116071 CT093117         "</f>
        <v xml:space="preserve">INV-00116071 CT093117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18.79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56.75</v>
      </c>
      <c r="BM235">
        <v>8.51</v>
      </c>
      <c r="BN235">
        <v>65.260000000000005</v>
      </c>
      <c r="BO235">
        <v>65.260000000000005</v>
      </c>
      <c r="BQ235" t="s">
        <v>207</v>
      </c>
      <c r="BR235" t="s">
        <v>101</v>
      </c>
      <c r="BS235" s="3">
        <v>45730</v>
      </c>
      <c r="BT235" s="4">
        <v>0.42777777777777776</v>
      </c>
      <c r="BU235" t="s">
        <v>527</v>
      </c>
      <c r="BV235" t="s">
        <v>109</v>
      </c>
      <c r="BY235">
        <v>9932.7999999999993</v>
      </c>
      <c r="BZ235" t="s">
        <v>90</v>
      </c>
      <c r="CA235" t="s">
        <v>315</v>
      </c>
      <c r="CC235" t="s">
        <v>98</v>
      </c>
      <c r="CD235">
        <v>7550</v>
      </c>
      <c r="CE235" t="s">
        <v>149</v>
      </c>
      <c r="CF235" s="3">
        <v>45733</v>
      </c>
      <c r="CI235">
        <v>1</v>
      </c>
      <c r="CJ235">
        <v>1</v>
      </c>
      <c r="CK235">
        <v>22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"GAB2024843"</f>
        <v>GAB2024843</v>
      </c>
      <c r="F236" s="3">
        <v>45729</v>
      </c>
      <c r="G236">
        <v>202512</v>
      </c>
      <c r="H236" t="s">
        <v>97</v>
      </c>
      <c r="I236" t="s">
        <v>98</v>
      </c>
      <c r="J236" t="s">
        <v>99</v>
      </c>
      <c r="K236" t="s">
        <v>78</v>
      </c>
      <c r="L236" t="s">
        <v>339</v>
      </c>
      <c r="M236" t="s">
        <v>340</v>
      </c>
      <c r="N236" t="s">
        <v>935</v>
      </c>
      <c r="O236" t="s">
        <v>82</v>
      </c>
      <c r="P236" t="str">
        <f>"INV-00116072 CT093136         "</f>
        <v xml:space="preserve">INV-00116072 CT093136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18.79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2.1</v>
      </c>
      <c r="BK236">
        <v>3</v>
      </c>
      <c r="BL236">
        <v>56.75</v>
      </c>
      <c r="BM236">
        <v>8.51</v>
      </c>
      <c r="BN236">
        <v>65.260000000000005</v>
      </c>
      <c r="BO236">
        <v>65.260000000000005</v>
      </c>
      <c r="BQ236" t="s">
        <v>459</v>
      </c>
      <c r="BR236" t="s">
        <v>101</v>
      </c>
      <c r="BS236" s="3">
        <v>45733</v>
      </c>
      <c r="BT236" s="4">
        <v>0.37152777777777779</v>
      </c>
      <c r="BU236" t="s">
        <v>936</v>
      </c>
      <c r="BV236" t="s">
        <v>87</v>
      </c>
      <c r="BW236" t="s">
        <v>204</v>
      </c>
      <c r="BX236" t="s">
        <v>205</v>
      </c>
      <c r="BY236">
        <v>10537.6</v>
      </c>
      <c r="BZ236" t="s">
        <v>90</v>
      </c>
      <c r="CA236" t="s">
        <v>380</v>
      </c>
      <c r="CC236" t="s">
        <v>340</v>
      </c>
      <c r="CD236">
        <v>7600</v>
      </c>
      <c r="CE236" t="s">
        <v>137</v>
      </c>
      <c r="CF236" s="3">
        <v>45734</v>
      </c>
      <c r="CI236">
        <v>1</v>
      </c>
      <c r="CJ236">
        <v>2</v>
      </c>
      <c r="CK236">
        <v>22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"GAB2024844"</f>
        <v>GAB2024844</v>
      </c>
      <c r="F237" s="3">
        <v>45729</v>
      </c>
      <c r="G237">
        <v>202512</v>
      </c>
      <c r="H237" t="s">
        <v>97</v>
      </c>
      <c r="I237" t="s">
        <v>98</v>
      </c>
      <c r="J237" t="s">
        <v>99</v>
      </c>
      <c r="K237" t="s">
        <v>78</v>
      </c>
      <c r="L237" t="s">
        <v>339</v>
      </c>
      <c r="M237" t="s">
        <v>340</v>
      </c>
      <c r="N237" t="s">
        <v>341</v>
      </c>
      <c r="O237" t="s">
        <v>82</v>
      </c>
      <c r="P237" t="str">
        <f>"INV-00116073 CT093137         "</f>
        <v xml:space="preserve">INV-00116073 CT093137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18.79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</v>
      </c>
      <c r="BK237">
        <v>2</v>
      </c>
      <c r="BL237">
        <v>56.75</v>
      </c>
      <c r="BM237">
        <v>8.51</v>
      </c>
      <c r="BN237">
        <v>65.260000000000005</v>
      </c>
      <c r="BO237">
        <v>65.260000000000005</v>
      </c>
      <c r="BQ237" t="s">
        <v>342</v>
      </c>
      <c r="BR237" t="s">
        <v>101</v>
      </c>
      <c r="BS237" s="3">
        <v>45730</v>
      </c>
      <c r="BT237" s="4">
        <v>0.41666666666666669</v>
      </c>
      <c r="BU237" t="s">
        <v>937</v>
      </c>
      <c r="BV237" t="s">
        <v>109</v>
      </c>
      <c r="BY237">
        <v>9853.02</v>
      </c>
      <c r="BZ237" t="s">
        <v>90</v>
      </c>
      <c r="CA237" t="s">
        <v>344</v>
      </c>
      <c r="CC237" t="s">
        <v>340</v>
      </c>
      <c r="CD237">
        <v>7600</v>
      </c>
      <c r="CE237" t="s">
        <v>137</v>
      </c>
      <c r="CF237" s="3">
        <v>45733</v>
      </c>
      <c r="CI237">
        <v>1</v>
      </c>
      <c r="CJ237">
        <v>1</v>
      </c>
      <c r="CK237">
        <v>22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"GAB2024845"</f>
        <v>GAB2024845</v>
      </c>
      <c r="F238" s="3">
        <v>45729</v>
      </c>
      <c r="G238">
        <v>202512</v>
      </c>
      <c r="H238" t="s">
        <v>97</v>
      </c>
      <c r="I238" t="s">
        <v>98</v>
      </c>
      <c r="J238" t="s">
        <v>99</v>
      </c>
      <c r="K238" t="s">
        <v>78</v>
      </c>
      <c r="L238" t="s">
        <v>502</v>
      </c>
      <c r="M238" t="s">
        <v>503</v>
      </c>
      <c r="N238" t="s">
        <v>876</v>
      </c>
      <c r="O238" t="s">
        <v>82</v>
      </c>
      <c r="P238" t="str">
        <f>"INV-00116074 CT093140         "</f>
        <v xml:space="preserve">INV-00116074 CT093140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30.07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2.2999999999999998</v>
      </c>
      <c r="BK238">
        <v>2.5</v>
      </c>
      <c r="BL238">
        <v>90.81</v>
      </c>
      <c r="BM238">
        <v>13.62</v>
      </c>
      <c r="BN238">
        <v>104.43</v>
      </c>
      <c r="BO238">
        <v>104.43</v>
      </c>
      <c r="BR238" t="s">
        <v>101</v>
      </c>
      <c r="BS238" s="3">
        <v>45730</v>
      </c>
      <c r="BT238" s="4">
        <v>0.51944444444444449</v>
      </c>
      <c r="BU238" t="s">
        <v>416</v>
      </c>
      <c r="BV238" t="s">
        <v>87</v>
      </c>
      <c r="BY238">
        <v>11303</v>
      </c>
      <c r="BZ238" t="s">
        <v>90</v>
      </c>
      <c r="CA238" t="s">
        <v>938</v>
      </c>
      <c r="CC238" t="s">
        <v>503</v>
      </c>
      <c r="CD238">
        <v>5201</v>
      </c>
      <c r="CE238" t="s">
        <v>137</v>
      </c>
      <c r="CF238" s="3">
        <v>45733</v>
      </c>
      <c r="CI238">
        <v>1</v>
      </c>
      <c r="CJ238">
        <v>1</v>
      </c>
      <c r="CK238">
        <v>21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"GAB2024846"</f>
        <v>GAB2024846</v>
      </c>
      <c r="F239" s="3">
        <v>45729</v>
      </c>
      <c r="G239">
        <v>202512</v>
      </c>
      <c r="H239" t="s">
        <v>97</v>
      </c>
      <c r="I239" t="s">
        <v>98</v>
      </c>
      <c r="J239" t="s">
        <v>99</v>
      </c>
      <c r="K239" t="s">
        <v>78</v>
      </c>
      <c r="L239" t="s">
        <v>381</v>
      </c>
      <c r="M239" t="s">
        <v>381</v>
      </c>
      <c r="N239" t="s">
        <v>939</v>
      </c>
      <c r="O239" t="s">
        <v>82</v>
      </c>
      <c r="P239" t="str">
        <f>"INV-00116075 CT093139         "</f>
        <v xml:space="preserve">INV-00116075 CT093139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33.83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2</v>
      </c>
      <c r="BK239">
        <v>2</v>
      </c>
      <c r="BL239">
        <v>102.18</v>
      </c>
      <c r="BM239">
        <v>15.33</v>
      </c>
      <c r="BN239">
        <v>117.51</v>
      </c>
      <c r="BO239">
        <v>117.51</v>
      </c>
      <c r="BR239" t="s">
        <v>101</v>
      </c>
      <c r="BS239" s="3">
        <v>45730</v>
      </c>
      <c r="BT239" s="4">
        <v>0.41319444444444442</v>
      </c>
      <c r="BU239" t="s">
        <v>940</v>
      </c>
      <c r="BV239" t="s">
        <v>109</v>
      </c>
      <c r="BY239">
        <v>9882</v>
      </c>
      <c r="BZ239" t="s">
        <v>90</v>
      </c>
      <c r="CA239" t="s">
        <v>579</v>
      </c>
      <c r="CC239" t="s">
        <v>381</v>
      </c>
      <c r="CD239">
        <v>7646</v>
      </c>
      <c r="CE239" t="s">
        <v>137</v>
      </c>
      <c r="CF239" s="3">
        <v>45733</v>
      </c>
      <c r="CI239">
        <v>1</v>
      </c>
      <c r="CJ239">
        <v>1</v>
      </c>
      <c r="CK239">
        <v>24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"GAB2024847"</f>
        <v>GAB2024847</v>
      </c>
      <c r="F240" s="3">
        <v>45729</v>
      </c>
      <c r="G240">
        <v>202512</v>
      </c>
      <c r="H240" t="s">
        <v>97</v>
      </c>
      <c r="I240" t="s">
        <v>98</v>
      </c>
      <c r="J240" t="s">
        <v>99</v>
      </c>
      <c r="K240" t="s">
        <v>78</v>
      </c>
      <c r="L240" t="s">
        <v>683</v>
      </c>
      <c r="M240" t="s">
        <v>684</v>
      </c>
      <c r="N240" t="s">
        <v>941</v>
      </c>
      <c r="O240" t="s">
        <v>82</v>
      </c>
      <c r="P240" t="str">
        <f>"INV-00116083 CT093141         "</f>
        <v xml:space="preserve">INV-00116083 CT093141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48.09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3.7</v>
      </c>
      <c r="BK240">
        <v>4</v>
      </c>
      <c r="BL240">
        <v>145.25</v>
      </c>
      <c r="BM240">
        <v>21.79</v>
      </c>
      <c r="BN240">
        <v>167.04</v>
      </c>
      <c r="BO240">
        <v>167.04</v>
      </c>
      <c r="BQ240" t="s">
        <v>942</v>
      </c>
      <c r="BR240" t="s">
        <v>101</v>
      </c>
      <c r="BS240" s="3">
        <v>45734</v>
      </c>
      <c r="BT240" s="4">
        <v>0.58333333333333337</v>
      </c>
      <c r="BU240" t="s">
        <v>943</v>
      </c>
      <c r="BV240" t="s">
        <v>87</v>
      </c>
      <c r="BW240" t="s">
        <v>88</v>
      </c>
      <c r="BX240" t="s">
        <v>944</v>
      </c>
      <c r="BY240">
        <v>18576.68</v>
      </c>
      <c r="BZ240" t="s">
        <v>90</v>
      </c>
      <c r="CC240" t="s">
        <v>684</v>
      </c>
      <c r="CD240">
        <v>8301</v>
      </c>
      <c r="CE240" t="s">
        <v>137</v>
      </c>
      <c r="CF240" s="3">
        <v>45735</v>
      </c>
      <c r="CI240">
        <v>2</v>
      </c>
      <c r="CJ240">
        <v>3</v>
      </c>
      <c r="CK240">
        <v>21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"GAB2024848"</f>
        <v>GAB2024848</v>
      </c>
      <c r="F241" s="3">
        <v>45729</v>
      </c>
      <c r="G241">
        <v>202512</v>
      </c>
      <c r="H241" t="s">
        <v>97</v>
      </c>
      <c r="I241" t="s">
        <v>98</v>
      </c>
      <c r="J241" t="s">
        <v>99</v>
      </c>
      <c r="K241" t="s">
        <v>78</v>
      </c>
      <c r="L241" t="s">
        <v>262</v>
      </c>
      <c r="M241" t="s">
        <v>263</v>
      </c>
      <c r="N241" t="s">
        <v>945</v>
      </c>
      <c r="O241" t="s">
        <v>82</v>
      </c>
      <c r="P241" t="str">
        <f>"INV-00033529 029861           "</f>
        <v xml:space="preserve">INV-00033529 029861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24.06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</v>
      </c>
      <c r="BK241">
        <v>2</v>
      </c>
      <c r="BL241">
        <v>72.66</v>
      </c>
      <c r="BM241">
        <v>10.9</v>
      </c>
      <c r="BN241">
        <v>83.56</v>
      </c>
      <c r="BO241">
        <v>83.56</v>
      </c>
      <c r="BQ241" t="s">
        <v>946</v>
      </c>
      <c r="BR241" t="s">
        <v>101</v>
      </c>
      <c r="BS241" s="3">
        <v>45730</v>
      </c>
      <c r="BT241" s="4">
        <v>0.3659722222222222</v>
      </c>
      <c r="BU241" t="s">
        <v>947</v>
      </c>
      <c r="BV241" t="s">
        <v>109</v>
      </c>
      <c r="BY241">
        <v>10150.56</v>
      </c>
      <c r="BZ241" t="s">
        <v>90</v>
      </c>
      <c r="CA241" t="s">
        <v>851</v>
      </c>
      <c r="CC241" t="s">
        <v>263</v>
      </c>
      <c r="CD241" s="5" t="s">
        <v>852</v>
      </c>
      <c r="CE241" t="s">
        <v>149</v>
      </c>
      <c r="CF241" s="3">
        <v>45730</v>
      </c>
      <c r="CI241">
        <v>1</v>
      </c>
      <c r="CJ241">
        <v>1</v>
      </c>
      <c r="CK241">
        <v>21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"GAB2024849"</f>
        <v>GAB2024849</v>
      </c>
      <c r="F242" s="3">
        <v>45729</v>
      </c>
      <c r="G242">
        <v>202512</v>
      </c>
      <c r="H242" t="s">
        <v>97</v>
      </c>
      <c r="I242" t="s">
        <v>98</v>
      </c>
      <c r="J242" t="s">
        <v>99</v>
      </c>
      <c r="K242" t="s">
        <v>78</v>
      </c>
      <c r="L242" t="s">
        <v>948</v>
      </c>
      <c r="M242" t="s">
        <v>949</v>
      </c>
      <c r="N242" t="s">
        <v>950</v>
      </c>
      <c r="O242" t="s">
        <v>82</v>
      </c>
      <c r="P242" t="str">
        <f>"INV-00033528 029524           "</f>
        <v xml:space="preserve">INV-00033528 029524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46.61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1.8</v>
      </c>
      <c r="BK242">
        <v>2</v>
      </c>
      <c r="BL242">
        <v>140.77000000000001</v>
      </c>
      <c r="BM242">
        <v>21.12</v>
      </c>
      <c r="BN242">
        <v>161.88999999999999</v>
      </c>
      <c r="BO242">
        <v>161.88999999999999</v>
      </c>
      <c r="BQ242" t="s">
        <v>356</v>
      </c>
      <c r="BR242" t="s">
        <v>101</v>
      </c>
      <c r="BS242" t="s">
        <v>83</v>
      </c>
      <c r="BY242">
        <v>8985.2000000000007</v>
      </c>
      <c r="BZ242" t="s">
        <v>90</v>
      </c>
      <c r="CC242" t="s">
        <v>949</v>
      </c>
      <c r="CD242">
        <v>4275</v>
      </c>
      <c r="CE242" t="s">
        <v>149</v>
      </c>
      <c r="CF242" s="3">
        <v>45745</v>
      </c>
      <c r="CI242">
        <v>0</v>
      </c>
      <c r="CJ242">
        <v>0</v>
      </c>
      <c r="CK242">
        <v>23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"GAB2024851"</f>
        <v>GAB2024851</v>
      </c>
      <c r="F243" s="3">
        <v>45729</v>
      </c>
      <c r="G243">
        <v>202512</v>
      </c>
      <c r="H243" t="s">
        <v>97</v>
      </c>
      <c r="I243" t="s">
        <v>98</v>
      </c>
      <c r="J243" t="s">
        <v>99</v>
      </c>
      <c r="K243" t="s">
        <v>78</v>
      </c>
      <c r="L243" t="s">
        <v>519</v>
      </c>
      <c r="M243" t="s">
        <v>520</v>
      </c>
      <c r="N243" t="s">
        <v>951</v>
      </c>
      <c r="O243" t="s">
        <v>82</v>
      </c>
      <c r="P243" t="str">
        <f>"INV-00033527 030398           "</f>
        <v xml:space="preserve">INV-00033527 030398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36.08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3</v>
      </c>
      <c r="BK243">
        <v>3</v>
      </c>
      <c r="BL243">
        <v>108.96</v>
      </c>
      <c r="BM243">
        <v>16.34</v>
      </c>
      <c r="BN243">
        <v>125.3</v>
      </c>
      <c r="BO243">
        <v>125.3</v>
      </c>
      <c r="BQ243" t="s">
        <v>766</v>
      </c>
      <c r="BR243" t="s">
        <v>101</v>
      </c>
      <c r="BS243" s="3">
        <v>45730</v>
      </c>
      <c r="BT243" s="4">
        <v>0.40972222222222221</v>
      </c>
      <c r="BU243" t="s">
        <v>952</v>
      </c>
      <c r="BV243" t="s">
        <v>109</v>
      </c>
      <c r="BY243">
        <v>15064.5</v>
      </c>
      <c r="BZ243" t="s">
        <v>90</v>
      </c>
      <c r="CA243" t="s">
        <v>709</v>
      </c>
      <c r="CC243" t="s">
        <v>520</v>
      </c>
      <c r="CD243">
        <v>6001</v>
      </c>
      <c r="CE243" t="s">
        <v>149</v>
      </c>
      <c r="CF243" s="3">
        <v>45733</v>
      </c>
      <c r="CI243">
        <v>2</v>
      </c>
      <c r="CJ243">
        <v>1</v>
      </c>
      <c r="CK243">
        <v>21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"GAB2024852"</f>
        <v>GAB2024852</v>
      </c>
      <c r="F244" s="3">
        <v>45729</v>
      </c>
      <c r="G244">
        <v>202512</v>
      </c>
      <c r="H244" t="s">
        <v>97</v>
      </c>
      <c r="I244" t="s">
        <v>98</v>
      </c>
      <c r="J244" t="s">
        <v>99</v>
      </c>
      <c r="K244" t="s">
        <v>78</v>
      </c>
      <c r="L244" t="s">
        <v>533</v>
      </c>
      <c r="M244" t="s">
        <v>534</v>
      </c>
      <c r="N244" t="s">
        <v>535</v>
      </c>
      <c r="O244" t="s">
        <v>82</v>
      </c>
      <c r="P244" t="str">
        <f>"INV-00116043 CT092075         "</f>
        <v xml:space="preserve">INV-00116043 CT092075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46.61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1.6</v>
      </c>
      <c r="BK244">
        <v>2</v>
      </c>
      <c r="BL244">
        <v>140.77000000000001</v>
      </c>
      <c r="BM244">
        <v>21.12</v>
      </c>
      <c r="BN244">
        <v>161.88999999999999</v>
      </c>
      <c r="BO244">
        <v>161.88999999999999</v>
      </c>
      <c r="BQ244" t="s">
        <v>536</v>
      </c>
      <c r="BR244" t="s">
        <v>101</v>
      </c>
      <c r="BS244" s="3">
        <v>45730</v>
      </c>
      <c r="BT244" s="4">
        <v>0.44444444444444442</v>
      </c>
      <c r="BU244" t="s">
        <v>953</v>
      </c>
      <c r="BV244" t="s">
        <v>109</v>
      </c>
      <c r="BY244">
        <v>8078.4</v>
      </c>
      <c r="BZ244" t="s">
        <v>90</v>
      </c>
      <c r="CA244" t="s">
        <v>569</v>
      </c>
      <c r="CC244" t="s">
        <v>534</v>
      </c>
      <c r="CD244">
        <v>2515</v>
      </c>
      <c r="CE244" t="s">
        <v>149</v>
      </c>
      <c r="CF244" s="3">
        <v>45731</v>
      </c>
      <c r="CI244">
        <v>1</v>
      </c>
      <c r="CJ244">
        <v>1</v>
      </c>
      <c r="CK244">
        <v>23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"GAB2024853"</f>
        <v>GAB2024853</v>
      </c>
      <c r="F245" s="3">
        <v>45729</v>
      </c>
      <c r="G245">
        <v>202512</v>
      </c>
      <c r="H245" t="s">
        <v>97</v>
      </c>
      <c r="I245" t="s">
        <v>98</v>
      </c>
      <c r="J245" t="s">
        <v>99</v>
      </c>
      <c r="K245" t="s">
        <v>78</v>
      </c>
      <c r="L245" t="s">
        <v>238</v>
      </c>
      <c r="M245" t="s">
        <v>239</v>
      </c>
      <c r="N245" t="s">
        <v>954</v>
      </c>
      <c r="O245" t="s">
        <v>82</v>
      </c>
      <c r="P245" t="str">
        <f>"INV-00116044 CT092661         "</f>
        <v xml:space="preserve">INV-00116044 CT092661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24.06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1.4</v>
      </c>
      <c r="BK245">
        <v>1.5</v>
      </c>
      <c r="BL245">
        <v>72.66</v>
      </c>
      <c r="BM245">
        <v>10.9</v>
      </c>
      <c r="BN245">
        <v>83.56</v>
      </c>
      <c r="BO245">
        <v>83.56</v>
      </c>
      <c r="BQ245" t="s">
        <v>955</v>
      </c>
      <c r="BR245" t="s">
        <v>101</v>
      </c>
      <c r="BS245" s="3">
        <v>45730</v>
      </c>
      <c r="BT245" s="4">
        <v>0.41666666666666669</v>
      </c>
      <c r="BU245" t="s">
        <v>956</v>
      </c>
      <c r="BV245" t="s">
        <v>109</v>
      </c>
      <c r="BY245">
        <v>7203.24</v>
      </c>
      <c r="BZ245" t="s">
        <v>90</v>
      </c>
      <c r="CA245" t="s">
        <v>957</v>
      </c>
      <c r="CC245" t="s">
        <v>239</v>
      </c>
      <c r="CD245">
        <v>2021</v>
      </c>
      <c r="CE245" t="s">
        <v>137</v>
      </c>
      <c r="CF245" s="3">
        <v>45730</v>
      </c>
      <c r="CI245">
        <v>1</v>
      </c>
      <c r="CJ245">
        <v>1</v>
      </c>
      <c r="CK245">
        <v>21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"GAB2024854"</f>
        <v>GAB2024854</v>
      </c>
      <c r="F246" s="3">
        <v>45729</v>
      </c>
      <c r="G246">
        <v>202512</v>
      </c>
      <c r="H246" t="s">
        <v>97</v>
      </c>
      <c r="I246" t="s">
        <v>98</v>
      </c>
      <c r="J246" t="s">
        <v>99</v>
      </c>
      <c r="K246" t="s">
        <v>78</v>
      </c>
      <c r="L246" t="s">
        <v>97</v>
      </c>
      <c r="M246" t="s">
        <v>98</v>
      </c>
      <c r="N246" t="s">
        <v>958</v>
      </c>
      <c r="O246" t="s">
        <v>82</v>
      </c>
      <c r="P246" t="str">
        <f>"INV-00116045 CT092813         "</f>
        <v xml:space="preserve">INV-00116045 CT092813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18.79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0.1</v>
      </c>
      <c r="BJ246">
        <v>2</v>
      </c>
      <c r="BK246">
        <v>2</v>
      </c>
      <c r="BL246">
        <v>56.75</v>
      </c>
      <c r="BM246">
        <v>8.51</v>
      </c>
      <c r="BN246">
        <v>65.260000000000005</v>
      </c>
      <c r="BO246">
        <v>65.260000000000005</v>
      </c>
      <c r="BQ246" t="s">
        <v>622</v>
      </c>
      <c r="BR246" t="s">
        <v>101</v>
      </c>
      <c r="BS246" s="3">
        <v>45730</v>
      </c>
      <c r="BT246" s="4">
        <v>0.40625</v>
      </c>
      <c r="BU246" t="s">
        <v>623</v>
      </c>
      <c r="BV246" t="s">
        <v>109</v>
      </c>
      <c r="BY246">
        <v>10150.5</v>
      </c>
      <c r="BZ246" t="s">
        <v>90</v>
      </c>
      <c r="CA246" t="s">
        <v>315</v>
      </c>
      <c r="CC246" t="s">
        <v>98</v>
      </c>
      <c r="CD246">
        <v>7550</v>
      </c>
      <c r="CE246" t="s">
        <v>149</v>
      </c>
      <c r="CF246" s="3">
        <v>45733</v>
      </c>
      <c r="CI246">
        <v>1</v>
      </c>
      <c r="CJ246">
        <v>1</v>
      </c>
      <c r="CK246">
        <v>22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"GAB2024855"</f>
        <v>GAB2024855</v>
      </c>
      <c r="F247" s="3">
        <v>45729</v>
      </c>
      <c r="G247">
        <v>202512</v>
      </c>
      <c r="H247" t="s">
        <v>97</v>
      </c>
      <c r="I247" t="s">
        <v>98</v>
      </c>
      <c r="J247" t="s">
        <v>99</v>
      </c>
      <c r="K247" t="s">
        <v>78</v>
      </c>
      <c r="L247" t="s">
        <v>97</v>
      </c>
      <c r="M247" t="s">
        <v>98</v>
      </c>
      <c r="N247" t="s">
        <v>959</v>
      </c>
      <c r="O247" t="s">
        <v>82</v>
      </c>
      <c r="P247" t="str">
        <f>"INV-00116048 CT093108         "</f>
        <v xml:space="preserve">INV-00116048 CT093108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18.79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2.2999999999999998</v>
      </c>
      <c r="BK247">
        <v>3</v>
      </c>
      <c r="BL247">
        <v>56.75</v>
      </c>
      <c r="BM247">
        <v>8.51</v>
      </c>
      <c r="BN247">
        <v>65.260000000000005</v>
      </c>
      <c r="BO247">
        <v>65.260000000000005</v>
      </c>
      <c r="BQ247" t="s">
        <v>960</v>
      </c>
      <c r="BR247" t="s">
        <v>101</v>
      </c>
      <c r="BS247" s="3">
        <v>45730</v>
      </c>
      <c r="BT247" s="4">
        <v>0.4201388888888889</v>
      </c>
      <c r="BU247" t="s">
        <v>961</v>
      </c>
      <c r="BV247" t="s">
        <v>109</v>
      </c>
      <c r="BY247">
        <v>11358.72</v>
      </c>
      <c r="BZ247" t="s">
        <v>90</v>
      </c>
      <c r="CA247" t="s">
        <v>962</v>
      </c>
      <c r="CC247" t="s">
        <v>98</v>
      </c>
      <c r="CD247">
        <v>7800</v>
      </c>
      <c r="CE247" t="s">
        <v>129</v>
      </c>
      <c r="CF247" s="3">
        <v>45733</v>
      </c>
      <c r="CI247">
        <v>1</v>
      </c>
      <c r="CJ247">
        <v>1</v>
      </c>
      <c r="CK247">
        <v>22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"GAB2024856"</f>
        <v>GAB2024856</v>
      </c>
      <c r="F248" s="3">
        <v>45729</v>
      </c>
      <c r="G248">
        <v>202512</v>
      </c>
      <c r="H248" t="s">
        <v>97</v>
      </c>
      <c r="I248" t="s">
        <v>98</v>
      </c>
      <c r="J248" t="s">
        <v>99</v>
      </c>
      <c r="K248" t="s">
        <v>78</v>
      </c>
      <c r="L248" t="s">
        <v>491</v>
      </c>
      <c r="M248" t="s">
        <v>492</v>
      </c>
      <c r="N248" t="s">
        <v>963</v>
      </c>
      <c r="O248" t="s">
        <v>82</v>
      </c>
      <c r="P248" t="str">
        <f>"INV-00033550 0301015          "</f>
        <v xml:space="preserve">INV-00033550 0301015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30.07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0.4</v>
      </c>
      <c r="BJ248">
        <v>2.2999999999999998</v>
      </c>
      <c r="BK248">
        <v>2.5</v>
      </c>
      <c r="BL248">
        <v>90.81</v>
      </c>
      <c r="BM248">
        <v>13.62</v>
      </c>
      <c r="BN248">
        <v>104.43</v>
      </c>
      <c r="BO248">
        <v>104.43</v>
      </c>
      <c r="BQ248" t="s">
        <v>241</v>
      </c>
      <c r="BR248" t="s">
        <v>101</v>
      </c>
      <c r="BS248" s="3">
        <v>45730</v>
      </c>
      <c r="BT248" s="4">
        <v>0.40208333333333335</v>
      </c>
      <c r="BU248" t="s">
        <v>964</v>
      </c>
      <c r="BV248" t="s">
        <v>109</v>
      </c>
      <c r="BY248">
        <v>11272.3</v>
      </c>
      <c r="BZ248" t="s">
        <v>90</v>
      </c>
      <c r="CA248" t="s">
        <v>243</v>
      </c>
      <c r="CC248" t="s">
        <v>492</v>
      </c>
      <c r="CD248">
        <v>1724</v>
      </c>
      <c r="CE248" t="s">
        <v>237</v>
      </c>
      <c r="CF248" s="3">
        <v>45730</v>
      </c>
      <c r="CI248">
        <v>1</v>
      </c>
      <c r="CJ248">
        <v>1</v>
      </c>
      <c r="CK248">
        <v>21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"GAB2024858"</f>
        <v>GAB2024858</v>
      </c>
      <c r="F249" s="3">
        <v>45729</v>
      </c>
      <c r="G249">
        <v>202512</v>
      </c>
      <c r="H249" t="s">
        <v>97</v>
      </c>
      <c r="I249" t="s">
        <v>98</v>
      </c>
      <c r="J249" t="s">
        <v>99</v>
      </c>
      <c r="K249" t="s">
        <v>78</v>
      </c>
      <c r="L249" t="s">
        <v>254</v>
      </c>
      <c r="M249" t="s">
        <v>255</v>
      </c>
      <c r="N249" t="s">
        <v>965</v>
      </c>
      <c r="O249" t="s">
        <v>82</v>
      </c>
      <c r="P249" t="str">
        <f>"INV-00033554 031017           "</f>
        <v xml:space="preserve">INV-00033554 031017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24.06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</v>
      </c>
      <c r="BK249">
        <v>2</v>
      </c>
      <c r="BL249">
        <v>72.66</v>
      </c>
      <c r="BM249">
        <v>10.9</v>
      </c>
      <c r="BN249">
        <v>83.56</v>
      </c>
      <c r="BO249">
        <v>83.56</v>
      </c>
      <c r="BQ249" t="s">
        <v>356</v>
      </c>
      <c r="BR249" t="s">
        <v>101</v>
      </c>
      <c r="BS249" s="3">
        <v>45730</v>
      </c>
      <c r="BT249" s="4">
        <v>0.59791666666666665</v>
      </c>
      <c r="BU249" t="s">
        <v>966</v>
      </c>
      <c r="BV249" t="s">
        <v>109</v>
      </c>
      <c r="BY249">
        <v>9940.0499999999993</v>
      </c>
      <c r="BZ249" t="s">
        <v>90</v>
      </c>
      <c r="CA249" t="s">
        <v>261</v>
      </c>
      <c r="CC249" t="s">
        <v>255</v>
      </c>
      <c r="CD249">
        <v>6230</v>
      </c>
      <c r="CE249" t="s">
        <v>149</v>
      </c>
      <c r="CF249" s="3">
        <v>45730</v>
      </c>
      <c r="CI249">
        <v>2</v>
      </c>
      <c r="CJ249">
        <v>1</v>
      </c>
      <c r="CK249">
        <v>21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"GAB2024859"</f>
        <v>GAB2024859</v>
      </c>
      <c r="F250" s="3">
        <v>45729</v>
      </c>
      <c r="G250">
        <v>202512</v>
      </c>
      <c r="H250" t="s">
        <v>97</v>
      </c>
      <c r="I250" t="s">
        <v>98</v>
      </c>
      <c r="J250" t="s">
        <v>99</v>
      </c>
      <c r="K250" t="s">
        <v>78</v>
      </c>
      <c r="L250" t="s">
        <v>97</v>
      </c>
      <c r="M250" t="s">
        <v>98</v>
      </c>
      <c r="N250" t="s">
        <v>967</v>
      </c>
      <c r="O250" t="s">
        <v>82</v>
      </c>
      <c r="P250" t="str">
        <f>"INV-00116058 CT093124         "</f>
        <v xml:space="preserve">INV-00116058 CT093124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18.79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0.1</v>
      </c>
      <c r="BJ250">
        <v>2.4</v>
      </c>
      <c r="BK250">
        <v>3</v>
      </c>
      <c r="BL250">
        <v>56.75</v>
      </c>
      <c r="BM250">
        <v>8.51</v>
      </c>
      <c r="BN250">
        <v>65.260000000000005</v>
      </c>
      <c r="BO250">
        <v>65.260000000000005</v>
      </c>
      <c r="BQ250" t="s">
        <v>968</v>
      </c>
      <c r="BR250" t="s">
        <v>101</v>
      </c>
      <c r="BS250" s="3">
        <v>45730</v>
      </c>
      <c r="BT250" s="4">
        <v>0.40277777777777779</v>
      </c>
      <c r="BU250" t="s">
        <v>969</v>
      </c>
      <c r="BV250" t="s">
        <v>109</v>
      </c>
      <c r="BY250">
        <v>12075</v>
      </c>
      <c r="BZ250" t="s">
        <v>90</v>
      </c>
      <c r="CA250" t="s">
        <v>970</v>
      </c>
      <c r="CC250" t="s">
        <v>98</v>
      </c>
      <c r="CD250">
        <v>7441</v>
      </c>
      <c r="CE250" t="s">
        <v>149</v>
      </c>
      <c r="CF250" s="3">
        <v>45733</v>
      </c>
      <c r="CI250">
        <v>1</v>
      </c>
      <c r="CJ250">
        <v>1</v>
      </c>
      <c r="CK250">
        <v>22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"GAB2024860"</f>
        <v>GAB2024860</v>
      </c>
      <c r="F251" s="3">
        <v>45729</v>
      </c>
      <c r="G251">
        <v>202512</v>
      </c>
      <c r="H251" t="s">
        <v>97</v>
      </c>
      <c r="I251" t="s">
        <v>98</v>
      </c>
      <c r="J251" t="s">
        <v>99</v>
      </c>
      <c r="K251" t="s">
        <v>78</v>
      </c>
      <c r="L251" t="s">
        <v>491</v>
      </c>
      <c r="M251" t="s">
        <v>492</v>
      </c>
      <c r="N251" t="s">
        <v>748</v>
      </c>
      <c r="O251" t="s">
        <v>82</v>
      </c>
      <c r="P251" t="str">
        <f>"00033553 030977               "</f>
        <v xml:space="preserve">00033553 030977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30.07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2.2999999999999998</v>
      </c>
      <c r="BK251">
        <v>2.5</v>
      </c>
      <c r="BL251">
        <v>90.81</v>
      </c>
      <c r="BM251">
        <v>13.62</v>
      </c>
      <c r="BN251">
        <v>104.43</v>
      </c>
      <c r="BO251">
        <v>104.43</v>
      </c>
      <c r="BQ251" t="s">
        <v>749</v>
      </c>
      <c r="BR251" t="s">
        <v>101</v>
      </c>
      <c r="BS251" s="3">
        <v>45730</v>
      </c>
      <c r="BT251" s="4">
        <v>0.30555555555555558</v>
      </c>
      <c r="BU251" t="s">
        <v>971</v>
      </c>
      <c r="BV251" t="s">
        <v>109</v>
      </c>
      <c r="BY251">
        <v>11486.99</v>
      </c>
      <c r="BZ251" t="s">
        <v>90</v>
      </c>
      <c r="CA251" t="s">
        <v>752</v>
      </c>
      <c r="CC251" t="s">
        <v>492</v>
      </c>
      <c r="CD251">
        <v>1709</v>
      </c>
      <c r="CE251" t="s">
        <v>149</v>
      </c>
      <c r="CF251" s="3">
        <v>45730</v>
      </c>
      <c r="CI251">
        <v>1</v>
      </c>
      <c r="CJ251">
        <v>1</v>
      </c>
      <c r="CK251">
        <v>21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"GAB2024862"</f>
        <v>GAB2024862</v>
      </c>
      <c r="F252" s="3">
        <v>45729</v>
      </c>
      <c r="G252">
        <v>202512</v>
      </c>
      <c r="H252" t="s">
        <v>97</v>
      </c>
      <c r="I252" t="s">
        <v>98</v>
      </c>
      <c r="J252" t="s">
        <v>99</v>
      </c>
      <c r="K252" t="s">
        <v>78</v>
      </c>
      <c r="L252" t="s">
        <v>97</v>
      </c>
      <c r="M252" t="s">
        <v>98</v>
      </c>
      <c r="N252" t="s">
        <v>312</v>
      </c>
      <c r="O252" t="s">
        <v>82</v>
      </c>
      <c r="P252" t="str">
        <f>"INV-00116046 CT092834         "</f>
        <v xml:space="preserve">INV-00116046 CT092834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18.79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2.4</v>
      </c>
      <c r="BK252">
        <v>3</v>
      </c>
      <c r="BL252">
        <v>56.75</v>
      </c>
      <c r="BM252">
        <v>8.51</v>
      </c>
      <c r="BN252">
        <v>65.260000000000005</v>
      </c>
      <c r="BO252">
        <v>65.260000000000005</v>
      </c>
      <c r="BQ252" t="s">
        <v>313</v>
      </c>
      <c r="BR252" t="s">
        <v>101</v>
      </c>
      <c r="BS252" s="3">
        <v>45730</v>
      </c>
      <c r="BT252" s="4">
        <v>0.42638888888888887</v>
      </c>
      <c r="BU252" t="s">
        <v>972</v>
      </c>
      <c r="BV252" t="s">
        <v>109</v>
      </c>
      <c r="BY252">
        <v>11900</v>
      </c>
      <c r="BZ252" t="s">
        <v>90</v>
      </c>
      <c r="CA252" t="s">
        <v>315</v>
      </c>
      <c r="CC252" t="s">
        <v>98</v>
      </c>
      <c r="CD252">
        <v>7550</v>
      </c>
      <c r="CE252" t="s">
        <v>137</v>
      </c>
      <c r="CF252" s="3">
        <v>45733</v>
      </c>
      <c r="CI252">
        <v>1</v>
      </c>
      <c r="CJ252">
        <v>1</v>
      </c>
      <c r="CK252">
        <v>22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"GAB2024863"</f>
        <v>GAB2024863</v>
      </c>
      <c r="F253" s="3">
        <v>45729</v>
      </c>
      <c r="G253">
        <v>202512</v>
      </c>
      <c r="H253" t="s">
        <v>97</v>
      </c>
      <c r="I253" t="s">
        <v>98</v>
      </c>
      <c r="J253" t="s">
        <v>99</v>
      </c>
      <c r="K253" t="s">
        <v>78</v>
      </c>
      <c r="L253" t="s">
        <v>262</v>
      </c>
      <c r="M253" t="s">
        <v>263</v>
      </c>
      <c r="N253" t="s">
        <v>646</v>
      </c>
      <c r="O253" t="s">
        <v>82</v>
      </c>
      <c r="P253" t="str">
        <f>"INV-00033549 030975           "</f>
        <v xml:space="preserve">INV-00033549 030975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24.06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1.7</v>
      </c>
      <c r="BK253">
        <v>2</v>
      </c>
      <c r="BL253">
        <v>72.66</v>
      </c>
      <c r="BM253">
        <v>10.9</v>
      </c>
      <c r="BN253">
        <v>83.56</v>
      </c>
      <c r="BO253">
        <v>83.56</v>
      </c>
      <c r="BQ253" t="s">
        <v>973</v>
      </c>
      <c r="BR253" t="s">
        <v>101</v>
      </c>
      <c r="BS253" s="3">
        <v>45730</v>
      </c>
      <c r="BT253" s="4">
        <v>0.30972222222222223</v>
      </c>
      <c r="BU253" t="s">
        <v>974</v>
      </c>
      <c r="BV253" t="s">
        <v>109</v>
      </c>
      <c r="BY253">
        <v>8509.5</v>
      </c>
      <c r="BZ253" t="s">
        <v>90</v>
      </c>
      <c r="CA253" t="s">
        <v>649</v>
      </c>
      <c r="CC253" t="s">
        <v>263</v>
      </c>
      <c r="CD253" s="5" t="s">
        <v>650</v>
      </c>
      <c r="CE253" t="s">
        <v>149</v>
      </c>
      <c r="CF253" s="3">
        <v>45730</v>
      </c>
      <c r="CI253">
        <v>1</v>
      </c>
      <c r="CJ253">
        <v>1</v>
      </c>
      <c r="CK253">
        <v>21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"GAB2024864"</f>
        <v>GAB2024864</v>
      </c>
      <c r="F254" s="3">
        <v>45729</v>
      </c>
      <c r="G254">
        <v>202512</v>
      </c>
      <c r="H254" t="s">
        <v>97</v>
      </c>
      <c r="I254" t="s">
        <v>98</v>
      </c>
      <c r="J254" t="s">
        <v>99</v>
      </c>
      <c r="K254" t="s">
        <v>78</v>
      </c>
      <c r="L254" t="s">
        <v>502</v>
      </c>
      <c r="M254" t="s">
        <v>503</v>
      </c>
      <c r="N254" t="s">
        <v>801</v>
      </c>
      <c r="O254" t="s">
        <v>82</v>
      </c>
      <c r="P254" t="str">
        <f>"INV-00033548 030978           "</f>
        <v xml:space="preserve">INV-00033548 030978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30.07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2.2000000000000002</v>
      </c>
      <c r="BK254">
        <v>2.5</v>
      </c>
      <c r="BL254">
        <v>90.81</v>
      </c>
      <c r="BM254">
        <v>13.62</v>
      </c>
      <c r="BN254">
        <v>104.43</v>
      </c>
      <c r="BO254">
        <v>104.43</v>
      </c>
      <c r="BQ254" t="s">
        <v>802</v>
      </c>
      <c r="BR254" t="s">
        <v>101</v>
      </c>
      <c r="BS254" s="3">
        <v>45730</v>
      </c>
      <c r="BT254" s="4">
        <v>0.5083333333333333</v>
      </c>
      <c r="BU254" t="s">
        <v>975</v>
      </c>
      <c r="BV254" t="s">
        <v>87</v>
      </c>
      <c r="BY254">
        <v>10845.68</v>
      </c>
      <c r="BZ254" t="s">
        <v>90</v>
      </c>
      <c r="CA254" t="s">
        <v>938</v>
      </c>
      <c r="CC254" t="s">
        <v>503</v>
      </c>
      <c r="CD254">
        <v>5200</v>
      </c>
      <c r="CE254" t="s">
        <v>137</v>
      </c>
      <c r="CF254" s="3">
        <v>45733</v>
      </c>
      <c r="CI254">
        <v>1</v>
      </c>
      <c r="CJ254">
        <v>1</v>
      </c>
      <c r="CK254">
        <v>21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"GAB2024866"</f>
        <v>GAB2024866</v>
      </c>
      <c r="F255" s="3">
        <v>45729</v>
      </c>
      <c r="G255">
        <v>202512</v>
      </c>
      <c r="H255" t="s">
        <v>97</v>
      </c>
      <c r="I255" t="s">
        <v>98</v>
      </c>
      <c r="J255" t="s">
        <v>99</v>
      </c>
      <c r="K255" t="s">
        <v>78</v>
      </c>
      <c r="L255" t="s">
        <v>170</v>
      </c>
      <c r="M255" t="s">
        <v>171</v>
      </c>
      <c r="N255" t="s">
        <v>976</v>
      </c>
      <c r="O255" t="s">
        <v>82</v>
      </c>
      <c r="P255" t="str">
        <f>"INV-00116087 CT093146         "</f>
        <v xml:space="preserve">INV-00116087 CT093146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46.61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0.8</v>
      </c>
      <c r="BJ255">
        <v>1.7</v>
      </c>
      <c r="BK255">
        <v>2</v>
      </c>
      <c r="BL255">
        <v>140.77000000000001</v>
      </c>
      <c r="BM255">
        <v>21.12</v>
      </c>
      <c r="BN255">
        <v>161.88999999999999</v>
      </c>
      <c r="BO255">
        <v>161.88999999999999</v>
      </c>
      <c r="BQ255" t="s">
        <v>977</v>
      </c>
      <c r="BR255" t="s">
        <v>101</v>
      </c>
      <c r="BS255" s="3">
        <v>45733</v>
      </c>
      <c r="BT255" s="4">
        <v>0.41666666666666669</v>
      </c>
      <c r="BU255" t="s">
        <v>978</v>
      </c>
      <c r="BV255" t="s">
        <v>109</v>
      </c>
      <c r="BY255">
        <v>8529.75</v>
      </c>
      <c r="BZ255" t="s">
        <v>90</v>
      </c>
      <c r="CC255" t="s">
        <v>171</v>
      </c>
      <c r="CD255">
        <v>9700</v>
      </c>
      <c r="CE255" t="s">
        <v>662</v>
      </c>
      <c r="CF255" s="3">
        <v>45733</v>
      </c>
      <c r="CI255">
        <v>2</v>
      </c>
      <c r="CJ255">
        <v>2</v>
      </c>
      <c r="CK255">
        <v>23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"GAB2024867"</f>
        <v>GAB2024867</v>
      </c>
      <c r="F256" s="3">
        <v>45729</v>
      </c>
      <c r="G256">
        <v>202512</v>
      </c>
      <c r="H256" t="s">
        <v>97</v>
      </c>
      <c r="I256" t="s">
        <v>98</v>
      </c>
      <c r="J256" t="s">
        <v>99</v>
      </c>
      <c r="K256" t="s">
        <v>78</v>
      </c>
      <c r="L256" t="s">
        <v>97</v>
      </c>
      <c r="M256" t="s">
        <v>98</v>
      </c>
      <c r="N256" t="s">
        <v>979</v>
      </c>
      <c r="O256" t="s">
        <v>82</v>
      </c>
      <c r="P256" t="str">
        <f>"INV-00116088 CT093149         "</f>
        <v xml:space="preserve">INV-00116088 CT093149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18.79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2.5</v>
      </c>
      <c r="BK256">
        <v>3</v>
      </c>
      <c r="BL256">
        <v>56.75</v>
      </c>
      <c r="BM256">
        <v>8.51</v>
      </c>
      <c r="BN256">
        <v>65.260000000000005</v>
      </c>
      <c r="BO256">
        <v>65.260000000000005</v>
      </c>
      <c r="BQ256" t="s">
        <v>980</v>
      </c>
      <c r="BR256" t="s">
        <v>101</v>
      </c>
      <c r="BS256" s="3">
        <v>45730</v>
      </c>
      <c r="BT256" s="4">
        <v>0.3923611111111111</v>
      </c>
      <c r="BU256" t="s">
        <v>981</v>
      </c>
      <c r="BV256" t="s">
        <v>109</v>
      </c>
      <c r="BY256">
        <v>12521.52</v>
      </c>
      <c r="BZ256" t="s">
        <v>90</v>
      </c>
      <c r="CA256" t="s">
        <v>982</v>
      </c>
      <c r="CC256" t="s">
        <v>98</v>
      </c>
      <c r="CD256">
        <v>7800</v>
      </c>
      <c r="CE256" t="s">
        <v>237</v>
      </c>
      <c r="CF256" s="3">
        <v>45733</v>
      </c>
      <c r="CI256">
        <v>1</v>
      </c>
      <c r="CJ256">
        <v>1</v>
      </c>
      <c r="CK256">
        <v>22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"GAB2024868"</f>
        <v>GAB2024868</v>
      </c>
      <c r="F257" s="3">
        <v>45729</v>
      </c>
      <c r="G257">
        <v>202512</v>
      </c>
      <c r="H257" t="s">
        <v>97</v>
      </c>
      <c r="I257" t="s">
        <v>98</v>
      </c>
      <c r="J257" t="s">
        <v>99</v>
      </c>
      <c r="K257" t="s">
        <v>78</v>
      </c>
      <c r="L257" t="s">
        <v>94</v>
      </c>
      <c r="M257" t="s">
        <v>95</v>
      </c>
      <c r="N257" t="s">
        <v>418</v>
      </c>
      <c r="O257" t="s">
        <v>82</v>
      </c>
      <c r="P257" t="str">
        <f>"INV-00116089 CT093143         "</f>
        <v xml:space="preserve">INV-00116089 CT093143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46.61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16.739999999999998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0.7</v>
      </c>
      <c r="BJ257">
        <v>1.7</v>
      </c>
      <c r="BK257">
        <v>2</v>
      </c>
      <c r="BL257">
        <v>157.51</v>
      </c>
      <c r="BM257">
        <v>23.63</v>
      </c>
      <c r="BN257">
        <v>181.14</v>
      </c>
      <c r="BO257">
        <v>181.14</v>
      </c>
      <c r="BQ257" t="s">
        <v>419</v>
      </c>
      <c r="BR257" t="s">
        <v>101</v>
      </c>
      <c r="BS257" s="3">
        <v>45733</v>
      </c>
      <c r="BT257" s="4">
        <v>0.42430555555555555</v>
      </c>
      <c r="BU257" t="s">
        <v>983</v>
      </c>
      <c r="BV257" t="s">
        <v>109</v>
      </c>
      <c r="BY257">
        <v>8353.1299999999992</v>
      </c>
      <c r="BZ257" t="s">
        <v>296</v>
      </c>
      <c r="CA257" t="s">
        <v>421</v>
      </c>
      <c r="CC257" t="s">
        <v>95</v>
      </c>
      <c r="CD257">
        <v>2745</v>
      </c>
      <c r="CE257" t="s">
        <v>193</v>
      </c>
      <c r="CF257" s="3">
        <v>45734</v>
      </c>
      <c r="CI257">
        <v>2</v>
      </c>
      <c r="CJ257">
        <v>2</v>
      </c>
      <c r="CK257">
        <v>23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"GAB2024870"</f>
        <v>GAB2024870</v>
      </c>
      <c r="F258" s="3">
        <v>45729</v>
      </c>
      <c r="G258">
        <v>202512</v>
      </c>
      <c r="H258" t="s">
        <v>97</v>
      </c>
      <c r="I258" t="s">
        <v>98</v>
      </c>
      <c r="J258" t="s">
        <v>99</v>
      </c>
      <c r="K258" t="s">
        <v>78</v>
      </c>
      <c r="L258" t="s">
        <v>491</v>
      </c>
      <c r="M258" t="s">
        <v>492</v>
      </c>
      <c r="N258" t="s">
        <v>524</v>
      </c>
      <c r="O258" t="s">
        <v>82</v>
      </c>
      <c r="P258" t="str">
        <f>"INV-00116095 CT093155         "</f>
        <v xml:space="preserve">INV-00116095 CT093155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24.06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0.1</v>
      </c>
      <c r="BJ258">
        <v>1.7</v>
      </c>
      <c r="BK258">
        <v>2</v>
      </c>
      <c r="BL258">
        <v>72.66</v>
      </c>
      <c r="BM258">
        <v>10.9</v>
      </c>
      <c r="BN258">
        <v>83.56</v>
      </c>
      <c r="BO258">
        <v>83.56</v>
      </c>
      <c r="BR258" t="s">
        <v>101</v>
      </c>
      <c r="BS258" s="3">
        <v>45730</v>
      </c>
      <c r="BT258" s="4">
        <v>0.53819444444444442</v>
      </c>
      <c r="BU258" t="s">
        <v>984</v>
      </c>
      <c r="BV258" t="s">
        <v>87</v>
      </c>
      <c r="BY258">
        <v>8442.7199999999993</v>
      </c>
      <c r="BZ258" t="s">
        <v>90</v>
      </c>
      <c r="CA258" t="s">
        <v>985</v>
      </c>
      <c r="CC258" t="s">
        <v>492</v>
      </c>
      <c r="CD258">
        <v>1725</v>
      </c>
      <c r="CE258" t="s">
        <v>149</v>
      </c>
      <c r="CF258" s="3">
        <v>45731</v>
      </c>
      <c r="CI258">
        <v>1</v>
      </c>
      <c r="CJ258">
        <v>1</v>
      </c>
      <c r="CK258">
        <v>21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"GAB2024871"</f>
        <v>GAB2024871</v>
      </c>
      <c r="F259" s="3">
        <v>45729</v>
      </c>
      <c r="G259">
        <v>202512</v>
      </c>
      <c r="H259" t="s">
        <v>97</v>
      </c>
      <c r="I259" t="s">
        <v>98</v>
      </c>
      <c r="J259" t="s">
        <v>99</v>
      </c>
      <c r="K259" t="s">
        <v>78</v>
      </c>
      <c r="L259" t="s">
        <v>97</v>
      </c>
      <c r="M259" t="s">
        <v>98</v>
      </c>
      <c r="N259" t="s">
        <v>691</v>
      </c>
      <c r="O259" t="s">
        <v>82</v>
      </c>
      <c r="P259" t="str">
        <f>"INV-00116092 CT093151         "</f>
        <v xml:space="preserve">INV-00116092 CT093151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18.79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</v>
      </c>
      <c r="BK259">
        <v>2</v>
      </c>
      <c r="BL259">
        <v>56.75</v>
      </c>
      <c r="BM259">
        <v>8.51</v>
      </c>
      <c r="BN259">
        <v>65.260000000000005</v>
      </c>
      <c r="BO259">
        <v>65.260000000000005</v>
      </c>
      <c r="BQ259" t="s">
        <v>692</v>
      </c>
      <c r="BR259" t="s">
        <v>101</v>
      </c>
      <c r="BS259" s="3">
        <v>45730</v>
      </c>
      <c r="BT259" s="4">
        <v>0.3923611111111111</v>
      </c>
      <c r="BU259" t="s">
        <v>986</v>
      </c>
      <c r="BV259" t="s">
        <v>109</v>
      </c>
      <c r="BY259">
        <v>9844.56</v>
      </c>
      <c r="BZ259" t="s">
        <v>90</v>
      </c>
      <c r="CA259" t="s">
        <v>694</v>
      </c>
      <c r="CC259" t="s">
        <v>98</v>
      </c>
      <c r="CD259">
        <v>7441</v>
      </c>
      <c r="CE259" t="s">
        <v>137</v>
      </c>
      <c r="CF259" s="3">
        <v>45733</v>
      </c>
      <c r="CI259">
        <v>1</v>
      </c>
      <c r="CJ259">
        <v>1</v>
      </c>
      <c r="CK259">
        <v>22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"GAB2024872"</f>
        <v>GAB2024872</v>
      </c>
      <c r="F260" s="3">
        <v>45729</v>
      </c>
      <c r="G260">
        <v>202512</v>
      </c>
      <c r="H260" t="s">
        <v>97</v>
      </c>
      <c r="I260" t="s">
        <v>98</v>
      </c>
      <c r="J260" t="s">
        <v>99</v>
      </c>
      <c r="K260" t="s">
        <v>78</v>
      </c>
      <c r="L260" t="s">
        <v>369</v>
      </c>
      <c r="M260" t="s">
        <v>370</v>
      </c>
      <c r="N260" t="s">
        <v>987</v>
      </c>
      <c r="O260" t="s">
        <v>82</v>
      </c>
      <c r="P260" t="str">
        <f>"INV-00116094 CT093154         "</f>
        <v xml:space="preserve">INV-00116094 CT093154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50.31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2.8</v>
      </c>
      <c r="BK260">
        <v>3</v>
      </c>
      <c r="BL260">
        <v>151.94</v>
      </c>
      <c r="BM260">
        <v>22.79</v>
      </c>
      <c r="BN260">
        <v>174.73</v>
      </c>
      <c r="BO260">
        <v>174.73</v>
      </c>
      <c r="BQ260" t="s">
        <v>988</v>
      </c>
      <c r="BR260" t="s">
        <v>101</v>
      </c>
      <c r="BS260" s="3">
        <v>45730</v>
      </c>
      <c r="BT260" s="4">
        <v>0.57916666666666672</v>
      </c>
      <c r="BU260" t="s">
        <v>989</v>
      </c>
      <c r="BV260" t="s">
        <v>109</v>
      </c>
      <c r="BY260">
        <v>13799.94</v>
      </c>
      <c r="BZ260" t="s">
        <v>90</v>
      </c>
      <c r="CA260" t="s">
        <v>374</v>
      </c>
      <c r="CC260" t="s">
        <v>370</v>
      </c>
      <c r="CD260">
        <v>6850</v>
      </c>
      <c r="CE260" t="s">
        <v>129</v>
      </c>
      <c r="CF260" s="3">
        <v>45733</v>
      </c>
      <c r="CI260">
        <v>2</v>
      </c>
      <c r="CJ260">
        <v>1</v>
      </c>
      <c r="CK260">
        <v>24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"GAB2024874"</f>
        <v>GAB2024874</v>
      </c>
      <c r="F261" s="3">
        <v>45729</v>
      </c>
      <c r="G261">
        <v>202512</v>
      </c>
      <c r="H261" t="s">
        <v>97</v>
      </c>
      <c r="I261" t="s">
        <v>98</v>
      </c>
      <c r="J261" t="s">
        <v>99</v>
      </c>
      <c r="K261" t="s">
        <v>78</v>
      </c>
      <c r="L261" t="s">
        <v>97</v>
      </c>
      <c r="M261" t="s">
        <v>98</v>
      </c>
      <c r="N261" t="s">
        <v>220</v>
      </c>
      <c r="O261" t="s">
        <v>82</v>
      </c>
      <c r="P261" t="str">
        <f>"INV-00116084 00116085 00116070"</f>
        <v>INV-00116084 00116085 00116070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18.79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0.7</v>
      </c>
      <c r="BJ261">
        <v>2.4</v>
      </c>
      <c r="BK261">
        <v>3</v>
      </c>
      <c r="BL261">
        <v>56.75</v>
      </c>
      <c r="BM261">
        <v>8.51</v>
      </c>
      <c r="BN261">
        <v>65.260000000000005</v>
      </c>
      <c r="BO261">
        <v>65.260000000000005</v>
      </c>
      <c r="BQ261" t="s">
        <v>221</v>
      </c>
      <c r="BR261" t="s">
        <v>101</v>
      </c>
      <c r="BS261" s="3">
        <v>45730</v>
      </c>
      <c r="BT261" s="4">
        <v>0.4201388888888889</v>
      </c>
      <c r="BU261" t="s">
        <v>990</v>
      </c>
      <c r="BV261" t="s">
        <v>109</v>
      </c>
      <c r="BY261">
        <v>11963.52</v>
      </c>
      <c r="BZ261" t="s">
        <v>90</v>
      </c>
      <c r="CA261" t="s">
        <v>962</v>
      </c>
      <c r="CC261" t="s">
        <v>98</v>
      </c>
      <c r="CD261">
        <v>7800</v>
      </c>
      <c r="CE261" t="s">
        <v>454</v>
      </c>
      <c r="CF261" s="3">
        <v>45733</v>
      </c>
      <c r="CI261">
        <v>1</v>
      </c>
      <c r="CJ261">
        <v>1</v>
      </c>
      <c r="CK261">
        <v>22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"GAB2024875"</f>
        <v>GAB2024875</v>
      </c>
      <c r="F262" s="3">
        <v>45729</v>
      </c>
      <c r="G262">
        <v>202512</v>
      </c>
      <c r="H262" t="s">
        <v>97</v>
      </c>
      <c r="I262" t="s">
        <v>98</v>
      </c>
      <c r="J262" t="s">
        <v>99</v>
      </c>
      <c r="K262" t="s">
        <v>78</v>
      </c>
      <c r="L262" t="s">
        <v>262</v>
      </c>
      <c r="M262" t="s">
        <v>263</v>
      </c>
      <c r="N262" t="s">
        <v>293</v>
      </c>
      <c r="O262" t="s">
        <v>82</v>
      </c>
      <c r="P262" t="str">
        <f>"INV-00116098 CT092696         "</f>
        <v xml:space="preserve">INV-00116098 CT092696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30.07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16.739999999999998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0.4</v>
      </c>
      <c r="BJ262">
        <v>2.5</v>
      </c>
      <c r="BK262">
        <v>2.5</v>
      </c>
      <c r="BL262">
        <v>107.55</v>
      </c>
      <c r="BM262">
        <v>16.13</v>
      </c>
      <c r="BN262">
        <v>123.68</v>
      </c>
      <c r="BO262">
        <v>123.68</v>
      </c>
      <c r="BQ262" t="s">
        <v>294</v>
      </c>
      <c r="BR262" t="s">
        <v>101</v>
      </c>
      <c r="BS262" s="3">
        <v>45730</v>
      </c>
      <c r="BT262" s="4">
        <v>0.68611111111111112</v>
      </c>
      <c r="BU262" t="s">
        <v>991</v>
      </c>
      <c r="BV262" t="s">
        <v>109</v>
      </c>
      <c r="BY262">
        <v>12280.49</v>
      </c>
      <c r="BZ262" t="s">
        <v>296</v>
      </c>
      <c r="CA262" t="s">
        <v>297</v>
      </c>
      <c r="CC262" t="s">
        <v>263</v>
      </c>
      <c r="CD262" s="5" t="s">
        <v>298</v>
      </c>
      <c r="CE262" t="s">
        <v>237</v>
      </c>
      <c r="CF262" s="3">
        <v>45730</v>
      </c>
      <c r="CI262">
        <v>1</v>
      </c>
      <c r="CJ262">
        <v>1</v>
      </c>
      <c r="CK262">
        <v>21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"080011463923"</f>
        <v>080011463923</v>
      </c>
      <c r="F263" s="3">
        <v>45729</v>
      </c>
      <c r="G263">
        <v>202512</v>
      </c>
      <c r="H263" t="s">
        <v>79</v>
      </c>
      <c r="I263" t="s">
        <v>80</v>
      </c>
      <c r="J263" t="s">
        <v>81</v>
      </c>
      <c r="K263" t="s">
        <v>78</v>
      </c>
      <c r="L263" t="s">
        <v>75</v>
      </c>
      <c r="M263" t="s">
        <v>76</v>
      </c>
      <c r="N263" t="s">
        <v>119</v>
      </c>
      <c r="O263" t="s">
        <v>82</v>
      </c>
      <c r="P263" t="str">
        <f>"-                             "</f>
        <v xml:space="preserve">-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36.08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2.1</v>
      </c>
      <c r="BJ263">
        <v>2.9</v>
      </c>
      <c r="BK263">
        <v>3</v>
      </c>
      <c r="BL263">
        <v>108.96</v>
      </c>
      <c r="BM263">
        <v>16.34</v>
      </c>
      <c r="BN263">
        <v>125.3</v>
      </c>
      <c r="BO263">
        <v>125.3</v>
      </c>
      <c r="BP263" t="s">
        <v>83</v>
      </c>
      <c r="BQ263" t="s">
        <v>992</v>
      </c>
      <c r="BR263" t="s">
        <v>84</v>
      </c>
      <c r="BS263" s="3">
        <v>45730</v>
      </c>
      <c r="BT263" s="4">
        <v>0.49444444444444446</v>
      </c>
      <c r="BU263" t="s">
        <v>993</v>
      </c>
      <c r="BV263" t="s">
        <v>87</v>
      </c>
      <c r="BW263" t="s">
        <v>198</v>
      </c>
      <c r="BX263" t="s">
        <v>199</v>
      </c>
      <c r="BY263">
        <v>14421</v>
      </c>
      <c r="BZ263" t="s">
        <v>90</v>
      </c>
      <c r="CC263" t="s">
        <v>76</v>
      </c>
      <c r="CD263">
        <v>4051</v>
      </c>
      <c r="CE263" t="s">
        <v>93</v>
      </c>
      <c r="CF263" s="3">
        <v>45730</v>
      </c>
      <c r="CI263">
        <v>1</v>
      </c>
      <c r="CJ263">
        <v>1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"080011464520"</f>
        <v>080011464520</v>
      </c>
      <c r="F264" s="3">
        <v>45729</v>
      </c>
      <c r="G264">
        <v>202512</v>
      </c>
      <c r="H264" t="s">
        <v>79</v>
      </c>
      <c r="I264" t="s">
        <v>80</v>
      </c>
      <c r="J264" t="s">
        <v>81</v>
      </c>
      <c r="K264" t="s">
        <v>78</v>
      </c>
      <c r="L264" t="s">
        <v>519</v>
      </c>
      <c r="M264" t="s">
        <v>520</v>
      </c>
      <c r="N264" t="s">
        <v>994</v>
      </c>
      <c r="O264" t="s">
        <v>82</v>
      </c>
      <c r="P264" t="str">
        <f>"-                             "</f>
        <v xml:space="preserve">-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72.13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1.2</v>
      </c>
      <c r="BJ264">
        <v>6</v>
      </c>
      <c r="BK264">
        <v>6</v>
      </c>
      <c r="BL264">
        <v>217.85</v>
      </c>
      <c r="BM264">
        <v>32.68</v>
      </c>
      <c r="BN264">
        <v>250.53</v>
      </c>
      <c r="BO264">
        <v>250.53</v>
      </c>
      <c r="BP264" t="s">
        <v>83</v>
      </c>
      <c r="BQ264" t="s">
        <v>995</v>
      </c>
      <c r="BR264" t="s">
        <v>84</v>
      </c>
      <c r="BS264" s="3">
        <v>45730</v>
      </c>
      <c r="BT264" s="4">
        <v>0.47013888888888888</v>
      </c>
      <c r="BU264" t="s">
        <v>996</v>
      </c>
      <c r="BV264" t="s">
        <v>87</v>
      </c>
      <c r="BW264" t="s">
        <v>187</v>
      </c>
      <c r="BX264" t="s">
        <v>997</v>
      </c>
      <c r="BY264">
        <v>29792.240000000002</v>
      </c>
      <c r="BZ264" t="s">
        <v>90</v>
      </c>
      <c r="CC264" t="s">
        <v>520</v>
      </c>
      <c r="CD264">
        <v>6000</v>
      </c>
      <c r="CE264" t="s">
        <v>93</v>
      </c>
      <c r="CF264" s="3">
        <v>45730</v>
      </c>
      <c r="CI264">
        <v>1</v>
      </c>
      <c r="CJ264">
        <v>1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"GAB2024850"</f>
        <v>GAB2024850</v>
      </c>
      <c r="F265" s="3">
        <v>45729</v>
      </c>
      <c r="G265">
        <v>202512</v>
      </c>
      <c r="H265" t="s">
        <v>97</v>
      </c>
      <c r="I265" t="s">
        <v>98</v>
      </c>
      <c r="J265" t="s">
        <v>99</v>
      </c>
      <c r="K265" t="s">
        <v>78</v>
      </c>
      <c r="L265" t="s">
        <v>79</v>
      </c>
      <c r="M265" t="s">
        <v>80</v>
      </c>
      <c r="N265" t="s">
        <v>604</v>
      </c>
      <c r="O265" t="s">
        <v>100</v>
      </c>
      <c r="P265" t="str">
        <f>"INV-00116059 CT093115         "</f>
        <v xml:space="preserve">INV-00116059 CT093115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175.2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4</v>
      </c>
      <c r="BI265">
        <v>37</v>
      </c>
      <c r="BJ265">
        <v>81.900000000000006</v>
      </c>
      <c r="BK265">
        <v>82</v>
      </c>
      <c r="BL265">
        <v>534.71</v>
      </c>
      <c r="BM265">
        <v>80.209999999999994</v>
      </c>
      <c r="BN265">
        <v>614.91999999999996</v>
      </c>
      <c r="BO265">
        <v>614.91999999999996</v>
      </c>
      <c r="BQ265" t="s">
        <v>459</v>
      </c>
      <c r="BR265" t="s">
        <v>101</v>
      </c>
      <c r="BS265" s="3">
        <v>45734</v>
      </c>
      <c r="BT265" s="4">
        <v>0.51736111111111116</v>
      </c>
      <c r="BU265" t="s">
        <v>605</v>
      </c>
      <c r="BV265" t="s">
        <v>109</v>
      </c>
      <c r="BY265">
        <v>409633.19</v>
      </c>
      <c r="CA265" t="s">
        <v>998</v>
      </c>
      <c r="CC265" t="s">
        <v>80</v>
      </c>
      <c r="CD265" s="5" t="s">
        <v>92</v>
      </c>
      <c r="CE265" t="s">
        <v>111</v>
      </c>
      <c r="CF265" s="3">
        <v>45734</v>
      </c>
      <c r="CI265">
        <v>3</v>
      </c>
      <c r="CJ265">
        <v>3</v>
      </c>
      <c r="CK265">
        <v>41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"GAB2024857"</f>
        <v>GAB2024857</v>
      </c>
      <c r="F266" s="3">
        <v>45729</v>
      </c>
      <c r="G266">
        <v>202512</v>
      </c>
      <c r="H266" t="s">
        <v>97</v>
      </c>
      <c r="I266" t="s">
        <v>98</v>
      </c>
      <c r="J266" t="s">
        <v>99</v>
      </c>
      <c r="K266" t="s">
        <v>78</v>
      </c>
      <c r="L266" t="s">
        <v>697</v>
      </c>
      <c r="M266" t="s">
        <v>698</v>
      </c>
      <c r="N266" t="s">
        <v>904</v>
      </c>
      <c r="O266" t="s">
        <v>100</v>
      </c>
      <c r="P266" t="str">
        <f>"INV-00033552 028613           "</f>
        <v xml:space="preserve">INV-00033552 028613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65.61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6.2</v>
      </c>
      <c r="BJ266">
        <v>12.8</v>
      </c>
      <c r="BK266">
        <v>13</v>
      </c>
      <c r="BL266">
        <v>203.73</v>
      </c>
      <c r="BM266">
        <v>30.56</v>
      </c>
      <c r="BN266">
        <v>234.29</v>
      </c>
      <c r="BO266">
        <v>234.29</v>
      </c>
      <c r="BR266" t="s">
        <v>101</v>
      </c>
      <c r="BS266" s="3">
        <v>45735</v>
      </c>
      <c r="BT266" s="4">
        <v>0.47986111111111113</v>
      </c>
      <c r="BU266" t="s">
        <v>905</v>
      </c>
      <c r="BV266" t="s">
        <v>109</v>
      </c>
      <c r="BY266">
        <v>64144.13</v>
      </c>
      <c r="CA266" t="s">
        <v>906</v>
      </c>
      <c r="CC266" t="s">
        <v>698</v>
      </c>
      <c r="CD266">
        <v>8801</v>
      </c>
      <c r="CE266" t="s">
        <v>111</v>
      </c>
      <c r="CF266" s="3">
        <v>45736</v>
      </c>
      <c r="CI266">
        <v>5</v>
      </c>
      <c r="CJ266">
        <v>4</v>
      </c>
      <c r="CK266">
        <v>43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"GAB2024861"</f>
        <v>GAB2024861</v>
      </c>
      <c r="F267" s="3">
        <v>45729</v>
      </c>
      <c r="G267">
        <v>202512</v>
      </c>
      <c r="H267" t="s">
        <v>97</v>
      </c>
      <c r="I267" t="s">
        <v>98</v>
      </c>
      <c r="J267" t="s">
        <v>99</v>
      </c>
      <c r="K267" t="s">
        <v>78</v>
      </c>
      <c r="L267" t="s">
        <v>502</v>
      </c>
      <c r="M267" t="s">
        <v>503</v>
      </c>
      <c r="N267" t="s">
        <v>999</v>
      </c>
      <c r="O267" t="s">
        <v>100</v>
      </c>
      <c r="P267" t="str">
        <f>"00116047 CT093024             "</f>
        <v xml:space="preserve">00116047 CT093024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46.52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2.5</v>
      </c>
      <c r="BJ267">
        <v>6.3</v>
      </c>
      <c r="BK267">
        <v>7</v>
      </c>
      <c r="BL267">
        <v>146.07</v>
      </c>
      <c r="BM267">
        <v>21.91</v>
      </c>
      <c r="BN267">
        <v>167.98</v>
      </c>
      <c r="BO267">
        <v>167.98</v>
      </c>
      <c r="BQ267" t="s">
        <v>1000</v>
      </c>
      <c r="BR267" t="s">
        <v>101</v>
      </c>
      <c r="BS267" s="3">
        <v>45733</v>
      </c>
      <c r="BT267" s="4">
        <v>0.4548611111111111</v>
      </c>
      <c r="BU267" t="s">
        <v>1001</v>
      </c>
      <c r="BV267" t="s">
        <v>109</v>
      </c>
      <c r="BY267">
        <v>31333.25</v>
      </c>
      <c r="CA267" t="s">
        <v>507</v>
      </c>
      <c r="CC267" t="s">
        <v>503</v>
      </c>
      <c r="CD267">
        <v>5201</v>
      </c>
      <c r="CE267" t="s">
        <v>111</v>
      </c>
      <c r="CF267" s="3">
        <v>45734</v>
      </c>
      <c r="CI267">
        <v>3</v>
      </c>
      <c r="CJ267">
        <v>2</v>
      </c>
      <c r="CK267">
        <v>41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"GAB2024865"</f>
        <v>GAB2024865</v>
      </c>
      <c r="F268" s="3">
        <v>45729</v>
      </c>
      <c r="G268">
        <v>202512</v>
      </c>
      <c r="H268" t="s">
        <v>97</v>
      </c>
      <c r="I268" t="s">
        <v>98</v>
      </c>
      <c r="J268" t="s">
        <v>99</v>
      </c>
      <c r="K268" t="s">
        <v>78</v>
      </c>
      <c r="L268" t="s">
        <v>339</v>
      </c>
      <c r="M268" t="s">
        <v>340</v>
      </c>
      <c r="N268" t="s">
        <v>398</v>
      </c>
      <c r="O268" t="s">
        <v>100</v>
      </c>
      <c r="P268" t="str">
        <f>"INV-00116086 CT093145         "</f>
        <v xml:space="preserve">INV-00116086 CT093145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35.9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0.2</v>
      </c>
      <c r="BJ268">
        <v>1.9</v>
      </c>
      <c r="BK268">
        <v>2</v>
      </c>
      <c r="BL268">
        <v>113.99</v>
      </c>
      <c r="BM268">
        <v>17.100000000000001</v>
      </c>
      <c r="BN268">
        <v>131.09</v>
      </c>
      <c r="BO268">
        <v>131.09</v>
      </c>
      <c r="BQ268" t="s">
        <v>399</v>
      </c>
      <c r="BR268" t="s">
        <v>101</v>
      </c>
      <c r="BS268" s="3">
        <v>45730</v>
      </c>
      <c r="BT268" s="4">
        <v>0.48541666666666666</v>
      </c>
      <c r="BU268" t="s">
        <v>1002</v>
      </c>
      <c r="BV268" t="s">
        <v>109</v>
      </c>
      <c r="BY268">
        <v>9389.1</v>
      </c>
      <c r="CC268" t="s">
        <v>340</v>
      </c>
      <c r="CD268">
        <v>7600</v>
      </c>
      <c r="CE268" t="s">
        <v>1003</v>
      </c>
      <c r="CF268" s="3">
        <v>45733</v>
      </c>
      <c r="CI268">
        <v>1</v>
      </c>
      <c r="CJ268">
        <v>1</v>
      </c>
      <c r="CK268">
        <v>42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"GAB2024869"</f>
        <v>GAB2024869</v>
      </c>
      <c r="F269" s="3">
        <v>45729</v>
      </c>
      <c r="G269">
        <v>202512</v>
      </c>
      <c r="H269" t="s">
        <v>97</v>
      </c>
      <c r="I269" t="s">
        <v>98</v>
      </c>
      <c r="J269" t="s">
        <v>99</v>
      </c>
      <c r="K269" t="s">
        <v>78</v>
      </c>
      <c r="L269" t="s">
        <v>182</v>
      </c>
      <c r="M269" t="s">
        <v>183</v>
      </c>
      <c r="N269" t="s">
        <v>1004</v>
      </c>
      <c r="O269" t="s">
        <v>100</v>
      </c>
      <c r="P269" t="str">
        <f>"INV-00116091 CT093079         "</f>
        <v xml:space="preserve">INV-00116091 CT093079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46.52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0.8</v>
      </c>
      <c r="BJ269">
        <v>1.7</v>
      </c>
      <c r="BK269">
        <v>2</v>
      </c>
      <c r="BL269">
        <v>146.07</v>
      </c>
      <c r="BM269">
        <v>21.91</v>
      </c>
      <c r="BN269">
        <v>167.98</v>
      </c>
      <c r="BO269">
        <v>167.98</v>
      </c>
      <c r="BQ269" t="s">
        <v>1005</v>
      </c>
      <c r="BR269" t="s">
        <v>101</v>
      </c>
      <c r="BS269" s="3">
        <v>45733</v>
      </c>
      <c r="BT269" s="4">
        <v>0.55208333333333337</v>
      </c>
      <c r="BU269" t="s">
        <v>1006</v>
      </c>
      <c r="BV269" t="s">
        <v>109</v>
      </c>
      <c r="BY269">
        <v>8613</v>
      </c>
      <c r="CC269" t="s">
        <v>183</v>
      </c>
      <c r="CD269">
        <v>3650</v>
      </c>
      <c r="CE269" t="s">
        <v>1007</v>
      </c>
      <c r="CF269" s="3">
        <v>45734</v>
      </c>
      <c r="CI269">
        <v>3</v>
      </c>
      <c r="CJ269">
        <v>2</v>
      </c>
      <c r="CK269">
        <v>41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"GAB2024873"</f>
        <v>GAB2024873</v>
      </c>
      <c r="F270" s="3">
        <v>45729</v>
      </c>
      <c r="G270">
        <v>202512</v>
      </c>
      <c r="H270" t="s">
        <v>97</v>
      </c>
      <c r="I270" t="s">
        <v>98</v>
      </c>
      <c r="J270" t="s">
        <v>99</v>
      </c>
      <c r="K270" t="s">
        <v>78</v>
      </c>
      <c r="L270" t="s">
        <v>1008</v>
      </c>
      <c r="M270" t="s">
        <v>1009</v>
      </c>
      <c r="N270" t="s">
        <v>1010</v>
      </c>
      <c r="O270" t="s">
        <v>100</v>
      </c>
      <c r="P270" t="str">
        <f>"INV-00033556 00033557 00033558"</f>
        <v>INV-00033556 00033557 00033558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75.67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8.4</v>
      </c>
      <c r="BJ270">
        <v>17.899999999999999</v>
      </c>
      <c r="BK270">
        <v>18</v>
      </c>
      <c r="BL270">
        <v>234.1</v>
      </c>
      <c r="BM270">
        <v>35.119999999999997</v>
      </c>
      <c r="BN270">
        <v>269.22000000000003</v>
      </c>
      <c r="BO270">
        <v>269.22000000000003</v>
      </c>
      <c r="BQ270" t="s">
        <v>372</v>
      </c>
      <c r="BR270" t="s">
        <v>101</v>
      </c>
      <c r="BS270" s="3">
        <v>45734</v>
      </c>
      <c r="BT270" s="4">
        <v>0.53888888888888886</v>
      </c>
      <c r="BU270" t="s">
        <v>1011</v>
      </c>
      <c r="BV270" t="s">
        <v>109</v>
      </c>
      <c r="BY270">
        <v>89724.09</v>
      </c>
      <c r="CA270" t="s">
        <v>514</v>
      </c>
      <c r="CC270" t="s">
        <v>1009</v>
      </c>
      <c r="CD270" s="5" t="s">
        <v>1012</v>
      </c>
      <c r="CE270" t="s">
        <v>111</v>
      </c>
      <c r="CF270" s="3">
        <v>45734</v>
      </c>
      <c r="CI270">
        <v>2</v>
      </c>
      <c r="CJ270">
        <v>3</v>
      </c>
      <c r="CK270">
        <v>43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"GAB2024877"</f>
        <v>GAB2024877</v>
      </c>
      <c r="F271" s="3">
        <v>45730</v>
      </c>
      <c r="G271">
        <v>202512</v>
      </c>
      <c r="H271" t="s">
        <v>97</v>
      </c>
      <c r="I271" t="s">
        <v>98</v>
      </c>
      <c r="J271" t="s">
        <v>99</v>
      </c>
      <c r="K271" t="s">
        <v>78</v>
      </c>
      <c r="L271" t="s">
        <v>238</v>
      </c>
      <c r="M271" t="s">
        <v>239</v>
      </c>
      <c r="N271" t="s">
        <v>1013</v>
      </c>
      <c r="O271" t="s">
        <v>82</v>
      </c>
      <c r="P271" t="str">
        <f>"INV-0003590 030970            "</f>
        <v xml:space="preserve">INV-0003590 030970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36.08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0.3</v>
      </c>
      <c r="BJ271">
        <v>2.6</v>
      </c>
      <c r="BK271">
        <v>3</v>
      </c>
      <c r="BL271">
        <v>108.96</v>
      </c>
      <c r="BM271">
        <v>16.34</v>
      </c>
      <c r="BN271">
        <v>125.3</v>
      </c>
      <c r="BO271">
        <v>125.3</v>
      </c>
      <c r="BQ271" t="s">
        <v>1014</v>
      </c>
      <c r="BR271" t="s">
        <v>101</v>
      </c>
      <c r="BS271" s="3">
        <v>45733</v>
      </c>
      <c r="BT271" s="4">
        <v>0.41666666666666669</v>
      </c>
      <c r="BU271" t="s">
        <v>1015</v>
      </c>
      <c r="BV271" t="s">
        <v>109</v>
      </c>
      <c r="BY271">
        <v>12789</v>
      </c>
      <c r="BZ271" t="s">
        <v>90</v>
      </c>
      <c r="CC271" t="s">
        <v>239</v>
      </c>
      <c r="CD271">
        <v>2191</v>
      </c>
      <c r="CE271" t="s">
        <v>137</v>
      </c>
      <c r="CF271" s="3">
        <v>45734</v>
      </c>
      <c r="CI271">
        <v>1</v>
      </c>
      <c r="CJ271">
        <v>1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"GAB2024878"</f>
        <v>GAB2024878</v>
      </c>
      <c r="F272" s="3">
        <v>45730</v>
      </c>
      <c r="G272">
        <v>202512</v>
      </c>
      <c r="H272" t="s">
        <v>97</v>
      </c>
      <c r="I272" t="s">
        <v>98</v>
      </c>
      <c r="J272" t="s">
        <v>99</v>
      </c>
      <c r="K272" t="s">
        <v>78</v>
      </c>
      <c r="L272" t="s">
        <v>491</v>
      </c>
      <c r="M272" t="s">
        <v>492</v>
      </c>
      <c r="N272" t="s">
        <v>524</v>
      </c>
      <c r="O272" t="s">
        <v>82</v>
      </c>
      <c r="P272" t="str">
        <f>"INV-00116114 CT092911         "</f>
        <v xml:space="preserve">INV-00116114 CT092911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30.07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2.2000000000000002</v>
      </c>
      <c r="BK272">
        <v>2.5</v>
      </c>
      <c r="BL272">
        <v>90.81</v>
      </c>
      <c r="BM272">
        <v>13.62</v>
      </c>
      <c r="BN272">
        <v>104.43</v>
      </c>
      <c r="BO272">
        <v>104.43</v>
      </c>
      <c r="BR272" t="s">
        <v>101</v>
      </c>
      <c r="BS272" s="3">
        <v>45735</v>
      </c>
      <c r="BT272" s="4">
        <v>0.4236111111111111</v>
      </c>
      <c r="BU272" t="s">
        <v>1016</v>
      </c>
      <c r="BV272" t="s">
        <v>87</v>
      </c>
      <c r="BW272" t="s">
        <v>1017</v>
      </c>
      <c r="BX272" t="s">
        <v>1018</v>
      </c>
      <c r="BY272">
        <v>11004.81</v>
      </c>
      <c r="BZ272" t="s">
        <v>90</v>
      </c>
      <c r="CA272" t="s">
        <v>1019</v>
      </c>
      <c r="CC272" t="s">
        <v>492</v>
      </c>
      <c r="CD272">
        <v>1725</v>
      </c>
      <c r="CE272" t="s">
        <v>149</v>
      </c>
      <c r="CF272" s="3">
        <v>45735</v>
      </c>
      <c r="CI272">
        <v>1</v>
      </c>
      <c r="CJ272">
        <v>3</v>
      </c>
      <c r="CK272">
        <v>21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"GAB2024879"</f>
        <v>GAB2024879</v>
      </c>
      <c r="F273" s="3">
        <v>45730</v>
      </c>
      <c r="G273">
        <v>202512</v>
      </c>
      <c r="H273" t="s">
        <v>97</v>
      </c>
      <c r="I273" t="s">
        <v>98</v>
      </c>
      <c r="J273" t="s">
        <v>99</v>
      </c>
      <c r="K273" t="s">
        <v>78</v>
      </c>
      <c r="L273" t="s">
        <v>262</v>
      </c>
      <c r="M273" t="s">
        <v>263</v>
      </c>
      <c r="N273" t="s">
        <v>293</v>
      </c>
      <c r="O273" t="s">
        <v>82</v>
      </c>
      <c r="P273" t="str">
        <f>"INV-00116115 CT093164         "</f>
        <v xml:space="preserve">INV-00116115 CT093164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24.06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16.739999999999998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0.7</v>
      </c>
      <c r="BJ273">
        <v>0.1</v>
      </c>
      <c r="BK273">
        <v>1</v>
      </c>
      <c r="BL273">
        <v>89.4</v>
      </c>
      <c r="BM273">
        <v>13.41</v>
      </c>
      <c r="BN273">
        <v>102.81</v>
      </c>
      <c r="BO273">
        <v>102.81</v>
      </c>
      <c r="BQ273" t="s">
        <v>294</v>
      </c>
      <c r="BR273" t="s">
        <v>101</v>
      </c>
      <c r="BS273" s="3">
        <v>45733</v>
      </c>
      <c r="BT273" s="4">
        <v>0.62916666666666665</v>
      </c>
      <c r="BU273" t="s">
        <v>295</v>
      </c>
      <c r="BV273" t="s">
        <v>109</v>
      </c>
      <c r="BY273">
        <v>578.4</v>
      </c>
      <c r="BZ273" t="s">
        <v>296</v>
      </c>
      <c r="CA273" t="s">
        <v>297</v>
      </c>
      <c r="CC273" t="s">
        <v>263</v>
      </c>
      <c r="CD273" s="5" t="s">
        <v>298</v>
      </c>
      <c r="CE273" t="s">
        <v>193</v>
      </c>
      <c r="CF273" s="3">
        <v>45733</v>
      </c>
      <c r="CI273">
        <v>1</v>
      </c>
      <c r="CJ273">
        <v>1</v>
      </c>
      <c r="CK273">
        <v>21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"GAB2024880"</f>
        <v>GAB2024880</v>
      </c>
      <c r="F274" s="3">
        <v>45730</v>
      </c>
      <c r="G274">
        <v>202512</v>
      </c>
      <c r="H274" t="s">
        <v>97</v>
      </c>
      <c r="I274" t="s">
        <v>98</v>
      </c>
      <c r="J274" t="s">
        <v>99</v>
      </c>
      <c r="K274" t="s">
        <v>78</v>
      </c>
      <c r="L274" t="s">
        <v>97</v>
      </c>
      <c r="M274" t="s">
        <v>98</v>
      </c>
      <c r="N274" t="s">
        <v>1020</v>
      </c>
      <c r="O274" t="s">
        <v>82</v>
      </c>
      <c r="P274" t="str">
        <f>"INV-00116113 CT093162         "</f>
        <v xml:space="preserve">INV-00116113 CT093162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18.79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0.5</v>
      </c>
      <c r="BJ274">
        <v>2</v>
      </c>
      <c r="BK274">
        <v>2</v>
      </c>
      <c r="BL274">
        <v>56.75</v>
      </c>
      <c r="BM274">
        <v>8.51</v>
      </c>
      <c r="BN274">
        <v>65.260000000000005</v>
      </c>
      <c r="BO274">
        <v>65.260000000000005</v>
      </c>
      <c r="BQ274" t="s">
        <v>1021</v>
      </c>
      <c r="BR274" t="s">
        <v>101</v>
      </c>
      <c r="BS274" s="3">
        <v>45733</v>
      </c>
      <c r="BT274" s="4">
        <v>0.42777777777777776</v>
      </c>
      <c r="BU274" t="s">
        <v>1022</v>
      </c>
      <c r="BV274" t="s">
        <v>109</v>
      </c>
      <c r="BY274">
        <v>9832.7999999999993</v>
      </c>
      <c r="BZ274" t="s">
        <v>90</v>
      </c>
      <c r="CA274" t="s">
        <v>315</v>
      </c>
      <c r="CC274" t="s">
        <v>98</v>
      </c>
      <c r="CD274">
        <v>7550</v>
      </c>
      <c r="CE274" t="s">
        <v>1023</v>
      </c>
      <c r="CF274" s="3">
        <v>45734</v>
      </c>
      <c r="CI274">
        <v>1</v>
      </c>
      <c r="CJ274">
        <v>1</v>
      </c>
      <c r="CK274">
        <v>22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"GAB2024882"</f>
        <v>GAB2024882</v>
      </c>
      <c r="F275" s="3">
        <v>45730</v>
      </c>
      <c r="G275">
        <v>202512</v>
      </c>
      <c r="H275" t="s">
        <v>97</v>
      </c>
      <c r="I275" t="s">
        <v>98</v>
      </c>
      <c r="J275" t="s">
        <v>99</v>
      </c>
      <c r="K275" t="s">
        <v>78</v>
      </c>
      <c r="L275" t="s">
        <v>130</v>
      </c>
      <c r="M275" t="s">
        <v>131</v>
      </c>
      <c r="N275" t="s">
        <v>132</v>
      </c>
      <c r="O275" t="s">
        <v>82</v>
      </c>
      <c r="P275" t="str">
        <f>"INV-00116109 CT093171         "</f>
        <v xml:space="preserve">INV-00116109 CT093171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30.07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0.1</v>
      </c>
      <c r="BJ275">
        <v>2.2000000000000002</v>
      </c>
      <c r="BK275">
        <v>2.5</v>
      </c>
      <c r="BL275">
        <v>90.81</v>
      </c>
      <c r="BM275">
        <v>13.62</v>
      </c>
      <c r="BN275">
        <v>104.43</v>
      </c>
      <c r="BO275">
        <v>104.43</v>
      </c>
      <c r="BQ275" t="s">
        <v>133</v>
      </c>
      <c r="BR275" t="s">
        <v>101</v>
      </c>
      <c r="BS275" s="3">
        <v>45735</v>
      </c>
      <c r="BT275" s="4">
        <v>0.3840277777777778</v>
      </c>
      <c r="BU275" t="s">
        <v>134</v>
      </c>
      <c r="BV275" t="s">
        <v>87</v>
      </c>
      <c r="BY275">
        <v>10927.08</v>
      </c>
      <c r="BZ275" t="s">
        <v>90</v>
      </c>
      <c r="CA275" t="s">
        <v>135</v>
      </c>
      <c r="CC275" t="s">
        <v>131</v>
      </c>
      <c r="CD275" s="5" t="s">
        <v>136</v>
      </c>
      <c r="CE275" t="s">
        <v>149</v>
      </c>
      <c r="CF275" s="3">
        <v>45735</v>
      </c>
      <c r="CI275">
        <v>2</v>
      </c>
      <c r="CJ275">
        <v>3</v>
      </c>
      <c r="CK275">
        <v>21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"GAB2024883"</f>
        <v>GAB2024883</v>
      </c>
      <c r="F276" s="3">
        <v>45730</v>
      </c>
      <c r="G276">
        <v>202512</v>
      </c>
      <c r="H276" t="s">
        <v>97</v>
      </c>
      <c r="I276" t="s">
        <v>98</v>
      </c>
      <c r="J276" t="s">
        <v>99</v>
      </c>
      <c r="K276" t="s">
        <v>78</v>
      </c>
      <c r="L276" t="s">
        <v>1024</v>
      </c>
      <c r="M276" t="s">
        <v>1025</v>
      </c>
      <c r="N276" t="s">
        <v>1026</v>
      </c>
      <c r="O276" t="s">
        <v>82</v>
      </c>
      <c r="P276" t="str">
        <f>"INV-00116110 CT093163         "</f>
        <v xml:space="preserve">INV-00116110 CT093163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46.61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0.8</v>
      </c>
      <c r="BJ276">
        <v>1.8</v>
      </c>
      <c r="BK276">
        <v>2</v>
      </c>
      <c r="BL276">
        <v>140.77000000000001</v>
      </c>
      <c r="BM276">
        <v>21.12</v>
      </c>
      <c r="BN276">
        <v>161.88999999999999</v>
      </c>
      <c r="BO276">
        <v>161.88999999999999</v>
      </c>
      <c r="BQ276" t="s">
        <v>210</v>
      </c>
      <c r="BR276" t="s">
        <v>101</v>
      </c>
      <c r="BS276" s="3">
        <v>45734</v>
      </c>
      <c r="BT276" s="4">
        <v>0.5756944444444444</v>
      </c>
      <c r="BU276" t="s">
        <v>1027</v>
      </c>
      <c r="BV276" t="s">
        <v>109</v>
      </c>
      <c r="BY276">
        <v>9028.7999999999993</v>
      </c>
      <c r="BZ276" t="s">
        <v>90</v>
      </c>
      <c r="CA276" t="s">
        <v>1028</v>
      </c>
      <c r="CC276" t="s">
        <v>1025</v>
      </c>
      <c r="CD276">
        <v>3100</v>
      </c>
      <c r="CE276" t="s">
        <v>229</v>
      </c>
      <c r="CF276" s="3">
        <v>45735</v>
      </c>
      <c r="CI276">
        <v>2</v>
      </c>
      <c r="CJ276">
        <v>2</v>
      </c>
      <c r="CK276">
        <v>23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"GAB2024884"</f>
        <v>GAB2024884</v>
      </c>
      <c r="F277" s="3">
        <v>45730</v>
      </c>
      <c r="G277">
        <v>202512</v>
      </c>
      <c r="H277" t="s">
        <v>97</v>
      </c>
      <c r="I277" t="s">
        <v>98</v>
      </c>
      <c r="J277" t="s">
        <v>99</v>
      </c>
      <c r="K277" t="s">
        <v>78</v>
      </c>
      <c r="L277" t="s">
        <v>97</v>
      </c>
      <c r="M277" t="s">
        <v>98</v>
      </c>
      <c r="N277" t="s">
        <v>1029</v>
      </c>
      <c r="O277" t="s">
        <v>82</v>
      </c>
      <c r="P277" t="str">
        <f>"INV-00033604 031111           "</f>
        <v xml:space="preserve">INV-00033604 031111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18.79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2.2999999999999998</v>
      </c>
      <c r="BK277">
        <v>3</v>
      </c>
      <c r="BL277">
        <v>56.75</v>
      </c>
      <c r="BM277">
        <v>8.51</v>
      </c>
      <c r="BN277">
        <v>65.260000000000005</v>
      </c>
      <c r="BO277">
        <v>65.260000000000005</v>
      </c>
      <c r="BQ277" t="s">
        <v>210</v>
      </c>
      <c r="BR277" t="s">
        <v>101</v>
      </c>
      <c r="BS277" s="3">
        <v>45733</v>
      </c>
      <c r="BT277" s="4">
        <v>0.41388888888888886</v>
      </c>
      <c r="BU277" t="s">
        <v>1030</v>
      </c>
      <c r="BV277" t="s">
        <v>109</v>
      </c>
      <c r="BY277">
        <v>11440</v>
      </c>
      <c r="BZ277" t="s">
        <v>90</v>
      </c>
      <c r="CA277" t="s">
        <v>1031</v>
      </c>
      <c r="CC277" t="s">
        <v>98</v>
      </c>
      <c r="CD277">
        <v>7945</v>
      </c>
      <c r="CE277" t="s">
        <v>149</v>
      </c>
      <c r="CF277" s="3">
        <v>45734</v>
      </c>
      <c r="CI277">
        <v>1</v>
      </c>
      <c r="CJ277">
        <v>1</v>
      </c>
      <c r="CK277">
        <v>22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"GAB2024886"</f>
        <v>GAB2024886</v>
      </c>
      <c r="F278" s="3">
        <v>45730</v>
      </c>
      <c r="G278">
        <v>202512</v>
      </c>
      <c r="H278" t="s">
        <v>97</v>
      </c>
      <c r="I278" t="s">
        <v>98</v>
      </c>
      <c r="J278" t="s">
        <v>99</v>
      </c>
      <c r="K278" t="s">
        <v>78</v>
      </c>
      <c r="L278" t="s">
        <v>519</v>
      </c>
      <c r="M278" t="s">
        <v>520</v>
      </c>
      <c r="N278" t="s">
        <v>951</v>
      </c>
      <c r="O278" t="s">
        <v>82</v>
      </c>
      <c r="P278" t="str">
        <f>"INV-00033606 031110           "</f>
        <v xml:space="preserve">INV-00033606 031110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36.08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0.3</v>
      </c>
      <c r="BJ278">
        <v>2.8</v>
      </c>
      <c r="BK278">
        <v>3</v>
      </c>
      <c r="BL278">
        <v>108.96</v>
      </c>
      <c r="BM278">
        <v>16.34</v>
      </c>
      <c r="BN278">
        <v>125.3</v>
      </c>
      <c r="BO278">
        <v>125.3</v>
      </c>
      <c r="BQ278" t="s">
        <v>766</v>
      </c>
      <c r="BR278" t="s">
        <v>101</v>
      </c>
      <c r="BS278" s="3">
        <v>45733</v>
      </c>
      <c r="BT278" s="4">
        <v>0.39930555555555558</v>
      </c>
      <c r="BU278" t="s">
        <v>952</v>
      </c>
      <c r="BV278" t="s">
        <v>109</v>
      </c>
      <c r="BY278">
        <v>13935.08</v>
      </c>
      <c r="BZ278" t="s">
        <v>90</v>
      </c>
      <c r="CA278" t="s">
        <v>709</v>
      </c>
      <c r="CC278" t="s">
        <v>520</v>
      </c>
      <c r="CD278">
        <v>6001</v>
      </c>
      <c r="CE278" t="s">
        <v>213</v>
      </c>
      <c r="CF278" s="3">
        <v>45733</v>
      </c>
      <c r="CI278">
        <v>2</v>
      </c>
      <c r="CJ278">
        <v>1</v>
      </c>
      <c r="CK278">
        <v>21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"GAB2024888"</f>
        <v>GAB2024888</v>
      </c>
      <c r="F279" s="3">
        <v>45730</v>
      </c>
      <c r="G279">
        <v>202512</v>
      </c>
      <c r="H279" t="s">
        <v>97</v>
      </c>
      <c r="I279" t="s">
        <v>98</v>
      </c>
      <c r="J279" t="s">
        <v>99</v>
      </c>
      <c r="K279" t="s">
        <v>78</v>
      </c>
      <c r="L279" t="s">
        <v>112</v>
      </c>
      <c r="M279" t="s">
        <v>113</v>
      </c>
      <c r="N279" t="s">
        <v>177</v>
      </c>
      <c r="O279" t="s">
        <v>82</v>
      </c>
      <c r="P279" t="str">
        <f>"ATT:TRACEY                    "</f>
        <v xml:space="preserve">ATT:TRACEY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30.07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2.5</v>
      </c>
      <c r="BK279">
        <v>2.5</v>
      </c>
      <c r="BL279">
        <v>90.81</v>
      </c>
      <c r="BM279">
        <v>13.62</v>
      </c>
      <c r="BN279">
        <v>104.43</v>
      </c>
      <c r="BO279">
        <v>104.43</v>
      </c>
      <c r="BQ279" t="s">
        <v>178</v>
      </c>
      <c r="BR279" t="s">
        <v>101</v>
      </c>
      <c r="BS279" s="3">
        <v>45733</v>
      </c>
      <c r="BT279" s="4">
        <v>0.5</v>
      </c>
      <c r="BU279" t="s">
        <v>179</v>
      </c>
      <c r="BV279" t="s">
        <v>109</v>
      </c>
      <c r="BY279">
        <v>12298.02</v>
      </c>
      <c r="BZ279" t="s">
        <v>90</v>
      </c>
      <c r="CC279" t="s">
        <v>113</v>
      </c>
      <c r="CD279">
        <v>9301</v>
      </c>
      <c r="CE279" t="s">
        <v>123</v>
      </c>
      <c r="CF279" s="3">
        <v>45734</v>
      </c>
      <c r="CI279">
        <v>2</v>
      </c>
      <c r="CJ279">
        <v>1</v>
      </c>
      <c r="CK279">
        <v>21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"GAB2024890"</f>
        <v>GAB2024890</v>
      </c>
      <c r="F280" s="3">
        <v>45730</v>
      </c>
      <c r="G280">
        <v>202512</v>
      </c>
      <c r="H280" t="s">
        <v>97</v>
      </c>
      <c r="I280" t="s">
        <v>98</v>
      </c>
      <c r="J280" t="s">
        <v>99</v>
      </c>
      <c r="K280" t="s">
        <v>78</v>
      </c>
      <c r="L280" t="s">
        <v>369</v>
      </c>
      <c r="M280" t="s">
        <v>370</v>
      </c>
      <c r="N280" t="s">
        <v>371</v>
      </c>
      <c r="O280" t="s">
        <v>82</v>
      </c>
      <c r="P280" t="str">
        <f>"INV-00033609 030605           "</f>
        <v xml:space="preserve">INV-00033609 030605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107.96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2.2000000000000002</v>
      </c>
      <c r="BJ280">
        <v>6.5</v>
      </c>
      <c r="BK280">
        <v>6.5</v>
      </c>
      <c r="BL280">
        <v>326.07</v>
      </c>
      <c r="BM280">
        <v>48.91</v>
      </c>
      <c r="BN280">
        <v>374.98</v>
      </c>
      <c r="BO280">
        <v>374.98</v>
      </c>
      <c r="BQ280" t="s">
        <v>378</v>
      </c>
      <c r="BR280" t="s">
        <v>101</v>
      </c>
      <c r="BS280" s="3">
        <v>45734</v>
      </c>
      <c r="BT280" s="4">
        <v>0.65347222222222223</v>
      </c>
      <c r="BU280" t="s">
        <v>1032</v>
      </c>
      <c r="BV280" t="s">
        <v>109</v>
      </c>
      <c r="BY280">
        <v>32326.799999999999</v>
      </c>
      <c r="BZ280" t="s">
        <v>90</v>
      </c>
      <c r="CA280" t="s">
        <v>374</v>
      </c>
      <c r="CC280" t="s">
        <v>370</v>
      </c>
      <c r="CD280">
        <v>6850</v>
      </c>
      <c r="CE280" t="s">
        <v>1033</v>
      </c>
      <c r="CF280" s="3">
        <v>45735</v>
      </c>
      <c r="CI280">
        <v>2</v>
      </c>
      <c r="CJ280">
        <v>2</v>
      </c>
      <c r="CK280">
        <v>24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"GAB2024892"</f>
        <v>GAB2024892</v>
      </c>
      <c r="F281" s="3">
        <v>45730</v>
      </c>
      <c r="G281">
        <v>202512</v>
      </c>
      <c r="H281" t="s">
        <v>97</v>
      </c>
      <c r="I281" t="s">
        <v>98</v>
      </c>
      <c r="J281" t="s">
        <v>99</v>
      </c>
      <c r="K281" t="s">
        <v>78</v>
      </c>
      <c r="L281" t="s">
        <v>79</v>
      </c>
      <c r="M281" t="s">
        <v>80</v>
      </c>
      <c r="N281" t="s">
        <v>119</v>
      </c>
      <c r="O281" t="s">
        <v>82</v>
      </c>
      <c r="P281" t="str">
        <f>"INV-00116130 CT093185         "</f>
        <v xml:space="preserve">INV-00116130 CT093185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30.07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2.1</v>
      </c>
      <c r="BK281">
        <v>2.5</v>
      </c>
      <c r="BL281">
        <v>90.81</v>
      </c>
      <c r="BM281">
        <v>13.62</v>
      </c>
      <c r="BN281">
        <v>104.43</v>
      </c>
      <c r="BO281">
        <v>104.43</v>
      </c>
      <c r="BQ281" t="s">
        <v>1034</v>
      </c>
      <c r="BR281" t="s">
        <v>101</v>
      </c>
      <c r="BS281" s="3">
        <v>45733</v>
      </c>
      <c r="BT281" s="4">
        <v>0.4152777777777778</v>
      </c>
      <c r="BU281" t="s">
        <v>427</v>
      </c>
      <c r="BV281" t="s">
        <v>109</v>
      </c>
      <c r="BY281">
        <v>10291.049999999999</v>
      </c>
      <c r="BZ281" t="s">
        <v>90</v>
      </c>
      <c r="CA281" t="s">
        <v>91</v>
      </c>
      <c r="CC281" t="s">
        <v>80</v>
      </c>
      <c r="CD281" s="5" t="s">
        <v>92</v>
      </c>
      <c r="CE281" t="s">
        <v>149</v>
      </c>
      <c r="CF281" s="3">
        <v>45733</v>
      </c>
      <c r="CI281">
        <v>1</v>
      </c>
      <c r="CJ281">
        <v>1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"GAB2024876"</f>
        <v>GAB2024876</v>
      </c>
      <c r="F282" s="3">
        <v>45730</v>
      </c>
      <c r="G282">
        <v>202512</v>
      </c>
      <c r="H282" t="s">
        <v>97</v>
      </c>
      <c r="I282" t="s">
        <v>98</v>
      </c>
      <c r="J282" t="s">
        <v>99</v>
      </c>
      <c r="K282" t="s">
        <v>78</v>
      </c>
      <c r="L282" t="s">
        <v>144</v>
      </c>
      <c r="M282" t="s">
        <v>145</v>
      </c>
      <c r="N282" t="s">
        <v>1035</v>
      </c>
      <c r="O282" t="s">
        <v>100</v>
      </c>
      <c r="P282" t="str">
        <f>"INV-00033589 031083           "</f>
        <v xml:space="preserve">INV-00033589 031083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65.61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2.2999999999999998</v>
      </c>
      <c r="BJ282">
        <v>5.9</v>
      </c>
      <c r="BK282">
        <v>6</v>
      </c>
      <c r="BL282">
        <v>203.73</v>
      </c>
      <c r="BM282">
        <v>30.56</v>
      </c>
      <c r="BN282">
        <v>234.29</v>
      </c>
      <c r="BO282">
        <v>234.29</v>
      </c>
      <c r="BQ282" t="s">
        <v>372</v>
      </c>
      <c r="BR282" t="s">
        <v>101</v>
      </c>
      <c r="BS282" s="3">
        <v>45736</v>
      </c>
      <c r="BT282" s="4">
        <v>0.61805555555555558</v>
      </c>
      <c r="BU282" t="s">
        <v>1036</v>
      </c>
      <c r="BV282" t="s">
        <v>87</v>
      </c>
      <c r="BW282" t="s">
        <v>633</v>
      </c>
      <c r="BX282" t="s">
        <v>842</v>
      </c>
      <c r="BY282">
        <v>29388</v>
      </c>
      <c r="CC282" t="s">
        <v>145</v>
      </c>
      <c r="CD282">
        <v>1050</v>
      </c>
      <c r="CE282" t="s">
        <v>111</v>
      </c>
      <c r="CF282" s="3">
        <v>45736</v>
      </c>
      <c r="CI282">
        <v>2</v>
      </c>
      <c r="CJ282">
        <v>4</v>
      </c>
      <c r="CK282">
        <v>43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"GAB2024881"</f>
        <v>GAB2024881</v>
      </c>
      <c r="F283" s="3">
        <v>45730</v>
      </c>
      <c r="G283">
        <v>202512</v>
      </c>
      <c r="H283" t="s">
        <v>97</v>
      </c>
      <c r="I283" t="s">
        <v>98</v>
      </c>
      <c r="J283" t="s">
        <v>99</v>
      </c>
      <c r="K283" t="s">
        <v>78</v>
      </c>
      <c r="L283" t="s">
        <v>75</v>
      </c>
      <c r="M283" t="s">
        <v>76</v>
      </c>
      <c r="N283" t="s">
        <v>1037</v>
      </c>
      <c r="O283" t="s">
        <v>100</v>
      </c>
      <c r="P283" t="str">
        <f>"INV-00116108 CT093157         "</f>
        <v xml:space="preserve">INV-00116108 CT093157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46.52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2.5</v>
      </c>
      <c r="BJ283">
        <v>7.4</v>
      </c>
      <c r="BK283">
        <v>8</v>
      </c>
      <c r="BL283">
        <v>146.07</v>
      </c>
      <c r="BM283">
        <v>21.91</v>
      </c>
      <c r="BN283">
        <v>167.98</v>
      </c>
      <c r="BO283">
        <v>167.98</v>
      </c>
      <c r="BQ283" t="s">
        <v>1038</v>
      </c>
      <c r="BR283" t="s">
        <v>101</v>
      </c>
      <c r="BS283" s="3">
        <v>45733</v>
      </c>
      <c r="BT283" s="4">
        <v>0.41666666666666669</v>
      </c>
      <c r="BU283" t="s">
        <v>1039</v>
      </c>
      <c r="BV283" t="s">
        <v>109</v>
      </c>
      <c r="BY283">
        <v>37181.43</v>
      </c>
      <c r="CA283" t="s">
        <v>192</v>
      </c>
      <c r="CC283" t="s">
        <v>76</v>
      </c>
      <c r="CD283">
        <v>4001</v>
      </c>
      <c r="CE283" t="s">
        <v>584</v>
      </c>
      <c r="CF283" s="3">
        <v>45734</v>
      </c>
      <c r="CI283">
        <v>3</v>
      </c>
      <c r="CJ283">
        <v>1</v>
      </c>
      <c r="CK283">
        <v>41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"GAB2024889"</f>
        <v>GAB2024889</v>
      </c>
      <c r="F284" s="3">
        <v>45730</v>
      </c>
      <c r="G284">
        <v>202512</v>
      </c>
      <c r="H284" t="s">
        <v>97</v>
      </c>
      <c r="I284" t="s">
        <v>98</v>
      </c>
      <c r="J284" t="s">
        <v>99</v>
      </c>
      <c r="K284" t="s">
        <v>78</v>
      </c>
      <c r="L284" t="s">
        <v>519</v>
      </c>
      <c r="M284" t="s">
        <v>520</v>
      </c>
      <c r="N284" t="s">
        <v>521</v>
      </c>
      <c r="O284" t="s">
        <v>100</v>
      </c>
      <c r="P284" t="str">
        <f>"INV-00116119 CT093176         "</f>
        <v xml:space="preserve">INV-00116119 CT093176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90.69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3</v>
      </c>
      <c r="BI284">
        <v>11</v>
      </c>
      <c r="BJ284">
        <v>37.6</v>
      </c>
      <c r="BK284">
        <v>38</v>
      </c>
      <c r="BL284">
        <v>279.48</v>
      </c>
      <c r="BM284">
        <v>41.92</v>
      </c>
      <c r="BN284">
        <v>321.39999999999998</v>
      </c>
      <c r="BO284">
        <v>321.39999999999998</v>
      </c>
      <c r="BQ284" t="s">
        <v>1040</v>
      </c>
      <c r="BR284" t="s">
        <v>101</v>
      </c>
      <c r="BS284" s="3">
        <v>45733</v>
      </c>
      <c r="BT284" s="4">
        <v>0.40972222222222221</v>
      </c>
      <c r="BU284" t="s">
        <v>1041</v>
      </c>
      <c r="BV284" t="s">
        <v>109</v>
      </c>
      <c r="BY284">
        <v>187952.6</v>
      </c>
      <c r="CA284" t="s">
        <v>709</v>
      </c>
      <c r="CC284" t="s">
        <v>520</v>
      </c>
      <c r="CD284">
        <v>6001</v>
      </c>
      <c r="CE284" t="s">
        <v>118</v>
      </c>
      <c r="CF284" s="3">
        <v>45733</v>
      </c>
      <c r="CI284">
        <v>3</v>
      </c>
      <c r="CJ284">
        <v>1</v>
      </c>
      <c r="CK284">
        <v>41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"GAB2024891"</f>
        <v>GAB2024891</v>
      </c>
      <c r="F285" s="3">
        <v>45730</v>
      </c>
      <c r="G285">
        <v>202512</v>
      </c>
      <c r="H285" t="s">
        <v>97</v>
      </c>
      <c r="I285" t="s">
        <v>98</v>
      </c>
      <c r="J285" t="s">
        <v>99</v>
      </c>
      <c r="K285" t="s">
        <v>78</v>
      </c>
      <c r="L285" t="s">
        <v>97</v>
      </c>
      <c r="M285" t="s">
        <v>98</v>
      </c>
      <c r="N285" t="s">
        <v>1042</v>
      </c>
      <c r="O285" t="s">
        <v>100</v>
      </c>
      <c r="P285" t="str">
        <f>"INV-00116121 CT093165         "</f>
        <v xml:space="preserve">INV-00116121 CT093165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47.44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10.1</v>
      </c>
      <c r="BJ285">
        <v>25.1</v>
      </c>
      <c r="BK285">
        <v>26</v>
      </c>
      <c r="BL285">
        <v>148.85</v>
      </c>
      <c r="BM285">
        <v>22.33</v>
      </c>
      <c r="BN285">
        <v>171.18</v>
      </c>
      <c r="BO285">
        <v>171.18</v>
      </c>
      <c r="BQ285" t="s">
        <v>610</v>
      </c>
      <c r="BR285" t="s">
        <v>101</v>
      </c>
      <c r="BS285" s="3">
        <v>45733</v>
      </c>
      <c r="BT285" s="4">
        <v>0.44791666666666669</v>
      </c>
      <c r="BU285" t="s">
        <v>1043</v>
      </c>
      <c r="BV285" t="s">
        <v>109</v>
      </c>
      <c r="BY285">
        <v>125327.83</v>
      </c>
      <c r="CA285" t="s">
        <v>970</v>
      </c>
      <c r="CC285" t="s">
        <v>98</v>
      </c>
      <c r="CD285">
        <v>7550</v>
      </c>
      <c r="CE285" t="s">
        <v>111</v>
      </c>
      <c r="CF285" s="3">
        <v>45734</v>
      </c>
      <c r="CI285">
        <v>1</v>
      </c>
      <c r="CJ285">
        <v>1</v>
      </c>
      <c r="CK285">
        <v>42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"080011465280"</f>
        <v>080011465280</v>
      </c>
      <c r="F286" s="3">
        <v>45733</v>
      </c>
      <c r="G286">
        <v>202512</v>
      </c>
      <c r="H286" t="s">
        <v>1044</v>
      </c>
      <c r="I286" t="s">
        <v>1045</v>
      </c>
      <c r="J286" t="s">
        <v>1046</v>
      </c>
      <c r="K286" t="s">
        <v>78</v>
      </c>
      <c r="L286" t="s">
        <v>97</v>
      </c>
      <c r="M286" t="s">
        <v>98</v>
      </c>
      <c r="N286" t="s">
        <v>119</v>
      </c>
      <c r="O286" t="s">
        <v>82</v>
      </c>
      <c r="P286" t="str">
        <f>"Hester                        "</f>
        <v xml:space="preserve">Hester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24.06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0.3</v>
      </c>
      <c r="BK286">
        <v>1</v>
      </c>
      <c r="BL286">
        <v>72.66</v>
      </c>
      <c r="BM286">
        <v>10.9</v>
      </c>
      <c r="BN286">
        <v>83.56</v>
      </c>
      <c r="BO286">
        <v>83.56</v>
      </c>
      <c r="BP286" t="s">
        <v>83</v>
      </c>
      <c r="BQ286" t="s">
        <v>1047</v>
      </c>
      <c r="BR286" t="s">
        <v>1048</v>
      </c>
      <c r="BS286" s="3">
        <v>45734</v>
      </c>
      <c r="BT286" s="4">
        <v>0.57152777777777775</v>
      </c>
      <c r="BU286" t="s">
        <v>817</v>
      </c>
      <c r="BV286" t="s">
        <v>87</v>
      </c>
      <c r="BW286" t="s">
        <v>204</v>
      </c>
      <c r="BX286" t="s">
        <v>827</v>
      </c>
      <c r="BY286">
        <v>1500</v>
      </c>
      <c r="BZ286" t="s">
        <v>90</v>
      </c>
      <c r="CA286" t="s">
        <v>104</v>
      </c>
      <c r="CC286" t="s">
        <v>98</v>
      </c>
      <c r="CD286">
        <v>7460</v>
      </c>
      <c r="CE286" t="s">
        <v>1049</v>
      </c>
      <c r="CF286" s="3">
        <v>45735</v>
      </c>
      <c r="CI286">
        <v>1</v>
      </c>
      <c r="CJ286">
        <v>1</v>
      </c>
      <c r="CK286">
        <v>21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"009944638612"</f>
        <v>009944638612</v>
      </c>
      <c r="F287" s="3">
        <v>45733</v>
      </c>
      <c r="G287">
        <v>202512</v>
      </c>
      <c r="H287" t="s">
        <v>75</v>
      </c>
      <c r="I287" t="s">
        <v>76</v>
      </c>
      <c r="J287" t="s">
        <v>548</v>
      </c>
      <c r="K287" t="s">
        <v>78</v>
      </c>
      <c r="L287" t="s">
        <v>79</v>
      </c>
      <c r="M287" t="s">
        <v>80</v>
      </c>
      <c r="N287" t="s">
        <v>119</v>
      </c>
      <c r="O287" t="s">
        <v>82</v>
      </c>
      <c r="P287" t="str">
        <f>"LEVENE                        "</f>
        <v xml:space="preserve">LEVENE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24.06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72.66</v>
      </c>
      <c r="BM287">
        <v>10.9</v>
      </c>
      <c r="BN287">
        <v>83.56</v>
      </c>
      <c r="BO287">
        <v>83.56</v>
      </c>
      <c r="BQ287" t="s">
        <v>252</v>
      </c>
      <c r="BR287" t="s">
        <v>550</v>
      </c>
      <c r="BS287" s="3">
        <v>45734</v>
      </c>
      <c r="BT287" s="4">
        <v>0.47916666666666669</v>
      </c>
      <c r="BU287" t="s">
        <v>121</v>
      </c>
      <c r="BV287" t="s">
        <v>87</v>
      </c>
      <c r="BW287" t="s">
        <v>88</v>
      </c>
      <c r="BX287" t="s">
        <v>1050</v>
      </c>
      <c r="BY287">
        <v>1200</v>
      </c>
      <c r="BZ287" t="s">
        <v>90</v>
      </c>
      <c r="CA287" t="s">
        <v>1051</v>
      </c>
      <c r="CC287" t="s">
        <v>80</v>
      </c>
      <c r="CD287" s="5" t="s">
        <v>92</v>
      </c>
      <c r="CE287" t="s">
        <v>265</v>
      </c>
      <c r="CF287" s="3">
        <v>45734</v>
      </c>
      <c r="CI287">
        <v>1</v>
      </c>
      <c r="CJ287">
        <v>1</v>
      </c>
      <c r="CK287">
        <v>21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"GAB2024893"</f>
        <v>GAB2024893</v>
      </c>
      <c r="F288" s="3">
        <v>45733</v>
      </c>
      <c r="G288">
        <v>202512</v>
      </c>
      <c r="H288" t="s">
        <v>97</v>
      </c>
      <c r="I288" t="s">
        <v>98</v>
      </c>
      <c r="J288" t="s">
        <v>99</v>
      </c>
      <c r="K288" t="s">
        <v>78</v>
      </c>
      <c r="L288" t="s">
        <v>540</v>
      </c>
      <c r="M288" t="s">
        <v>541</v>
      </c>
      <c r="N288" t="s">
        <v>542</v>
      </c>
      <c r="O288" t="s">
        <v>82</v>
      </c>
      <c r="P288" t="str">
        <f>"INV-00033625 031120           "</f>
        <v xml:space="preserve">INV-00033625 031120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46.61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1.7</v>
      </c>
      <c r="BK288">
        <v>2</v>
      </c>
      <c r="BL288">
        <v>140.77000000000001</v>
      </c>
      <c r="BM288">
        <v>21.12</v>
      </c>
      <c r="BN288">
        <v>161.88999999999999</v>
      </c>
      <c r="BO288">
        <v>161.88999999999999</v>
      </c>
      <c r="BQ288" t="s">
        <v>819</v>
      </c>
      <c r="BR288" t="s">
        <v>101</v>
      </c>
      <c r="BS288" s="3">
        <v>45734</v>
      </c>
      <c r="BT288" s="4">
        <v>0.625</v>
      </c>
      <c r="BU288" t="s">
        <v>849</v>
      </c>
      <c r="BV288" t="s">
        <v>109</v>
      </c>
      <c r="BY288">
        <v>8630.3700000000008</v>
      </c>
      <c r="BZ288" t="s">
        <v>90</v>
      </c>
      <c r="CC288" t="s">
        <v>541</v>
      </c>
      <c r="CD288">
        <v>6500</v>
      </c>
      <c r="CE288" t="s">
        <v>1052</v>
      </c>
      <c r="CF288" s="3">
        <v>45735</v>
      </c>
      <c r="CI288">
        <v>1</v>
      </c>
      <c r="CJ288">
        <v>1</v>
      </c>
      <c r="CK288">
        <v>23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"GAB2024894"</f>
        <v>GAB2024894</v>
      </c>
      <c r="F289" s="3">
        <v>45733</v>
      </c>
      <c r="G289">
        <v>202512</v>
      </c>
      <c r="H289" t="s">
        <v>97</v>
      </c>
      <c r="I289" t="s">
        <v>98</v>
      </c>
      <c r="J289" t="s">
        <v>99</v>
      </c>
      <c r="K289" t="s">
        <v>78</v>
      </c>
      <c r="L289" t="s">
        <v>262</v>
      </c>
      <c r="M289" t="s">
        <v>263</v>
      </c>
      <c r="N289" t="s">
        <v>646</v>
      </c>
      <c r="O289" t="s">
        <v>82</v>
      </c>
      <c r="P289" t="str">
        <f>"INV-00033626 031062           "</f>
        <v xml:space="preserve">INV-00033626 031062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42.08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3.1</v>
      </c>
      <c r="BK289">
        <v>3.5</v>
      </c>
      <c r="BL289">
        <v>127.1</v>
      </c>
      <c r="BM289">
        <v>19.07</v>
      </c>
      <c r="BN289">
        <v>146.16999999999999</v>
      </c>
      <c r="BO289">
        <v>146.16999999999999</v>
      </c>
      <c r="BQ289" t="s">
        <v>647</v>
      </c>
      <c r="BR289" t="s">
        <v>101</v>
      </c>
      <c r="BS289" s="3">
        <v>45734</v>
      </c>
      <c r="BT289" s="4">
        <v>0.40277777777777779</v>
      </c>
      <c r="BU289" t="s">
        <v>1053</v>
      </c>
      <c r="BV289" t="s">
        <v>109</v>
      </c>
      <c r="BY289">
        <v>15298.5</v>
      </c>
      <c r="BZ289" t="s">
        <v>90</v>
      </c>
      <c r="CA289" t="s">
        <v>500</v>
      </c>
      <c r="CC289" t="s">
        <v>263</v>
      </c>
      <c r="CD289" s="5" t="s">
        <v>650</v>
      </c>
      <c r="CE289" t="s">
        <v>1054</v>
      </c>
      <c r="CF289" s="3">
        <v>45734</v>
      </c>
      <c r="CI289">
        <v>1</v>
      </c>
      <c r="CJ289">
        <v>1</v>
      </c>
      <c r="CK289">
        <v>21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"GAB2024896"</f>
        <v>GAB2024896</v>
      </c>
      <c r="F290" s="3">
        <v>45733</v>
      </c>
      <c r="G290">
        <v>202512</v>
      </c>
      <c r="H290" t="s">
        <v>97</v>
      </c>
      <c r="I290" t="s">
        <v>98</v>
      </c>
      <c r="J290" t="s">
        <v>99</v>
      </c>
      <c r="K290" t="s">
        <v>78</v>
      </c>
      <c r="L290" t="s">
        <v>75</v>
      </c>
      <c r="M290" t="s">
        <v>76</v>
      </c>
      <c r="N290" t="s">
        <v>793</v>
      </c>
      <c r="O290" t="s">
        <v>82</v>
      </c>
      <c r="P290" t="str">
        <f>"INV-00033627 031054           "</f>
        <v xml:space="preserve">INV-00033627 031054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48.09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3.8</v>
      </c>
      <c r="BK290">
        <v>4</v>
      </c>
      <c r="BL290">
        <v>145.25</v>
      </c>
      <c r="BM290">
        <v>21.79</v>
      </c>
      <c r="BN290">
        <v>167.04</v>
      </c>
      <c r="BO290">
        <v>167.04</v>
      </c>
      <c r="BQ290" t="s">
        <v>794</v>
      </c>
      <c r="BR290" t="s">
        <v>101</v>
      </c>
      <c r="BS290" s="3">
        <v>45735</v>
      </c>
      <c r="BT290" s="4">
        <v>0.38750000000000001</v>
      </c>
      <c r="BU290" t="s">
        <v>1055</v>
      </c>
      <c r="BV290" t="s">
        <v>109</v>
      </c>
      <c r="BY290">
        <v>19200</v>
      </c>
      <c r="BZ290" t="s">
        <v>90</v>
      </c>
      <c r="CA290" t="s">
        <v>1056</v>
      </c>
      <c r="CC290" t="s">
        <v>76</v>
      </c>
      <c r="CD290">
        <v>4080</v>
      </c>
      <c r="CE290" t="s">
        <v>213</v>
      </c>
      <c r="CF290" s="3">
        <v>45736</v>
      </c>
      <c r="CI290">
        <v>2</v>
      </c>
      <c r="CJ290">
        <v>2</v>
      </c>
      <c r="CK290">
        <v>21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"GAB2024897"</f>
        <v>GAB2024897</v>
      </c>
      <c r="F291" s="3">
        <v>45733</v>
      </c>
      <c r="G291">
        <v>202512</v>
      </c>
      <c r="H291" t="s">
        <v>97</v>
      </c>
      <c r="I291" t="s">
        <v>98</v>
      </c>
      <c r="J291" t="s">
        <v>99</v>
      </c>
      <c r="K291" t="s">
        <v>78</v>
      </c>
      <c r="L291" t="s">
        <v>130</v>
      </c>
      <c r="M291" t="s">
        <v>131</v>
      </c>
      <c r="N291" t="s">
        <v>753</v>
      </c>
      <c r="O291" t="s">
        <v>82</v>
      </c>
      <c r="P291" t="str">
        <f>"INV-00033628 031046           "</f>
        <v xml:space="preserve">INV-00033628 031046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24.06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1.9</v>
      </c>
      <c r="BK291">
        <v>2</v>
      </c>
      <c r="BL291">
        <v>72.66</v>
      </c>
      <c r="BM291">
        <v>10.9</v>
      </c>
      <c r="BN291">
        <v>83.56</v>
      </c>
      <c r="BO291">
        <v>83.56</v>
      </c>
      <c r="BQ291" t="s">
        <v>640</v>
      </c>
      <c r="BR291" t="s">
        <v>101</v>
      </c>
      <c r="BS291" s="3">
        <v>45735</v>
      </c>
      <c r="BT291" s="4">
        <v>0.42638888888888887</v>
      </c>
      <c r="BU291" t="s">
        <v>1057</v>
      </c>
      <c r="BV291" t="s">
        <v>109</v>
      </c>
      <c r="BY291">
        <v>9680.58</v>
      </c>
      <c r="BZ291" t="s">
        <v>90</v>
      </c>
      <c r="CA291" t="s">
        <v>1058</v>
      </c>
      <c r="CC291" t="s">
        <v>131</v>
      </c>
      <c r="CD291" s="5" t="s">
        <v>136</v>
      </c>
      <c r="CE291" t="s">
        <v>149</v>
      </c>
      <c r="CF291" s="3">
        <v>45735</v>
      </c>
      <c r="CI291">
        <v>2</v>
      </c>
      <c r="CJ291">
        <v>2</v>
      </c>
      <c r="CK291">
        <v>21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"GAB2024898"</f>
        <v>GAB2024898</v>
      </c>
      <c r="F292" s="3">
        <v>45733</v>
      </c>
      <c r="G292">
        <v>202512</v>
      </c>
      <c r="H292" t="s">
        <v>97</v>
      </c>
      <c r="I292" t="s">
        <v>98</v>
      </c>
      <c r="J292" t="s">
        <v>99</v>
      </c>
      <c r="K292" t="s">
        <v>78</v>
      </c>
      <c r="L292" t="s">
        <v>238</v>
      </c>
      <c r="M292" t="s">
        <v>239</v>
      </c>
      <c r="N292" t="s">
        <v>240</v>
      </c>
      <c r="O292" t="s">
        <v>82</v>
      </c>
      <c r="P292" t="str">
        <f>"INV-00033629 031121           "</f>
        <v xml:space="preserve">INV-00033629 031121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30.07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0.4</v>
      </c>
      <c r="BJ292">
        <v>2.2000000000000002</v>
      </c>
      <c r="BK292">
        <v>2.5</v>
      </c>
      <c r="BL292">
        <v>90.81</v>
      </c>
      <c r="BM292">
        <v>13.62</v>
      </c>
      <c r="BN292">
        <v>104.43</v>
      </c>
      <c r="BO292">
        <v>104.43</v>
      </c>
      <c r="BQ292" t="s">
        <v>241</v>
      </c>
      <c r="BR292" t="s">
        <v>101</v>
      </c>
      <c r="BS292" s="3">
        <v>45734</v>
      </c>
      <c r="BT292" s="4">
        <v>0.38750000000000001</v>
      </c>
      <c r="BU292" t="s">
        <v>1059</v>
      </c>
      <c r="BV292" t="s">
        <v>109</v>
      </c>
      <c r="BY292">
        <v>10973.16</v>
      </c>
      <c r="BZ292" t="s">
        <v>90</v>
      </c>
      <c r="CA292" t="s">
        <v>243</v>
      </c>
      <c r="CC292" t="s">
        <v>239</v>
      </c>
      <c r="CD292">
        <v>2040</v>
      </c>
      <c r="CE292" t="s">
        <v>213</v>
      </c>
      <c r="CF292" s="3">
        <v>45734</v>
      </c>
      <c r="CI292">
        <v>1</v>
      </c>
      <c r="CJ292">
        <v>1</v>
      </c>
      <c r="CK292">
        <v>21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"GAB2024899"</f>
        <v>GAB2024899</v>
      </c>
      <c r="F293" s="3">
        <v>45733</v>
      </c>
      <c r="G293">
        <v>202512</v>
      </c>
      <c r="H293" t="s">
        <v>97</v>
      </c>
      <c r="I293" t="s">
        <v>98</v>
      </c>
      <c r="J293" t="s">
        <v>99</v>
      </c>
      <c r="K293" t="s">
        <v>78</v>
      </c>
      <c r="L293" t="s">
        <v>280</v>
      </c>
      <c r="M293" t="s">
        <v>281</v>
      </c>
      <c r="N293" t="s">
        <v>438</v>
      </c>
      <c r="O293" t="s">
        <v>82</v>
      </c>
      <c r="P293" t="str">
        <f>"INV-00033630 031122           "</f>
        <v xml:space="preserve">INV-00033630 031122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30.07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2.4</v>
      </c>
      <c r="BK293">
        <v>2.5</v>
      </c>
      <c r="BL293">
        <v>90.81</v>
      </c>
      <c r="BM293">
        <v>13.62</v>
      </c>
      <c r="BN293">
        <v>104.43</v>
      </c>
      <c r="BO293">
        <v>104.43</v>
      </c>
      <c r="BQ293" t="s">
        <v>1060</v>
      </c>
      <c r="BR293" t="s">
        <v>101</v>
      </c>
      <c r="BS293" s="3">
        <v>45735</v>
      </c>
      <c r="BT293" s="4">
        <v>0.40277777777777779</v>
      </c>
      <c r="BU293" t="s">
        <v>1061</v>
      </c>
      <c r="BV293" t="s">
        <v>87</v>
      </c>
      <c r="BY293">
        <v>12000</v>
      </c>
      <c r="BZ293" t="s">
        <v>90</v>
      </c>
      <c r="CA293" t="s">
        <v>284</v>
      </c>
      <c r="CC293" t="s">
        <v>281</v>
      </c>
      <c r="CD293">
        <v>3201</v>
      </c>
      <c r="CE293" t="s">
        <v>149</v>
      </c>
      <c r="CF293" s="3">
        <v>45736</v>
      </c>
      <c r="CI293">
        <v>1</v>
      </c>
      <c r="CJ293">
        <v>2</v>
      </c>
      <c r="CK293">
        <v>21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"GAB2024900"</f>
        <v>GAB2024900</v>
      </c>
      <c r="F294" s="3">
        <v>45733</v>
      </c>
      <c r="G294">
        <v>202512</v>
      </c>
      <c r="H294" t="s">
        <v>97</v>
      </c>
      <c r="I294" t="s">
        <v>98</v>
      </c>
      <c r="J294" t="s">
        <v>99</v>
      </c>
      <c r="K294" t="s">
        <v>78</v>
      </c>
      <c r="L294" t="s">
        <v>144</v>
      </c>
      <c r="M294" t="s">
        <v>145</v>
      </c>
      <c r="N294" t="s">
        <v>146</v>
      </c>
      <c r="O294" t="s">
        <v>82</v>
      </c>
      <c r="P294" t="str">
        <f>"INV-00033632 031063           "</f>
        <v xml:space="preserve">INV-00033632 031063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67.66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2.8</v>
      </c>
      <c r="BK294">
        <v>3</v>
      </c>
      <c r="BL294">
        <v>204.34</v>
      </c>
      <c r="BM294">
        <v>30.65</v>
      </c>
      <c r="BN294">
        <v>234.99</v>
      </c>
      <c r="BO294">
        <v>234.99</v>
      </c>
      <c r="BQ294" t="s">
        <v>147</v>
      </c>
      <c r="BR294" t="s">
        <v>101</v>
      </c>
      <c r="BS294" s="3">
        <v>45734</v>
      </c>
      <c r="BT294" s="4">
        <v>0.51388888888888884</v>
      </c>
      <c r="BU294" t="s">
        <v>1062</v>
      </c>
      <c r="BV294" t="s">
        <v>109</v>
      </c>
      <c r="BY294">
        <v>14235.75</v>
      </c>
      <c r="BZ294" t="s">
        <v>90</v>
      </c>
      <c r="CA294" t="s">
        <v>778</v>
      </c>
      <c r="CC294" t="s">
        <v>145</v>
      </c>
      <c r="CD294">
        <v>1055</v>
      </c>
      <c r="CE294" t="s">
        <v>137</v>
      </c>
      <c r="CF294" s="3">
        <v>45734</v>
      </c>
      <c r="CI294">
        <v>1</v>
      </c>
      <c r="CJ294">
        <v>1</v>
      </c>
      <c r="CK294">
        <v>23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"GAB2024902"</f>
        <v>GAB2024902</v>
      </c>
      <c r="F295" s="3">
        <v>45733</v>
      </c>
      <c r="G295">
        <v>202512</v>
      </c>
      <c r="H295" t="s">
        <v>97</v>
      </c>
      <c r="I295" t="s">
        <v>98</v>
      </c>
      <c r="J295" t="s">
        <v>99</v>
      </c>
      <c r="K295" t="s">
        <v>78</v>
      </c>
      <c r="L295" t="s">
        <v>328</v>
      </c>
      <c r="M295" t="s">
        <v>329</v>
      </c>
      <c r="N295" t="s">
        <v>330</v>
      </c>
      <c r="O295" t="s">
        <v>82</v>
      </c>
      <c r="P295" t="str">
        <f>"INV-00116156 00116145 CT093188"</f>
        <v>INV-00116156 00116145 CT093188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30.07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16.739999999999998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2.2999999999999998</v>
      </c>
      <c r="BK295">
        <v>2.5</v>
      </c>
      <c r="BL295">
        <v>107.55</v>
      </c>
      <c r="BM295">
        <v>16.13</v>
      </c>
      <c r="BN295">
        <v>123.68</v>
      </c>
      <c r="BO295">
        <v>123.68</v>
      </c>
      <c r="BQ295" t="s">
        <v>331</v>
      </c>
      <c r="BR295" t="s">
        <v>101</v>
      </c>
      <c r="BS295" s="3">
        <v>45734</v>
      </c>
      <c r="BT295" s="4">
        <v>0.39652777777777776</v>
      </c>
      <c r="BU295" t="s">
        <v>1063</v>
      </c>
      <c r="BV295" t="s">
        <v>109</v>
      </c>
      <c r="BY295">
        <v>11390.92</v>
      </c>
      <c r="BZ295" t="s">
        <v>296</v>
      </c>
      <c r="CA295" t="s">
        <v>671</v>
      </c>
      <c r="CC295" t="s">
        <v>329</v>
      </c>
      <c r="CD295">
        <v>1475</v>
      </c>
      <c r="CE295" t="s">
        <v>129</v>
      </c>
      <c r="CF295" s="3">
        <v>45734</v>
      </c>
      <c r="CI295">
        <v>1</v>
      </c>
      <c r="CJ295">
        <v>1</v>
      </c>
      <c r="CK295">
        <v>21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"GAB2024903"</f>
        <v>GAB2024903</v>
      </c>
      <c r="F296" s="3">
        <v>45733</v>
      </c>
      <c r="G296">
        <v>202512</v>
      </c>
      <c r="H296" t="s">
        <v>97</v>
      </c>
      <c r="I296" t="s">
        <v>98</v>
      </c>
      <c r="J296" t="s">
        <v>99</v>
      </c>
      <c r="K296" t="s">
        <v>78</v>
      </c>
      <c r="L296" t="s">
        <v>533</v>
      </c>
      <c r="M296" t="s">
        <v>534</v>
      </c>
      <c r="N296" t="s">
        <v>535</v>
      </c>
      <c r="O296" t="s">
        <v>82</v>
      </c>
      <c r="P296" t="str">
        <f>"INV-00116155 CT093202         "</f>
        <v xml:space="preserve">INV-00116155 CT093202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57.13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2.1</v>
      </c>
      <c r="BK296">
        <v>2.5</v>
      </c>
      <c r="BL296">
        <v>172.55</v>
      </c>
      <c r="BM296">
        <v>25.88</v>
      </c>
      <c r="BN296">
        <v>198.43</v>
      </c>
      <c r="BO296">
        <v>198.43</v>
      </c>
      <c r="BQ296" t="s">
        <v>1064</v>
      </c>
      <c r="BR296" t="s">
        <v>101</v>
      </c>
      <c r="BS296" s="3">
        <v>45734</v>
      </c>
      <c r="BT296" s="4">
        <v>0.46041666666666664</v>
      </c>
      <c r="BU296" t="s">
        <v>537</v>
      </c>
      <c r="BV296" t="s">
        <v>109</v>
      </c>
      <c r="BY296">
        <v>10484.459999999999</v>
      </c>
      <c r="BZ296" t="s">
        <v>90</v>
      </c>
      <c r="CA296" t="s">
        <v>538</v>
      </c>
      <c r="CC296" t="s">
        <v>534</v>
      </c>
      <c r="CD296">
        <v>2515</v>
      </c>
      <c r="CE296" t="s">
        <v>137</v>
      </c>
      <c r="CF296" s="3">
        <v>45735</v>
      </c>
      <c r="CI296">
        <v>1</v>
      </c>
      <c r="CJ296">
        <v>1</v>
      </c>
      <c r="CK296">
        <v>23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"GAB2024904"</f>
        <v>GAB2024904</v>
      </c>
      <c r="F297" s="3">
        <v>45733</v>
      </c>
      <c r="G297">
        <v>202512</v>
      </c>
      <c r="H297" t="s">
        <v>97</v>
      </c>
      <c r="I297" t="s">
        <v>98</v>
      </c>
      <c r="J297" t="s">
        <v>99</v>
      </c>
      <c r="K297" t="s">
        <v>78</v>
      </c>
      <c r="L297" t="s">
        <v>97</v>
      </c>
      <c r="M297" t="s">
        <v>98</v>
      </c>
      <c r="N297" t="s">
        <v>553</v>
      </c>
      <c r="O297" t="s">
        <v>82</v>
      </c>
      <c r="P297" t="str">
        <f>"INV-00116147 00116146 CT092584"</f>
        <v>INV-00116147 00116146 CT092584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18.79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2.2999999999999998</v>
      </c>
      <c r="BK297">
        <v>3</v>
      </c>
      <c r="BL297">
        <v>56.75</v>
      </c>
      <c r="BM297">
        <v>8.51</v>
      </c>
      <c r="BN297">
        <v>65.260000000000005</v>
      </c>
      <c r="BO297">
        <v>65.260000000000005</v>
      </c>
      <c r="BQ297" t="s">
        <v>554</v>
      </c>
      <c r="BR297" t="s">
        <v>101</v>
      </c>
      <c r="BS297" s="3">
        <v>45734</v>
      </c>
      <c r="BT297" s="4">
        <v>0.49305555555555558</v>
      </c>
      <c r="BU297" t="s">
        <v>1065</v>
      </c>
      <c r="BV297" t="s">
        <v>109</v>
      </c>
      <c r="BY297">
        <v>11503.93</v>
      </c>
      <c r="BZ297" t="s">
        <v>90</v>
      </c>
      <c r="CA297" t="s">
        <v>1066</v>
      </c>
      <c r="CC297" t="s">
        <v>98</v>
      </c>
      <c r="CD297">
        <v>7975</v>
      </c>
      <c r="CE297" t="s">
        <v>137</v>
      </c>
      <c r="CF297" s="3">
        <v>45735</v>
      </c>
      <c r="CI297">
        <v>1</v>
      </c>
      <c r="CJ297">
        <v>1</v>
      </c>
      <c r="CK297">
        <v>22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"GAB2024906"</f>
        <v>GAB2024906</v>
      </c>
      <c r="F298" s="3">
        <v>45733</v>
      </c>
      <c r="G298">
        <v>202512</v>
      </c>
      <c r="H298" t="s">
        <v>97</v>
      </c>
      <c r="I298" t="s">
        <v>98</v>
      </c>
      <c r="J298" t="s">
        <v>99</v>
      </c>
      <c r="K298" t="s">
        <v>78</v>
      </c>
      <c r="L298" t="s">
        <v>97</v>
      </c>
      <c r="M298" t="s">
        <v>98</v>
      </c>
      <c r="N298" t="s">
        <v>979</v>
      </c>
      <c r="O298" t="s">
        <v>82</v>
      </c>
      <c r="P298" t="str">
        <f>"INV-00116168 CT093220         "</f>
        <v xml:space="preserve">INV-00116168 CT093220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18.79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0.3</v>
      </c>
      <c r="BJ298">
        <v>2.2999999999999998</v>
      </c>
      <c r="BK298">
        <v>3</v>
      </c>
      <c r="BL298">
        <v>56.75</v>
      </c>
      <c r="BM298">
        <v>8.51</v>
      </c>
      <c r="BN298">
        <v>65.260000000000005</v>
      </c>
      <c r="BO298">
        <v>65.260000000000005</v>
      </c>
      <c r="BQ298" t="s">
        <v>980</v>
      </c>
      <c r="BR298" t="s">
        <v>101</v>
      </c>
      <c r="BS298" s="3">
        <v>45734</v>
      </c>
      <c r="BT298" s="4">
        <v>0.43055555555555558</v>
      </c>
      <c r="BU298" t="s">
        <v>1067</v>
      </c>
      <c r="BV298" t="s">
        <v>109</v>
      </c>
      <c r="BY298">
        <v>11281.92</v>
      </c>
      <c r="BZ298" t="s">
        <v>90</v>
      </c>
      <c r="CA298" t="s">
        <v>982</v>
      </c>
      <c r="CC298" t="s">
        <v>98</v>
      </c>
      <c r="CD298">
        <v>7800</v>
      </c>
      <c r="CE298" t="s">
        <v>1068</v>
      </c>
      <c r="CF298" s="3">
        <v>45735</v>
      </c>
      <c r="CI298">
        <v>1</v>
      </c>
      <c r="CJ298">
        <v>1</v>
      </c>
      <c r="CK298">
        <v>22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"GAB2024907"</f>
        <v>GAB2024907</v>
      </c>
      <c r="F299" s="3">
        <v>45733</v>
      </c>
      <c r="G299">
        <v>202512</v>
      </c>
      <c r="H299" t="s">
        <v>97</v>
      </c>
      <c r="I299" t="s">
        <v>98</v>
      </c>
      <c r="J299" t="s">
        <v>99</v>
      </c>
      <c r="K299" t="s">
        <v>78</v>
      </c>
      <c r="L299" t="s">
        <v>75</v>
      </c>
      <c r="M299" t="s">
        <v>76</v>
      </c>
      <c r="N299" t="s">
        <v>1069</v>
      </c>
      <c r="O299" t="s">
        <v>82</v>
      </c>
      <c r="P299" t="str">
        <f>"INV-00033672 030709           "</f>
        <v xml:space="preserve">INV-00033672 030709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30.07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2.4</v>
      </c>
      <c r="BK299">
        <v>2.5</v>
      </c>
      <c r="BL299">
        <v>90.81</v>
      </c>
      <c r="BM299">
        <v>13.62</v>
      </c>
      <c r="BN299">
        <v>104.43</v>
      </c>
      <c r="BO299">
        <v>104.43</v>
      </c>
      <c r="BQ299" t="s">
        <v>1070</v>
      </c>
      <c r="BR299" t="s">
        <v>101</v>
      </c>
      <c r="BS299" s="3">
        <v>45735</v>
      </c>
      <c r="BT299" s="4">
        <v>0.49166666666666664</v>
      </c>
      <c r="BU299" t="s">
        <v>1071</v>
      </c>
      <c r="BV299" t="s">
        <v>87</v>
      </c>
      <c r="BW299" t="s">
        <v>187</v>
      </c>
      <c r="BX299" t="s">
        <v>1072</v>
      </c>
      <c r="BY299">
        <v>12000</v>
      </c>
      <c r="BZ299" t="s">
        <v>90</v>
      </c>
      <c r="CA299" t="s">
        <v>1073</v>
      </c>
      <c r="CC299" t="s">
        <v>76</v>
      </c>
      <c r="CD299">
        <v>4091</v>
      </c>
      <c r="CE299" t="s">
        <v>149</v>
      </c>
      <c r="CF299" s="3">
        <v>45736</v>
      </c>
      <c r="CI299">
        <v>2</v>
      </c>
      <c r="CJ299">
        <v>2</v>
      </c>
      <c r="CK299">
        <v>21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"GAB2024908"</f>
        <v>GAB2024908</v>
      </c>
      <c r="F300" s="3">
        <v>45733</v>
      </c>
      <c r="G300">
        <v>202512</v>
      </c>
      <c r="H300" t="s">
        <v>97</v>
      </c>
      <c r="I300" t="s">
        <v>98</v>
      </c>
      <c r="J300" t="s">
        <v>99</v>
      </c>
      <c r="K300" t="s">
        <v>78</v>
      </c>
      <c r="L300" t="s">
        <v>75</v>
      </c>
      <c r="M300" t="s">
        <v>76</v>
      </c>
      <c r="N300" t="s">
        <v>1074</v>
      </c>
      <c r="O300" t="s">
        <v>82</v>
      </c>
      <c r="P300" t="str">
        <f>"INV-00033673 031115           "</f>
        <v xml:space="preserve">INV-00033673 031115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30.07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2.4</v>
      </c>
      <c r="BK300">
        <v>2.5</v>
      </c>
      <c r="BL300">
        <v>90.81</v>
      </c>
      <c r="BM300">
        <v>13.62</v>
      </c>
      <c r="BN300">
        <v>104.43</v>
      </c>
      <c r="BO300">
        <v>104.43</v>
      </c>
      <c r="BQ300" t="s">
        <v>1075</v>
      </c>
      <c r="BR300" t="s">
        <v>101</v>
      </c>
      <c r="BS300" s="3">
        <v>45735</v>
      </c>
      <c r="BT300" s="4">
        <v>0.42569444444444443</v>
      </c>
      <c r="BU300" t="s">
        <v>1076</v>
      </c>
      <c r="BV300" t="s">
        <v>109</v>
      </c>
      <c r="BY300">
        <v>12000</v>
      </c>
      <c r="BZ300" t="s">
        <v>90</v>
      </c>
      <c r="CA300" t="s">
        <v>192</v>
      </c>
      <c r="CC300" t="s">
        <v>76</v>
      </c>
      <c r="CD300">
        <v>4000</v>
      </c>
      <c r="CE300" t="s">
        <v>149</v>
      </c>
      <c r="CF300" s="3">
        <v>45736</v>
      </c>
      <c r="CI300">
        <v>2</v>
      </c>
      <c r="CJ300">
        <v>2</v>
      </c>
      <c r="CK300">
        <v>21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"GAB2024909"</f>
        <v>GAB2024909</v>
      </c>
      <c r="F301" s="3">
        <v>45733</v>
      </c>
      <c r="G301">
        <v>202512</v>
      </c>
      <c r="H301" t="s">
        <v>97</v>
      </c>
      <c r="I301" t="s">
        <v>98</v>
      </c>
      <c r="J301" t="s">
        <v>99</v>
      </c>
      <c r="K301" t="s">
        <v>78</v>
      </c>
      <c r="L301" t="s">
        <v>262</v>
      </c>
      <c r="M301" t="s">
        <v>263</v>
      </c>
      <c r="N301" t="s">
        <v>1077</v>
      </c>
      <c r="O301" t="s">
        <v>82</v>
      </c>
      <c r="P301" t="str">
        <f>"INV-00033679 031090           "</f>
        <v xml:space="preserve">INV-00033679 031090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24.06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</v>
      </c>
      <c r="BK301">
        <v>2</v>
      </c>
      <c r="BL301">
        <v>72.66</v>
      </c>
      <c r="BM301">
        <v>10.9</v>
      </c>
      <c r="BN301">
        <v>83.56</v>
      </c>
      <c r="BO301">
        <v>83.56</v>
      </c>
      <c r="BQ301" t="s">
        <v>1078</v>
      </c>
      <c r="BR301" t="s">
        <v>101</v>
      </c>
      <c r="BS301" s="3">
        <v>45734</v>
      </c>
      <c r="BT301" s="4">
        <v>0.34930555555555554</v>
      </c>
      <c r="BU301" t="s">
        <v>527</v>
      </c>
      <c r="BV301" t="s">
        <v>109</v>
      </c>
      <c r="BY301">
        <v>9985.5</v>
      </c>
      <c r="BZ301" t="s">
        <v>90</v>
      </c>
      <c r="CA301" t="s">
        <v>1079</v>
      </c>
      <c r="CC301" t="s">
        <v>263</v>
      </c>
      <c r="CD301" s="5" t="s">
        <v>444</v>
      </c>
      <c r="CE301" t="s">
        <v>137</v>
      </c>
      <c r="CF301" s="3">
        <v>45734</v>
      </c>
      <c r="CI301">
        <v>1</v>
      </c>
      <c r="CJ301">
        <v>1</v>
      </c>
      <c r="CK301">
        <v>21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"GAB2024910"</f>
        <v>GAB2024910</v>
      </c>
      <c r="F302" s="3">
        <v>45733</v>
      </c>
      <c r="G302">
        <v>202512</v>
      </c>
      <c r="H302" t="s">
        <v>97</v>
      </c>
      <c r="I302" t="s">
        <v>98</v>
      </c>
      <c r="J302" t="s">
        <v>99</v>
      </c>
      <c r="K302" t="s">
        <v>78</v>
      </c>
      <c r="L302" t="s">
        <v>238</v>
      </c>
      <c r="M302" t="s">
        <v>239</v>
      </c>
      <c r="N302" t="s">
        <v>345</v>
      </c>
      <c r="O302" t="s">
        <v>82</v>
      </c>
      <c r="P302" t="str">
        <f>"INV-00033680 030650           "</f>
        <v xml:space="preserve">INV-00033680 030650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24.06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1.9</v>
      </c>
      <c r="BK302">
        <v>2</v>
      </c>
      <c r="BL302">
        <v>72.66</v>
      </c>
      <c r="BM302">
        <v>10.9</v>
      </c>
      <c r="BN302">
        <v>83.56</v>
      </c>
      <c r="BO302">
        <v>83.56</v>
      </c>
      <c r="BQ302" t="s">
        <v>346</v>
      </c>
      <c r="BR302" t="s">
        <v>101</v>
      </c>
      <c r="BS302" s="3">
        <v>45734</v>
      </c>
      <c r="BT302" s="4">
        <v>0.34236111111111112</v>
      </c>
      <c r="BU302" t="s">
        <v>1080</v>
      </c>
      <c r="BV302" t="s">
        <v>109</v>
      </c>
      <c r="BY302">
        <v>9693.61</v>
      </c>
      <c r="BZ302" t="s">
        <v>90</v>
      </c>
      <c r="CA302" t="s">
        <v>1081</v>
      </c>
      <c r="CC302" t="s">
        <v>239</v>
      </c>
      <c r="CD302">
        <v>2047</v>
      </c>
      <c r="CE302" t="s">
        <v>149</v>
      </c>
      <c r="CF302" s="3">
        <v>45734</v>
      </c>
      <c r="CI302">
        <v>1</v>
      </c>
      <c r="CJ302">
        <v>1</v>
      </c>
      <c r="CK302">
        <v>21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"GAB2024916"</f>
        <v>GAB2024916</v>
      </c>
      <c r="F303" s="3">
        <v>45733</v>
      </c>
      <c r="G303">
        <v>202512</v>
      </c>
      <c r="H303" t="s">
        <v>97</v>
      </c>
      <c r="I303" t="s">
        <v>98</v>
      </c>
      <c r="J303" t="s">
        <v>99</v>
      </c>
      <c r="K303" t="s">
        <v>78</v>
      </c>
      <c r="L303" t="s">
        <v>502</v>
      </c>
      <c r="M303" t="s">
        <v>503</v>
      </c>
      <c r="N303" t="s">
        <v>809</v>
      </c>
      <c r="O303" t="s">
        <v>82</v>
      </c>
      <c r="P303" t="str">
        <f>"ATT:ANDREW WHYTE              "</f>
        <v xml:space="preserve">ATT:ANDREW WHYTE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30.07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2.4</v>
      </c>
      <c r="BK303">
        <v>2.5</v>
      </c>
      <c r="BL303">
        <v>90.81</v>
      </c>
      <c r="BM303">
        <v>13.62</v>
      </c>
      <c r="BN303">
        <v>104.43</v>
      </c>
      <c r="BO303">
        <v>104.43</v>
      </c>
      <c r="BQ303" t="s">
        <v>631</v>
      </c>
      <c r="BR303" t="s">
        <v>101</v>
      </c>
      <c r="BS303" s="3">
        <v>45734</v>
      </c>
      <c r="BT303" s="4">
        <v>0.48541666666666666</v>
      </c>
      <c r="BU303" t="s">
        <v>811</v>
      </c>
      <c r="BV303" t="s">
        <v>87</v>
      </c>
      <c r="BY303">
        <v>12000</v>
      </c>
      <c r="BZ303" t="s">
        <v>90</v>
      </c>
      <c r="CA303" t="s">
        <v>812</v>
      </c>
      <c r="CC303" t="s">
        <v>503</v>
      </c>
      <c r="CD303">
        <v>5213</v>
      </c>
      <c r="CE303" t="s">
        <v>123</v>
      </c>
      <c r="CF303" s="3">
        <v>45734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"GAB2024917"</f>
        <v>GAB2024917</v>
      </c>
      <c r="F304" s="3">
        <v>45733</v>
      </c>
      <c r="G304">
        <v>202512</v>
      </c>
      <c r="H304" t="s">
        <v>97</v>
      </c>
      <c r="I304" t="s">
        <v>98</v>
      </c>
      <c r="J304" t="s">
        <v>99</v>
      </c>
      <c r="K304" t="s">
        <v>78</v>
      </c>
      <c r="L304" t="s">
        <v>238</v>
      </c>
      <c r="M304" t="s">
        <v>239</v>
      </c>
      <c r="N304" t="s">
        <v>651</v>
      </c>
      <c r="O304" t="s">
        <v>82</v>
      </c>
      <c r="P304" t="str">
        <f>"INV-00033631 031123           "</f>
        <v xml:space="preserve">INV-00033631 031123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36.08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0.3</v>
      </c>
      <c r="BJ304">
        <v>2.6</v>
      </c>
      <c r="BK304">
        <v>3</v>
      </c>
      <c r="BL304">
        <v>108.96</v>
      </c>
      <c r="BM304">
        <v>16.34</v>
      </c>
      <c r="BN304">
        <v>125.3</v>
      </c>
      <c r="BO304">
        <v>125.3</v>
      </c>
      <c r="BQ304" t="s">
        <v>1082</v>
      </c>
      <c r="BR304" t="s">
        <v>101</v>
      </c>
      <c r="BS304" s="3">
        <v>45734</v>
      </c>
      <c r="BT304" s="4">
        <v>0.34375</v>
      </c>
      <c r="BU304" t="s">
        <v>652</v>
      </c>
      <c r="BV304" t="s">
        <v>109</v>
      </c>
      <c r="BY304">
        <v>13194.72</v>
      </c>
      <c r="BZ304" t="s">
        <v>90</v>
      </c>
      <c r="CA304" t="s">
        <v>653</v>
      </c>
      <c r="CC304" t="s">
        <v>239</v>
      </c>
      <c r="CD304">
        <v>2000</v>
      </c>
      <c r="CE304" t="s">
        <v>149</v>
      </c>
      <c r="CF304" s="3">
        <v>45735</v>
      </c>
      <c r="CI304">
        <v>1</v>
      </c>
      <c r="CJ304">
        <v>1</v>
      </c>
      <c r="CK304">
        <v>21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"GAB2024919"</f>
        <v>GAB2024919</v>
      </c>
      <c r="F305" s="3">
        <v>45733</v>
      </c>
      <c r="G305">
        <v>202512</v>
      </c>
      <c r="H305" t="s">
        <v>97</v>
      </c>
      <c r="I305" t="s">
        <v>98</v>
      </c>
      <c r="J305" t="s">
        <v>99</v>
      </c>
      <c r="K305" t="s">
        <v>78</v>
      </c>
      <c r="L305" t="s">
        <v>262</v>
      </c>
      <c r="M305" t="s">
        <v>263</v>
      </c>
      <c r="N305" t="s">
        <v>1083</v>
      </c>
      <c r="O305" t="s">
        <v>82</v>
      </c>
      <c r="P305" t="str">
        <f>"INV-00116175 00116165 CT093201"</f>
        <v>INV-00116175 00116165 CT093201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30.07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1.2</v>
      </c>
      <c r="BJ305">
        <v>2.4</v>
      </c>
      <c r="BK305">
        <v>2.5</v>
      </c>
      <c r="BL305">
        <v>90.81</v>
      </c>
      <c r="BM305">
        <v>13.62</v>
      </c>
      <c r="BN305">
        <v>104.43</v>
      </c>
      <c r="BO305">
        <v>104.43</v>
      </c>
      <c r="BQ305" t="s">
        <v>1084</v>
      </c>
      <c r="BR305" t="s">
        <v>101</v>
      </c>
      <c r="BS305" s="3">
        <v>45734</v>
      </c>
      <c r="BT305" s="4">
        <v>0.31666666666666665</v>
      </c>
      <c r="BU305" t="s">
        <v>1085</v>
      </c>
      <c r="BV305" t="s">
        <v>109</v>
      </c>
      <c r="BY305">
        <v>11764.8</v>
      </c>
      <c r="BZ305" t="s">
        <v>90</v>
      </c>
      <c r="CA305" t="s">
        <v>1086</v>
      </c>
      <c r="CC305" t="s">
        <v>263</v>
      </c>
      <c r="CD305" s="5" t="s">
        <v>444</v>
      </c>
      <c r="CE305" t="s">
        <v>422</v>
      </c>
      <c r="CF305" s="3">
        <v>45734</v>
      </c>
      <c r="CI305">
        <v>1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"GAB2024911"</f>
        <v>GAB2024911</v>
      </c>
      <c r="F306" s="3">
        <v>45733</v>
      </c>
      <c r="G306">
        <v>202512</v>
      </c>
      <c r="H306" t="s">
        <v>97</v>
      </c>
      <c r="I306" t="s">
        <v>98</v>
      </c>
      <c r="J306" t="s">
        <v>99</v>
      </c>
      <c r="K306" t="s">
        <v>78</v>
      </c>
      <c r="L306" t="s">
        <v>339</v>
      </c>
      <c r="M306" t="s">
        <v>340</v>
      </c>
      <c r="N306" t="s">
        <v>341</v>
      </c>
      <c r="O306" t="s">
        <v>82</v>
      </c>
      <c r="P306" t="str">
        <f>"INV-00116163 CT093215         "</f>
        <v xml:space="preserve">INV-00116163 CT093215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18.79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2.1</v>
      </c>
      <c r="BK306">
        <v>3</v>
      </c>
      <c r="BL306">
        <v>56.75</v>
      </c>
      <c r="BM306">
        <v>8.51</v>
      </c>
      <c r="BN306">
        <v>65.260000000000005</v>
      </c>
      <c r="BO306">
        <v>65.260000000000005</v>
      </c>
      <c r="BQ306" t="s">
        <v>342</v>
      </c>
      <c r="BR306" t="s">
        <v>101</v>
      </c>
      <c r="BS306" s="3">
        <v>45734</v>
      </c>
      <c r="BT306" s="4">
        <v>0.5</v>
      </c>
      <c r="BU306" t="s">
        <v>937</v>
      </c>
      <c r="BV306" t="s">
        <v>109</v>
      </c>
      <c r="BY306">
        <v>10614</v>
      </c>
      <c r="BZ306" t="s">
        <v>90</v>
      </c>
      <c r="CA306" t="s">
        <v>344</v>
      </c>
      <c r="CC306" t="s">
        <v>340</v>
      </c>
      <c r="CD306">
        <v>7600</v>
      </c>
      <c r="CE306" t="s">
        <v>137</v>
      </c>
      <c r="CF306" s="3">
        <v>45735</v>
      </c>
      <c r="CI306">
        <v>1</v>
      </c>
      <c r="CJ306">
        <v>1</v>
      </c>
      <c r="CK306">
        <v>22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"GAB2024912"</f>
        <v>GAB2024912</v>
      </c>
      <c r="F307" s="3">
        <v>45733</v>
      </c>
      <c r="G307">
        <v>202512</v>
      </c>
      <c r="H307" t="s">
        <v>97</v>
      </c>
      <c r="I307" t="s">
        <v>98</v>
      </c>
      <c r="J307" t="s">
        <v>99</v>
      </c>
      <c r="K307" t="s">
        <v>78</v>
      </c>
      <c r="L307" t="s">
        <v>170</v>
      </c>
      <c r="M307" t="s">
        <v>171</v>
      </c>
      <c r="N307" t="s">
        <v>172</v>
      </c>
      <c r="O307" t="s">
        <v>82</v>
      </c>
      <c r="P307" t="str">
        <f>"INV-00116166 CT093223         "</f>
        <v xml:space="preserve">INV-00116166 CT093223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46.61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0.6</v>
      </c>
      <c r="BJ307">
        <v>1.8</v>
      </c>
      <c r="BK307">
        <v>2</v>
      </c>
      <c r="BL307">
        <v>140.77000000000001</v>
      </c>
      <c r="BM307">
        <v>21.12</v>
      </c>
      <c r="BN307">
        <v>161.88999999999999</v>
      </c>
      <c r="BO307">
        <v>161.88999999999999</v>
      </c>
      <c r="BQ307" t="s">
        <v>173</v>
      </c>
      <c r="BR307" t="s">
        <v>101</v>
      </c>
      <c r="BS307" s="3">
        <v>45735</v>
      </c>
      <c r="BT307" s="4">
        <v>0.4375</v>
      </c>
      <c r="BU307" t="s">
        <v>682</v>
      </c>
      <c r="BV307" t="s">
        <v>109</v>
      </c>
      <c r="BY307">
        <v>9228.9599999999991</v>
      </c>
      <c r="BZ307" t="s">
        <v>90</v>
      </c>
      <c r="CA307" t="s">
        <v>1087</v>
      </c>
      <c r="CC307" t="s">
        <v>171</v>
      </c>
      <c r="CD307">
        <v>9700</v>
      </c>
      <c r="CE307" t="s">
        <v>454</v>
      </c>
      <c r="CF307" s="3">
        <v>45735</v>
      </c>
      <c r="CI307">
        <v>2</v>
      </c>
      <c r="CJ307">
        <v>2</v>
      </c>
      <c r="CK307">
        <v>23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"GAB2024913"</f>
        <v>GAB2024913</v>
      </c>
      <c r="F308" s="3">
        <v>45733</v>
      </c>
      <c r="G308">
        <v>202512</v>
      </c>
      <c r="H308" t="s">
        <v>97</v>
      </c>
      <c r="I308" t="s">
        <v>98</v>
      </c>
      <c r="J308" t="s">
        <v>99</v>
      </c>
      <c r="K308" t="s">
        <v>78</v>
      </c>
      <c r="L308" t="s">
        <v>130</v>
      </c>
      <c r="M308" t="s">
        <v>131</v>
      </c>
      <c r="N308" t="s">
        <v>132</v>
      </c>
      <c r="O308" t="s">
        <v>82</v>
      </c>
      <c r="P308" t="str">
        <f>"INV-00116161 CT093212         "</f>
        <v xml:space="preserve">INV-00116161 CT093212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30.07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2.2000000000000002</v>
      </c>
      <c r="BK308">
        <v>2.5</v>
      </c>
      <c r="BL308">
        <v>90.81</v>
      </c>
      <c r="BM308">
        <v>13.62</v>
      </c>
      <c r="BN308">
        <v>104.43</v>
      </c>
      <c r="BO308">
        <v>104.43</v>
      </c>
      <c r="BQ308" t="s">
        <v>133</v>
      </c>
      <c r="BR308" t="s">
        <v>101</v>
      </c>
      <c r="BS308" s="3">
        <v>45735</v>
      </c>
      <c r="BT308" s="4">
        <v>0.38541666666666669</v>
      </c>
      <c r="BU308" t="s">
        <v>134</v>
      </c>
      <c r="BV308" t="s">
        <v>109</v>
      </c>
      <c r="BY308">
        <v>11138.9</v>
      </c>
      <c r="BZ308" t="s">
        <v>90</v>
      </c>
      <c r="CA308" t="s">
        <v>135</v>
      </c>
      <c r="CC308" t="s">
        <v>131</v>
      </c>
      <c r="CD308" s="5" t="s">
        <v>136</v>
      </c>
      <c r="CE308" t="s">
        <v>149</v>
      </c>
      <c r="CF308" s="3">
        <v>45735</v>
      </c>
      <c r="CI308">
        <v>2</v>
      </c>
      <c r="CJ308">
        <v>2</v>
      </c>
      <c r="CK308">
        <v>21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"GAB2024914"</f>
        <v>GAB2024914</v>
      </c>
      <c r="F309" s="3">
        <v>45733</v>
      </c>
      <c r="G309">
        <v>202512</v>
      </c>
      <c r="H309" t="s">
        <v>97</v>
      </c>
      <c r="I309" t="s">
        <v>98</v>
      </c>
      <c r="J309" t="s">
        <v>99</v>
      </c>
      <c r="K309" t="s">
        <v>78</v>
      </c>
      <c r="L309" t="s">
        <v>138</v>
      </c>
      <c r="M309" t="s">
        <v>139</v>
      </c>
      <c r="N309" t="s">
        <v>140</v>
      </c>
      <c r="O309" t="s">
        <v>82</v>
      </c>
      <c r="P309" t="str">
        <f>"INV-00116162 CT093213         "</f>
        <v xml:space="preserve">INV-00116162 CT093213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57.13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2.5</v>
      </c>
      <c r="BK309">
        <v>2.5</v>
      </c>
      <c r="BL309">
        <v>172.55</v>
      </c>
      <c r="BM309">
        <v>25.88</v>
      </c>
      <c r="BN309">
        <v>198.43</v>
      </c>
      <c r="BO309">
        <v>198.43</v>
      </c>
      <c r="BQ309" t="s">
        <v>141</v>
      </c>
      <c r="BR309" t="s">
        <v>101</v>
      </c>
      <c r="BS309" s="3">
        <v>45734</v>
      </c>
      <c r="BT309" s="4">
        <v>0.38263888888888886</v>
      </c>
      <c r="BU309" t="s">
        <v>142</v>
      </c>
      <c r="BV309" t="s">
        <v>109</v>
      </c>
      <c r="BY309">
        <v>12532</v>
      </c>
      <c r="BZ309" t="s">
        <v>90</v>
      </c>
      <c r="CA309" t="s">
        <v>143</v>
      </c>
      <c r="CC309" t="s">
        <v>139</v>
      </c>
      <c r="CD309">
        <v>1900</v>
      </c>
      <c r="CE309" t="s">
        <v>129</v>
      </c>
      <c r="CF309" s="3">
        <v>45734</v>
      </c>
      <c r="CI309">
        <v>1</v>
      </c>
      <c r="CJ309">
        <v>1</v>
      </c>
      <c r="CK309">
        <v>23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"GAB2024922"</f>
        <v>GAB2024922</v>
      </c>
      <c r="F310" s="3">
        <v>45733</v>
      </c>
      <c r="G310">
        <v>202512</v>
      </c>
      <c r="H310" t="s">
        <v>97</v>
      </c>
      <c r="I310" t="s">
        <v>98</v>
      </c>
      <c r="J310" t="s">
        <v>99</v>
      </c>
      <c r="K310" t="s">
        <v>78</v>
      </c>
      <c r="L310" t="s">
        <v>97</v>
      </c>
      <c r="M310" t="s">
        <v>98</v>
      </c>
      <c r="N310" t="s">
        <v>451</v>
      </c>
      <c r="O310" t="s">
        <v>82</v>
      </c>
      <c r="P310" t="str">
        <f>"INV-00116190 CT093061         "</f>
        <v xml:space="preserve">INV-00116190 CT093061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18.79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1.8</v>
      </c>
      <c r="BK310">
        <v>2</v>
      </c>
      <c r="BL310">
        <v>56.75</v>
      </c>
      <c r="BM310">
        <v>8.51</v>
      </c>
      <c r="BN310">
        <v>65.260000000000005</v>
      </c>
      <c r="BO310">
        <v>65.260000000000005</v>
      </c>
      <c r="BQ310" t="s">
        <v>452</v>
      </c>
      <c r="BR310" t="s">
        <v>101</v>
      </c>
      <c r="BS310" s="3">
        <v>45734</v>
      </c>
      <c r="BT310" s="4">
        <v>0.4826388888888889</v>
      </c>
      <c r="BU310" t="s">
        <v>1088</v>
      </c>
      <c r="BV310" t="s">
        <v>87</v>
      </c>
      <c r="BW310" t="s">
        <v>1017</v>
      </c>
      <c r="BX310" t="s">
        <v>531</v>
      </c>
      <c r="BY310">
        <v>8881.11</v>
      </c>
      <c r="BZ310" t="s">
        <v>90</v>
      </c>
      <c r="CA310" t="s">
        <v>828</v>
      </c>
      <c r="CC310" t="s">
        <v>98</v>
      </c>
      <c r="CD310">
        <v>7700</v>
      </c>
      <c r="CE310" t="s">
        <v>137</v>
      </c>
      <c r="CF310" s="3">
        <v>45735</v>
      </c>
      <c r="CI310">
        <v>1</v>
      </c>
      <c r="CJ310">
        <v>1</v>
      </c>
      <c r="CK310">
        <v>22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"GAB2024895"</f>
        <v>GAB2024895</v>
      </c>
      <c r="F311" s="3">
        <v>45733</v>
      </c>
      <c r="G311">
        <v>202512</v>
      </c>
      <c r="H311" t="s">
        <v>97</v>
      </c>
      <c r="I311" t="s">
        <v>98</v>
      </c>
      <c r="J311" t="s">
        <v>99</v>
      </c>
      <c r="K311" t="s">
        <v>78</v>
      </c>
      <c r="L311" t="s">
        <v>238</v>
      </c>
      <c r="M311" t="s">
        <v>239</v>
      </c>
      <c r="N311" t="s">
        <v>1089</v>
      </c>
      <c r="O311" t="s">
        <v>100</v>
      </c>
      <c r="P311" t="str">
        <f>"INV-00116141 CT092737         "</f>
        <v xml:space="preserve">INV-00116141 CT092737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46.52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3.1</v>
      </c>
      <c r="BJ311">
        <v>7.6</v>
      </c>
      <c r="BK311">
        <v>8</v>
      </c>
      <c r="BL311">
        <v>146.07</v>
      </c>
      <c r="BM311">
        <v>21.91</v>
      </c>
      <c r="BN311">
        <v>167.98</v>
      </c>
      <c r="BO311">
        <v>167.98</v>
      </c>
      <c r="BQ311" t="s">
        <v>1090</v>
      </c>
      <c r="BR311" t="s">
        <v>101</v>
      </c>
      <c r="BS311" s="3">
        <v>45735</v>
      </c>
      <c r="BT311" s="4">
        <v>0.32777777777777778</v>
      </c>
      <c r="BU311" t="s">
        <v>1091</v>
      </c>
      <c r="BV311" t="s">
        <v>109</v>
      </c>
      <c r="BY311">
        <v>37791</v>
      </c>
      <c r="CA311" t="s">
        <v>1092</v>
      </c>
      <c r="CC311" t="s">
        <v>239</v>
      </c>
      <c r="CD311">
        <v>2000</v>
      </c>
      <c r="CE311" t="s">
        <v>1093</v>
      </c>
      <c r="CF311" s="3">
        <v>45735</v>
      </c>
      <c r="CI311">
        <v>2</v>
      </c>
      <c r="CJ311">
        <v>2</v>
      </c>
      <c r="CK311">
        <v>41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"GAB2024901"</f>
        <v>GAB2024901</v>
      </c>
      <c r="F312" s="3">
        <v>45733</v>
      </c>
      <c r="G312">
        <v>202512</v>
      </c>
      <c r="H312" t="s">
        <v>97</v>
      </c>
      <c r="I312" t="s">
        <v>98</v>
      </c>
      <c r="J312" t="s">
        <v>99</v>
      </c>
      <c r="K312" t="s">
        <v>78</v>
      </c>
      <c r="L312" t="s">
        <v>262</v>
      </c>
      <c r="M312" t="s">
        <v>263</v>
      </c>
      <c r="N312" t="s">
        <v>1094</v>
      </c>
      <c r="O312" t="s">
        <v>100</v>
      </c>
      <c r="P312" t="str">
        <f>"INV-00116154 CT093100         "</f>
        <v xml:space="preserve">INV-00116154 CT093100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46.52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2.2999999999999998</v>
      </c>
      <c r="BJ312">
        <v>7.8</v>
      </c>
      <c r="BK312">
        <v>8</v>
      </c>
      <c r="BL312">
        <v>146.07</v>
      </c>
      <c r="BM312">
        <v>21.91</v>
      </c>
      <c r="BN312">
        <v>167.98</v>
      </c>
      <c r="BO312">
        <v>167.98</v>
      </c>
      <c r="BQ312" t="s">
        <v>1095</v>
      </c>
      <c r="BR312" t="s">
        <v>101</v>
      </c>
      <c r="BS312" s="3">
        <v>45735</v>
      </c>
      <c r="BT312" s="4">
        <v>0.59027777777777779</v>
      </c>
      <c r="BU312" t="s">
        <v>1095</v>
      </c>
      <c r="BV312" t="s">
        <v>109</v>
      </c>
      <c r="BY312">
        <v>39019.5</v>
      </c>
      <c r="CA312" t="s">
        <v>1096</v>
      </c>
      <c r="CC312" t="s">
        <v>263</v>
      </c>
      <c r="CD312" s="5" t="s">
        <v>444</v>
      </c>
      <c r="CE312" t="s">
        <v>584</v>
      </c>
      <c r="CF312" s="3">
        <v>45735</v>
      </c>
      <c r="CI312">
        <v>3</v>
      </c>
      <c r="CJ312">
        <v>2</v>
      </c>
      <c r="CK312">
        <v>41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"GAB2024915"</f>
        <v>GAB2024915</v>
      </c>
      <c r="F313" s="3">
        <v>45733</v>
      </c>
      <c r="G313">
        <v>202512</v>
      </c>
      <c r="H313" t="s">
        <v>97</v>
      </c>
      <c r="I313" t="s">
        <v>98</v>
      </c>
      <c r="J313" t="s">
        <v>99</v>
      </c>
      <c r="K313" t="s">
        <v>78</v>
      </c>
      <c r="L313" t="s">
        <v>79</v>
      </c>
      <c r="M313" t="s">
        <v>80</v>
      </c>
      <c r="N313" t="s">
        <v>106</v>
      </c>
      <c r="O313" t="s">
        <v>100</v>
      </c>
      <c r="P313" t="str">
        <f>"INV-00116153 00116133 00116132"</f>
        <v>INV-00116153 00116133 00116132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46.52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2</v>
      </c>
      <c r="BI313">
        <v>6</v>
      </c>
      <c r="BJ313">
        <v>15</v>
      </c>
      <c r="BK313">
        <v>15</v>
      </c>
      <c r="BL313">
        <v>146.07</v>
      </c>
      <c r="BM313">
        <v>21.91</v>
      </c>
      <c r="BN313">
        <v>167.98</v>
      </c>
      <c r="BO313">
        <v>167.98</v>
      </c>
      <c r="BQ313" t="s">
        <v>107</v>
      </c>
      <c r="BR313" t="s">
        <v>101</v>
      </c>
      <c r="BS313" s="3">
        <v>45735</v>
      </c>
      <c r="BT313" s="4">
        <v>0.57708333333333328</v>
      </c>
      <c r="BU313" t="s">
        <v>1097</v>
      </c>
      <c r="BV313" t="s">
        <v>109</v>
      </c>
      <c r="BY313">
        <v>75181.919999999998</v>
      </c>
      <c r="CA313" t="s">
        <v>1098</v>
      </c>
      <c r="CC313" t="s">
        <v>80</v>
      </c>
      <c r="CD313" s="5" t="s">
        <v>92</v>
      </c>
      <c r="CE313" t="s">
        <v>111</v>
      </c>
      <c r="CF313" s="3">
        <v>45735</v>
      </c>
      <c r="CI313">
        <v>3</v>
      </c>
      <c r="CJ313">
        <v>2</v>
      </c>
      <c r="CK313">
        <v>41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"GAB2024918"</f>
        <v>GAB2024918</v>
      </c>
      <c r="F314" s="3">
        <v>45733</v>
      </c>
      <c r="G314">
        <v>202512</v>
      </c>
      <c r="H314" t="s">
        <v>97</v>
      </c>
      <c r="I314" t="s">
        <v>98</v>
      </c>
      <c r="J314" t="s">
        <v>99</v>
      </c>
      <c r="K314" t="s">
        <v>78</v>
      </c>
      <c r="L314" t="s">
        <v>369</v>
      </c>
      <c r="M314" t="s">
        <v>370</v>
      </c>
      <c r="N314" t="s">
        <v>1099</v>
      </c>
      <c r="O314" t="s">
        <v>100</v>
      </c>
      <c r="P314" t="str">
        <f>"INV-00116169 CT093221         "</f>
        <v xml:space="preserve">INV-00116169 CT093221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51.38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1.4</v>
      </c>
      <c r="BJ314">
        <v>6.3</v>
      </c>
      <c r="BK314">
        <v>7</v>
      </c>
      <c r="BL314">
        <v>160.74</v>
      </c>
      <c r="BM314">
        <v>24.11</v>
      </c>
      <c r="BN314">
        <v>184.85</v>
      </c>
      <c r="BO314">
        <v>184.85</v>
      </c>
      <c r="BQ314" t="s">
        <v>1100</v>
      </c>
      <c r="BR314" t="s">
        <v>101</v>
      </c>
      <c r="BS314" s="3">
        <v>45734</v>
      </c>
      <c r="BT314" s="4">
        <v>0.65347222222222223</v>
      </c>
      <c r="BU314" t="s">
        <v>1101</v>
      </c>
      <c r="BV314" t="s">
        <v>109</v>
      </c>
      <c r="BY314">
        <v>31406.1</v>
      </c>
      <c r="CA314" t="s">
        <v>374</v>
      </c>
      <c r="CC314" t="s">
        <v>370</v>
      </c>
      <c r="CD314">
        <v>6850</v>
      </c>
      <c r="CE314" t="s">
        <v>111</v>
      </c>
      <c r="CF314" s="3">
        <v>45735</v>
      </c>
      <c r="CI314">
        <v>0</v>
      </c>
      <c r="CJ314">
        <v>0</v>
      </c>
      <c r="CK314">
        <v>44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"GAB2024920"</f>
        <v>GAB2024920</v>
      </c>
      <c r="F315" s="3">
        <v>45733</v>
      </c>
      <c r="G315">
        <v>202512</v>
      </c>
      <c r="H315" t="s">
        <v>97</v>
      </c>
      <c r="I315" t="s">
        <v>98</v>
      </c>
      <c r="J315" t="s">
        <v>99</v>
      </c>
      <c r="K315" t="s">
        <v>78</v>
      </c>
      <c r="L315" t="s">
        <v>710</v>
      </c>
      <c r="M315" t="s">
        <v>711</v>
      </c>
      <c r="N315" t="s">
        <v>712</v>
      </c>
      <c r="O315" t="s">
        <v>100</v>
      </c>
      <c r="P315" t="str">
        <f>"INV-00116184 CT093107         "</f>
        <v xml:space="preserve">INV-00116184 CT093107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65.61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3.6</v>
      </c>
      <c r="BJ315">
        <v>12.5</v>
      </c>
      <c r="BK315">
        <v>13</v>
      </c>
      <c r="BL315">
        <v>203.73</v>
      </c>
      <c r="BM315">
        <v>30.56</v>
      </c>
      <c r="BN315">
        <v>234.29</v>
      </c>
      <c r="BO315">
        <v>234.29</v>
      </c>
      <c r="BQ315" t="s">
        <v>1102</v>
      </c>
      <c r="BR315" t="s">
        <v>101</v>
      </c>
      <c r="BS315" s="3">
        <v>45735</v>
      </c>
      <c r="BT315" s="4">
        <v>0.69166666666666665</v>
      </c>
      <c r="BU315" t="s">
        <v>1103</v>
      </c>
      <c r="BV315" t="s">
        <v>109</v>
      </c>
      <c r="BY315">
        <v>62603.13</v>
      </c>
      <c r="CA315" t="s">
        <v>715</v>
      </c>
      <c r="CC315" t="s">
        <v>711</v>
      </c>
      <c r="CD315">
        <v>1947</v>
      </c>
      <c r="CE315" t="s">
        <v>111</v>
      </c>
      <c r="CF315" s="3">
        <v>45735</v>
      </c>
      <c r="CI315">
        <v>2</v>
      </c>
      <c r="CJ315">
        <v>2</v>
      </c>
      <c r="CK315">
        <v>43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"GAB2024925"</f>
        <v>GAB2024925</v>
      </c>
      <c r="F316" s="3">
        <v>45734</v>
      </c>
      <c r="G316">
        <v>202512</v>
      </c>
      <c r="H316" t="s">
        <v>97</v>
      </c>
      <c r="I316" t="s">
        <v>98</v>
      </c>
      <c r="J316" t="s">
        <v>99</v>
      </c>
      <c r="K316" t="s">
        <v>78</v>
      </c>
      <c r="L316" t="s">
        <v>262</v>
      </c>
      <c r="M316" t="s">
        <v>263</v>
      </c>
      <c r="N316" t="s">
        <v>473</v>
      </c>
      <c r="O316" t="s">
        <v>100</v>
      </c>
      <c r="P316" t="str">
        <f>"INV-00116209 CT093241         "</f>
        <v xml:space="preserve">INV-00116209 CT093241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46.52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4.2</v>
      </c>
      <c r="BJ316">
        <v>14.4</v>
      </c>
      <c r="BK316">
        <v>15</v>
      </c>
      <c r="BL316">
        <v>146.07</v>
      </c>
      <c r="BM316">
        <v>21.91</v>
      </c>
      <c r="BN316">
        <v>167.98</v>
      </c>
      <c r="BO316">
        <v>167.98</v>
      </c>
      <c r="BQ316" t="s">
        <v>912</v>
      </c>
      <c r="BR316" t="s">
        <v>101</v>
      </c>
      <c r="BS316" s="3">
        <v>45736</v>
      </c>
      <c r="BT316" s="4">
        <v>0.38194444444444442</v>
      </c>
      <c r="BU316" t="s">
        <v>1104</v>
      </c>
      <c r="BV316" t="s">
        <v>109</v>
      </c>
      <c r="BY316">
        <v>71909.5</v>
      </c>
      <c r="CA316" t="s">
        <v>645</v>
      </c>
      <c r="CC316" t="s">
        <v>263</v>
      </c>
      <c r="CD316" s="5" t="s">
        <v>444</v>
      </c>
      <c r="CE316" t="s">
        <v>118</v>
      </c>
      <c r="CF316" s="3">
        <v>45736</v>
      </c>
      <c r="CI316">
        <v>3</v>
      </c>
      <c r="CJ316">
        <v>2</v>
      </c>
      <c r="CK316">
        <v>41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"GAB2024926"</f>
        <v>GAB2024926</v>
      </c>
      <c r="F317" s="3">
        <v>45734</v>
      </c>
      <c r="G317">
        <v>202512</v>
      </c>
      <c r="H317" t="s">
        <v>97</v>
      </c>
      <c r="I317" t="s">
        <v>98</v>
      </c>
      <c r="J317" t="s">
        <v>99</v>
      </c>
      <c r="K317" t="s">
        <v>78</v>
      </c>
      <c r="L317" t="s">
        <v>262</v>
      </c>
      <c r="M317" t="s">
        <v>263</v>
      </c>
      <c r="N317" t="s">
        <v>441</v>
      </c>
      <c r="O317" t="s">
        <v>100</v>
      </c>
      <c r="P317" t="str">
        <f>"INV-00116210 CT093218         "</f>
        <v xml:space="preserve">INV-00116210 CT093218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125.26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4</v>
      </c>
      <c r="BI317">
        <v>16.3</v>
      </c>
      <c r="BJ317">
        <v>55.4</v>
      </c>
      <c r="BK317">
        <v>56</v>
      </c>
      <c r="BL317">
        <v>383.89</v>
      </c>
      <c r="BM317">
        <v>57.58</v>
      </c>
      <c r="BN317">
        <v>441.47</v>
      </c>
      <c r="BO317">
        <v>441.47</v>
      </c>
      <c r="BQ317" t="s">
        <v>362</v>
      </c>
      <c r="BR317" t="s">
        <v>101</v>
      </c>
      <c r="BS317" s="3">
        <v>45736</v>
      </c>
      <c r="BT317" s="4">
        <v>0.4152777777777778</v>
      </c>
      <c r="BU317" t="s">
        <v>1105</v>
      </c>
      <c r="BV317" t="s">
        <v>109</v>
      </c>
      <c r="BY317">
        <v>277054.73</v>
      </c>
      <c r="CA317" t="s">
        <v>1106</v>
      </c>
      <c r="CC317" t="s">
        <v>263</v>
      </c>
      <c r="CD317" s="5" t="s">
        <v>444</v>
      </c>
      <c r="CE317" t="s">
        <v>118</v>
      </c>
      <c r="CF317" s="3">
        <v>45736</v>
      </c>
      <c r="CI317">
        <v>3</v>
      </c>
      <c r="CJ317">
        <v>2</v>
      </c>
      <c r="CK317">
        <v>41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"GAB2024930"</f>
        <v>GAB2024930</v>
      </c>
      <c r="F318" s="3">
        <v>45734</v>
      </c>
      <c r="G318">
        <v>202512</v>
      </c>
      <c r="H318" t="s">
        <v>97</v>
      </c>
      <c r="I318" t="s">
        <v>98</v>
      </c>
      <c r="J318" t="s">
        <v>99</v>
      </c>
      <c r="K318" t="s">
        <v>78</v>
      </c>
      <c r="L318" t="s">
        <v>540</v>
      </c>
      <c r="M318" t="s">
        <v>541</v>
      </c>
      <c r="N318" t="s">
        <v>1107</v>
      </c>
      <c r="O318" t="s">
        <v>100</v>
      </c>
      <c r="P318" t="str">
        <f>"INV-00033705 031184           "</f>
        <v xml:space="preserve">INV-00033705 031184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79.02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2</v>
      </c>
      <c r="BI318">
        <v>9.1999999999999993</v>
      </c>
      <c r="BJ318">
        <v>18.7</v>
      </c>
      <c r="BK318">
        <v>19</v>
      </c>
      <c r="BL318">
        <v>244.22</v>
      </c>
      <c r="BM318">
        <v>36.630000000000003</v>
      </c>
      <c r="BN318">
        <v>280.85000000000002</v>
      </c>
      <c r="BO318">
        <v>280.85000000000002</v>
      </c>
      <c r="BQ318" t="s">
        <v>372</v>
      </c>
      <c r="BR318" t="s">
        <v>101</v>
      </c>
      <c r="BS318" s="3">
        <v>45735</v>
      </c>
      <c r="BT318" s="4">
        <v>0.63888888888888884</v>
      </c>
      <c r="BU318" t="s">
        <v>1108</v>
      </c>
      <c r="BV318" t="s">
        <v>109</v>
      </c>
      <c r="BY318">
        <v>93421.25</v>
      </c>
      <c r="CC318" t="s">
        <v>541</v>
      </c>
      <c r="CD318">
        <v>6500</v>
      </c>
      <c r="CE318" t="s">
        <v>111</v>
      </c>
      <c r="CF318" s="3">
        <v>45736</v>
      </c>
      <c r="CI318">
        <v>1</v>
      </c>
      <c r="CJ318">
        <v>1</v>
      </c>
      <c r="CK318">
        <v>43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"GAB2024939"</f>
        <v>GAB2024939</v>
      </c>
      <c r="F319" s="3">
        <v>45734</v>
      </c>
      <c r="G319">
        <v>202512</v>
      </c>
      <c r="H319" t="s">
        <v>97</v>
      </c>
      <c r="I319" t="s">
        <v>98</v>
      </c>
      <c r="J319" t="s">
        <v>99</v>
      </c>
      <c r="K319" t="s">
        <v>78</v>
      </c>
      <c r="L319" t="s">
        <v>75</v>
      </c>
      <c r="M319" t="s">
        <v>76</v>
      </c>
      <c r="N319" t="s">
        <v>1109</v>
      </c>
      <c r="O319" t="s">
        <v>100</v>
      </c>
      <c r="P319" t="str">
        <f>"INV-00116202 CT092958         "</f>
        <v xml:space="preserve">INV-00116202 CT092958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46.52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3.3</v>
      </c>
      <c r="BJ319">
        <v>7.7</v>
      </c>
      <c r="BK319">
        <v>8</v>
      </c>
      <c r="BL319">
        <v>146.07</v>
      </c>
      <c r="BM319">
        <v>21.91</v>
      </c>
      <c r="BN319">
        <v>167.98</v>
      </c>
      <c r="BO319">
        <v>167.98</v>
      </c>
      <c r="BQ319" t="s">
        <v>1110</v>
      </c>
      <c r="BR319" t="s">
        <v>101</v>
      </c>
      <c r="BS319" s="3">
        <v>45737</v>
      </c>
      <c r="BT319" s="4">
        <v>0.46458333333333335</v>
      </c>
      <c r="BU319" t="s">
        <v>1111</v>
      </c>
      <c r="BV319" t="s">
        <v>109</v>
      </c>
      <c r="BY319">
        <v>38454</v>
      </c>
      <c r="CA319" t="s">
        <v>1112</v>
      </c>
      <c r="CC319" t="s">
        <v>76</v>
      </c>
      <c r="CD319">
        <v>4001</v>
      </c>
      <c r="CE319" t="s">
        <v>584</v>
      </c>
      <c r="CF319" s="3">
        <v>45740</v>
      </c>
      <c r="CI319">
        <v>3</v>
      </c>
      <c r="CJ319">
        <v>3</v>
      </c>
      <c r="CK319">
        <v>41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"GAB2024940"</f>
        <v>GAB2024940</v>
      </c>
      <c r="F320" s="3">
        <v>45734</v>
      </c>
      <c r="G320">
        <v>202512</v>
      </c>
      <c r="H320" t="s">
        <v>97</v>
      </c>
      <c r="I320" t="s">
        <v>98</v>
      </c>
      <c r="J320" t="s">
        <v>99</v>
      </c>
      <c r="K320" t="s">
        <v>78</v>
      </c>
      <c r="L320" t="s">
        <v>519</v>
      </c>
      <c r="M320" t="s">
        <v>520</v>
      </c>
      <c r="N320" t="s">
        <v>706</v>
      </c>
      <c r="O320" t="s">
        <v>100</v>
      </c>
      <c r="P320" t="str">
        <f>"INV-00116203 CT092541         "</f>
        <v xml:space="preserve">INV-00116203 CT092541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46.52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2.7</v>
      </c>
      <c r="BJ320">
        <v>6.1</v>
      </c>
      <c r="BK320">
        <v>7</v>
      </c>
      <c r="BL320">
        <v>146.07</v>
      </c>
      <c r="BM320">
        <v>21.91</v>
      </c>
      <c r="BN320">
        <v>167.98</v>
      </c>
      <c r="BO320">
        <v>167.98</v>
      </c>
      <c r="BQ320" t="s">
        <v>707</v>
      </c>
      <c r="BR320" t="s">
        <v>101</v>
      </c>
      <c r="BS320" s="3">
        <v>45736</v>
      </c>
      <c r="BT320" s="4">
        <v>0.40277777777777779</v>
      </c>
      <c r="BU320" t="s">
        <v>1113</v>
      </c>
      <c r="BV320" t="s">
        <v>109</v>
      </c>
      <c r="BY320">
        <v>30639.78</v>
      </c>
      <c r="CA320" t="s">
        <v>709</v>
      </c>
      <c r="CC320" t="s">
        <v>520</v>
      </c>
      <c r="CD320">
        <v>6001</v>
      </c>
      <c r="CE320" t="s">
        <v>584</v>
      </c>
      <c r="CF320" s="3">
        <v>45736</v>
      </c>
      <c r="CI320">
        <v>3</v>
      </c>
      <c r="CJ320">
        <v>2</v>
      </c>
      <c r="CK320">
        <v>41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"GAB2024946"</f>
        <v>GAB2024946</v>
      </c>
      <c r="F321" s="3">
        <v>45734</v>
      </c>
      <c r="G321">
        <v>202512</v>
      </c>
      <c r="H321" t="s">
        <v>97</v>
      </c>
      <c r="I321" t="s">
        <v>98</v>
      </c>
      <c r="J321" t="s">
        <v>99</v>
      </c>
      <c r="K321" t="s">
        <v>78</v>
      </c>
      <c r="L321" t="s">
        <v>112</v>
      </c>
      <c r="M321" t="s">
        <v>113</v>
      </c>
      <c r="N321" t="s">
        <v>114</v>
      </c>
      <c r="O321" t="s">
        <v>100</v>
      </c>
      <c r="P321" t="str">
        <f>"INV-00116185 CT093236         "</f>
        <v xml:space="preserve">INV-00116185 CT093236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46.52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4.4000000000000004</v>
      </c>
      <c r="BJ321">
        <v>12.9</v>
      </c>
      <c r="BK321">
        <v>13</v>
      </c>
      <c r="BL321">
        <v>146.07</v>
      </c>
      <c r="BM321">
        <v>21.91</v>
      </c>
      <c r="BN321">
        <v>167.98</v>
      </c>
      <c r="BO321">
        <v>167.98</v>
      </c>
      <c r="BQ321" t="s">
        <v>115</v>
      </c>
      <c r="BR321" t="s">
        <v>101</v>
      </c>
      <c r="BS321" s="3">
        <v>45736</v>
      </c>
      <c r="BT321" s="4">
        <v>0.5395833333333333</v>
      </c>
      <c r="BU321" t="s">
        <v>1114</v>
      </c>
      <c r="BV321" t="s">
        <v>109</v>
      </c>
      <c r="BY321">
        <v>64463.25</v>
      </c>
      <c r="CA321" t="s">
        <v>117</v>
      </c>
      <c r="CC321" t="s">
        <v>113</v>
      </c>
      <c r="CD321">
        <v>9301</v>
      </c>
      <c r="CE321" t="s">
        <v>118</v>
      </c>
      <c r="CF321" s="3">
        <v>45740</v>
      </c>
      <c r="CI321">
        <v>4</v>
      </c>
      <c r="CJ321">
        <v>2</v>
      </c>
      <c r="CK321">
        <v>41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"GAB2024948"</f>
        <v>GAB2024948</v>
      </c>
      <c r="F322" s="3">
        <v>45734</v>
      </c>
      <c r="G322">
        <v>202512</v>
      </c>
      <c r="H322" t="s">
        <v>97</v>
      </c>
      <c r="I322" t="s">
        <v>98</v>
      </c>
      <c r="J322" t="s">
        <v>99</v>
      </c>
      <c r="K322" t="s">
        <v>78</v>
      </c>
      <c r="L322" t="s">
        <v>262</v>
      </c>
      <c r="M322" t="s">
        <v>263</v>
      </c>
      <c r="N322" t="s">
        <v>917</v>
      </c>
      <c r="O322" t="s">
        <v>100</v>
      </c>
      <c r="P322" t="str">
        <f>"INV-00033684 031165           "</f>
        <v xml:space="preserve">INV-00033684 031165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117.58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2</v>
      </c>
      <c r="BI322">
        <v>19.8</v>
      </c>
      <c r="BJ322">
        <v>51.8</v>
      </c>
      <c r="BK322">
        <v>52</v>
      </c>
      <c r="BL322">
        <v>360.69</v>
      </c>
      <c r="BM322">
        <v>54.1</v>
      </c>
      <c r="BN322">
        <v>414.79</v>
      </c>
      <c r="BO322">
        <v>414.79</v>
      </c>
      <c r="BR322" t="s">
        <v>101</v>
      </c>
      <c r="BS322" s="3">
        <v>45736</v>
      </c>
      <c r="BT322" s="4">
        <v>0.89722222222222225</v>
      </c>
      <c r="BU322" t="s">
        <v>1115</v>
      </c>
      <c r="BV322" t="s">
        <v>109</v>
      </c>
      <c r="BY322">
        <v>259180.05</v>
      </c>
      <c r="CA322" t="s">
        <v>1116</v>
      </c>
      <c r="CC322" t="s">
        <v>263</v>
      </c>
      <c r="CD322" s="5" t="s">
        <v>920</v>
      </c>
      <c r="CE322" t="s">
        <v>726</v>
      </c>
      <c r="CF322" s="3">
        <v>45736</v>
      </c>
      <c r="CI322">
        <v>3</v>
      </c>
      <c r="CJ322">
        <v>2</v>
      </c>
      <c r="CK322">
        <v>41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"GAB2024949"</f>
        <v>GAB2024949</v>
      </c>
      <c r="F323" s="3">
        <v>45734</v>
      </c>
      <c r="G323">
        <v>202512</v>
      </c>
      <c r="H323" t="s">
        <v>97</v>
      </c>
      <c r="I323" t="s">
        <v>98</v>
      </c>
      <c r="J323" t="s">
        <v>99</v>
      </c>
      <c r="K323" t="s">
        <v>78</v>
      </c>
      <c r="L323" t="s">
        <v>130</v>
      </c>
      <c r="M323" t="s">
        <v>131</v>
      </c>
      <c r="N323" t="s">
        <v>1117</v>
      </c>
      <c r="O323" t="s">
        <v>100</v>
      </c>
      <c r="P323" t="str">
        <f>"INV-00033682 031162           "</f>
        <v xml:space="preserve">INV-00033682 031162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81.09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13.3</v>
      </c>
      <c r="BJ323">
        <v>33</v>
      </c>
      <c r="BK323">
        <v>33</v>
      </c>
      <c r="BL323">
        <v>250.48</v>
      </c>
      <c r="BM323">
        <v>37.57</v>
      </c>
      <c r="BN323">
        <v>288.05</v>
      </c>
      <c r="BO323">
        <v>288.05</v>
      </c>
      <c r="BQ323" t="s">
        <v>1118</v>
      </c>
      <c r="BR323" t="s">
        <v>101</v>
      </c>
      <c r="BS323" t="s">
        <v>83</v>
      </c>
      <c r="BY323">
        <v>165027.37</v>
      </c>
      <c r="CC323" t="s">
        <v>131</v>
      </c>
      <c r="CD323" s="5" t="s">
        <v>1119</v>
      </c>
      <c r="CE323" t="s">
        <v>111</v>
      </c>
      <c r="CI323">
        <v>3</v>
      </c>
      <c r="CJ323" t="s">
        <v>83</v>
      </c>
      <c r="CK323">
        <v>41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"GAB2024950"</f>
        <v>GAB2024950</v>
      </c>
      <c r="F324" s="3">
        <v>45734</v>
      </c>
      <c r="G324">
        <v>202512</v>
      </c>
      <c r="H324" t="s">
        <v>97</v>
      </c>
      <c r="I324" t="s">
        <v>98</v>
      </c>
      <c r="J324" t="s">
        <v>99</v>
      </c>
      <c r="K324" t="s">
        <v>78</v>
      </c>
      <c r="L324" t="s">
        <v>262</v>
      </c>
      <c r="M324" t="s">
        <v>263</v>
      </c>
      <c r="N324" t="s">
        <v>1120</v>
      </c>
      <c r="O324" t="s">
        <v>100</v>
      </c>
      <c r="P324" t="str">
        <f>"INV-00033681 031163           "</f>
        <v xml:space="preserve">INV-00033681 031163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148.31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4</v>
      </c>
      <c r="BI324">
        <v>29.3</v>
      </c>
      <c r="BJ324">
        <v>67.400000000000006</v>
      </c>
      <c r="BK324">
        <v>68</v>
      </c>
      <c r="BL324">
        <v>453.5</v>
      </c>
      <c r="BM324">
        <v>68.03</v>
      </c>
      <c r="BN324">
        <v>521.53</v>
      </c>
      <c r="BO324">
        <v>521.53</v>
      </c>
      <c r="BR324" t="s">
        <v>101</v>
      </c>
      <c r="BS324" s="3">
        <v>45736</v>
      </c>
      <c r="BT324" s="4">
        <v>0.46527777777777779</v>
      </c>
      <c r="BU324" t="s">
        <v>1121</v>
      </c>
      <c r="BV324" t="s">
        <v>109</v>
      </c>
      <c r="BY324">
        <v>336928.53</v>
      </c>
      <c r="CC324" t="s">
        <v>263</v>
      </c>
      <c r="CD324" s="5" t="s">
        <v>444</v>
      </c>
      <c r="CE324" t="s">
        <v>111</v>
      </c>
      <c r="CF324" s="3">
        <v>45736</v>
      </c>
      <c r="CI324">
        <v>3</v>
      </c>
      <c r="CJ324">
        <v>2</v>
      </c>
      <c r="CK324">
        <v>41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"GAB2024958"</f>
        <v>GAB2024958</v>
      </c>
      <c r="F325" s="3">
        <v>45734</v>
      </c>
      <c r="G325">
        <v>202512</v>
      </c>
      <c r="H325" t="s">
        <v>97</v>
      </c>
      <c r="I325" t="s">
        <v>98</v>
      </c>
      <c r="J325" t="s">
        <v>99</v>
      </c>
      <c r="K325" t="s">
        <v>78</v>
      </c>
      <c r="L325" t="s">
        <v>97</v>
      </c>
      <c r="M325" t="s">
        <v>98</v>
      </c>
      <c r="N325" t="s">
        <v>1122</v>
      </c>
      <c r="O325" t="s">
        <v>100</v>
      </c>
      <c r="P325" t="str">
        <f>"INV-00116216 CT093207         "</f>
        <v xml:space="preserve">INV-00116216 CT093207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35.9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0.4</v>
      </c>
      <c r="BJ325">
        <v>1.9</v>
      </c>
      <c r="BK325">
        <v>2</v>
      </c>
      <c r="BL325">
        <v>113.99</v>
      </c>
      <c r="BM325">
        <v>17.100000000000001</v>
      </c>
      <c r="BN325">
        <v>131.09</v>
      </c>
      <c r="BO325">
        <v>131.09</v>
      </c>
      <c r="BQ325" t="s">
        <v>1123</v>
      </c>
      <c r="BR325" t="s">
        <v>101</v>
      </c>
      <c r="BS325" s="3">
        <v>45735</v>
      </c>
      <c r="BT325" s="4">
        <v>0.42152777777777778</v>
      </c>
      <c r="BU325" t="s">
        <v>1124</v>
      </c>
      <c r="BV325" t="s">
        <v>109</v>
      </c>
      <c r="BY325">
        <v>9576</v>
      </c>
      <c r="CA325" t="s">
        <v>828</v>
      </c>
      <c r="CC325" t="s">
        <v>98</v>
      </c>
      <c r="CD325">
        <v>7735</v>
      </c>
      <c r="CE325" t="s">
        <v>437</v>
      </c>
      <c r="CF325" s="3">
        <v>45736</v>
      </c>
      <c r="CI325">
        <v>1</v>
      </c>
      <c r="CJ325">
        <v>1</v>
      </c>
      <c r="CK325">
        <v>42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"GAB2024962"</f>
        <v>GAB2024962</v>
      </c>
      <c r="F326" s="3">
        <v>45734</v>
      </c>
      <c r="G326">
        <v>202512</v>
      </c>
      <c r="H326" t="s">
        <v>97</v>
      </c>
      <c r="I326" t="s">
        <v>98</v>
      </c>
      <c r="J326" t="s">
        <v>99</v>
      </c>
      <c r="K326" t="s">
        <v>78</v>
      </c>
      <c r="L326" t="s">
        <v>1125</v>
      </c>
      <c r="M326" t="s">
        <v>1126</v>
      </c>
      <c r="N326" t="s">
        <v>1127</v>
      </c>
      <c r="O326" t="s">
        <v>100</v>
      </c>
      <c r="P326" t="str">
        <f>"INV-00116221 CT093222         "</f>
        <v xml:space="preserve">INV-00116221 CT093222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65.61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0.8</v>
      </c>
      <c r="BJ326">
        <v>2.2000000000000002</v>
      </c>
      <c r="BK326">
        <v>3</v>
      </c>
      <c r="BL326">
        <v>203.73</v>
      </c>
      <c r="BM326">
        <v>30.56</v>
      </c>
      <c r="BN326">
        <v>234.29</v>
      </c>
      <c r="BO326">
        <v>234.29</v>
      </c>
      <c r="BQ326" t="s">
        <v>1128</v>
      </c>
      <c r="BR326" t="s">
        <v>101</v>
      </c>
      <c r="BS326" s="3">
        <v>45740</v>
      </c>
      <c r="BT326" s="4">
        <v>0.63194444444444442</v>
      </c>
      <c r="BU326" t="s">
        <v>625</v>
      </c>
      <c r="BV326" t="s">
        <v>109</v>
      </c>
      <c r="BY326">
        <v>11073.68</v>
      </c>
      <c r="CA326" t="s">
        <v>1129</v>
      </c>
      <c r="CC326" t="s">
        <v>1126</v>
      </c>
      <c r="CD326">
        <v>1380</v>
      </c>
      <c r="CE326" t="s">
        <v>437</v>
      </c>
      <c r="CF326" s="3">
        <v>45740</v>
      </c>
      <c r="CI326">
        <v>7</v>
      </c>
      <c r="CJ326">
        <v>4</v>
      </c>
      <c r="CK326">
        <v>43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"GAB2024967"</f>
        <v>GAB2024967</v>
      </c>
      <c r="F327" s="3">
        <v>45734</v>
      </c>
      <c r="G327">
        <v>202512</v>
      </c>
      <c r="H327" t="s">
        <v>97</v>
      </c>
      <c r="I327" t="s">
        <v>98</v>
      </c>
      <c r="J327" t="s">
        <v>99</v>
      </c>
      <c r="K327" t="s">
        <v>78</v>
      </c>
      <c r="L327" t="s">
        <v>79</v>
      </c>
      <c r="M327" t="s">
        <v>80</v>
      </c>
      <c r="N327" t="s">
        <v>106</v>
      </c>
      <c r="O327" t="s">
        <v>100</v>
      </c>
      <c r="P327" t="str">
        <f>"INV-00116235 00116207 00116215"</f>
        <v>INV-00116235 00116207 00116215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46.52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3.9</v>
      </c>
      <c r="BJ327">
        <v>12.9</v>
      </c>
      <c r="BK327">
        <v>13</v>
      </c>
      <c r="BL327">
        <v>146.07</v>
      </c>
      <c r="BM327">
        <v>21.91</v>
      </c>
      <c r="BN327">
        <v>167.98</v>
      </c>
      <c r="BO327">
        <v>167.98</v>
      </c>
      <c r="BQ327" t="s">
        <v>107</v>
      </c>
      <c r="BR327" t="s">
        <v>101</v>
      </c>
      <c r="BS327" s="3">
        <v>45736</v>
      </c>
      <c r="BT327" s="4">
        <v>0.35902777777777778</v>
      </c>
      <c r="BU327" t="s">
        <v>605</v>
      </c>
      <c r="BV327" t="s">
        <v>109</v>
      </c>
      <c r="BY327">
        <v>64416</v>
      </c>
      <c r="CA327" t="s">
        <v>110</v>
      </c>
      <c r="CC327" t="s">
        <v>80</v>
      </c>
      <c r="CD327" s="5" t="s">
        <v>92</v>
      </c>
      <c r="CE327" t="s">
        <v>111</v>
      </c>
      <c r="CI327">
        <v>3</v>
      </c>
      <c r="CJ327">
        <v>2</v>
      </c>
      <c r="CK327">
        <v>41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"GAB2024974"</f>
        <v>GAB2024974</v>
      </c>
      <c r="F328" s="3">
        <v>45734</v>
      </c>
      <c r="G328">
        <v>202512</v>
      </c>
      <c r="H328" t="s">
        <v>97</v>
      </c>
      <c r="I328" t="s">
        <v>98</v>
      </c>
      <c r="J328" t="s">
        <v>99</v>
      </c>
      <c r="K328" t="s">
        <v>78</v>
      </c>
      <c r="L328" t="s">
        <v>1130</v>
      </c>
      <c r="M328" t="s">
        <v>1131</v>
      </c>
      <c r="N328" t="s">
        <v>1132</v>
      </c>
      <c r="O328" t="s">
        <v>100</v>
      </c>
      <c r="P328" t="str">
        <f>"INV-00116249 CT093271         "</f>
        <v xml:space="preserve">INV-00116249 CT093271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46.52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4</v>
      </c>
      <c r="BJ328">
        <v>13</v>
      </c>
      <c r="BK328">
        <v>13</v>
      </c>
      <c r="BL328">
        <v>146.07</v>
      </c>
      <c r="BM328">
        <v>21.91</v>
      </c>
      <c r="BN328">
        <v>167.98</v>
      </c>
      <c r="BO328">
        <v>167.98</v>
      </c>
      <c r="BQ328" t="s">
        <v>1133</v>
      </c>
      <c r="BR328" t="s">
        <v>101</v>
      </c>
      <c r="BS328" s="3">
        <v>45740</v>
      </c>
      <c r="BT328" s="4">
        <v>0.63194444444444442</v>
      </c>
      <c r="BU328" t="s">
        <v>1134</v>
      </c>
      <c r="BV328" t="s">
        <v>109</v>
      </c>
      <c r="BY328">
        <v>65023.8</v>
      </c>
      <c r="CA328" t="s">
        <v>1135</v>
      </c>
      <c r="CC328" t="s">
        <v>1131</v>
      </c>
      <c r="CD328">
        <v>4133</v>
      </c>
      <c r="CE328" t="s">
        <v>118</v>
      </c>
      <c r="CF328" s="3">
        <v>45741</v>
      </c>
      <c r="CI328">
        <v>3</v>
      </c>
      <c r="CJ328">
        <v>4</v>
      </c>
      <c r="CK328">
        <v>41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"GAB2024979"</f>
        <v>GAB2024979</v>
      </c>
      <c r="F329" s="3">
        <v>45734</v>
      </c>
      <c r="G329">
        <v>202512</v>
      </c>
      <c r="H329" t="s">
        <v>97</v>
      </c>
      <c r="I329" t="s">
        <v>98</v>
      </c>
      <c r="J329" t="s">
        <v>99</v>
      </c>
      <c r="K329" t="s">
        <v>78</v>
      </c>
      <c r="L329" t="s">
        <v>75</v>
      </c>
      <c r="M329" t="s">
        <v>76</v>
      </c>
      <c r="N329" t="s">
        <v>1136</v>
      </c>
      <c r="O329" t="s">
        <v>100</v>
      </c>
      <c r="P329" t="str">
        <f>"INV-00116254 CT093158         "</f>
        <v xml:space="preserve">INV-00116254 CT093158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65.73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10.7</v>
      </c>
      <c r="BJ329">
        <v>24.7</v>
      </c>
      <c r="BK329">
        <v>25</v>
      </c>
      <c r="BL329">
        <v>204.08</v>
      </c>
      <c r="BM329">
        <v>30.61</v>
      </c>
      <c r="BN329">
        <v>234.69</v>
      </c>
      <c r="BO329">
        <v>234.69</v>
      </c>
      <c r="BQ329" t="s">
        <v>1038</v>
      </c>
      <c r="BR329" t="s">
        <v>101</v>
      </c>
      <c r="BS329" s="3">
        <v>45740</v>
      </c>
      <c r="BT329" s="4">
        <v>0.41319444444444442</v>
      </c>
      <c r="BU329" t="s">
        <v>1137</v>
      </c>
      <c r="BV329" t="s">
        <v>109</v>
      </c>
      <c r="BY329">
        <v>123489.36</v>
      </c>
      <c r="CA329" t="s">
        <v>192</v>
      </c>
      <c r="CC329" t="s">
        <v>76</v>
      </c>
      <c r="CD329">
        <v>4001</v>
      </c>
      <c r="CE329" t="s">
        <v>1007</v>
      </c>
      <c r="CF329" s="3">
        <v>45741</v>
      </c>
      <c r="CI329">
        <v>3</v>
      </c>
      <c r="CJ329">
        <v>4</v>
      </c>
      <c r="CK329">
        <v>41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"GAB2024980"</f>
        <v>GAB2024980</v>
      </c>
      <c r="F330" s="3">
        <v>45734</v>
      </c>
      <c r="G330">
        <v>202512</v>
      </c>
      <c r="H330" t="s">
        <v>97</v>
      </c>
      <c r="I330" t="s">
        <v>98</v>
      </c>
      <c r="J330" t="s">
        <v>99</v>
      </c>
      <c r="K330" t="s">
        <v>78</v>
      </c>
      <c r="L330" t="s">
        <v>262</v>
      </c>
      <c r="M330" t="s">
        <v>263</v>
      </c>
      <c r="N330" t="s">
        <v>496</v>
      </c>
      <c r="O330" t="s">
        <v>100</v>
      </c>
      <c r="P330" t="str">
        <f>"INV-00116253 CT092167         "</f>
        <v xml:space="preserve">INV-00116253 CT092167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104.14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17.8</v>
      </c>
      <c r="BJ330">
        <v>44.6</v>
      </c>
      <c r="BK330">
        <v>45</v>
      </c>
      <c r="BL330">
        <v>320.08999999999997</v>
      </c>
      <c r="BM330">
        <v>48.01</v>
      </c>
      <c r="BN330">
        <v>368.1</v>
      </c>
      <c r="BO330">
        <v>368.1</v>
      </c>
      <c r="BR330" t="s">
        <v>101</v>
      </c>
      <c r="BS330" s="3">
        <v>45736</v>
      </c>
      <c r="BT330" s="4">
        <v>0.37638888888888888</v>
      </c>
      <c r="BU330" t="s">
        <v>1138</v>
      </c>
      <c r="BV330" t="s">
        <v>109</v>
      </c>
      <c r="BY330">
        <v>223136.38</v>
      </c>
      <c r="CA330" t="s">
        <v>649</v>
      </c>
      <c r="CC330" t="s">
        <v>263</v>
      </c>
      <c r="CD330" s="5" t="s">
        <v>501</v>
      </c>
      <c r="CE330" t="s">
        <v>584</v>
      </c>
      <c r="CF330" s="3">
        <v>45736</v>
      </c>
      <c r="CI330">
        <v>3</v>
      </c>
      <c r="CJ330">
        <v>2</v>
      </c>
      <c r="CK330">
        <v>41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"GAB2024981"</f>
        <v>GAB2024981</v>
      </c>
      <c r="F331" s="3">
        <v>45734</v>
      </c>
      <c r="G331">
        <v>202512</v>
      </c>
      <c r="H331" t="s">
        <v>97</v>
      </c>
      <c r="I331" t="s">
        <v>98</v>
      </c>
      <c r="J331" t="s">
        <v>99</v>
      </c>
      <c r="K331" t="s">
        <v>78</v>
      </c>
      <c r="L331" t="s">
        <v>238</v>
      </c>
      <c r="M331" t="s">
        <v>239</v>
      </c>
      <c r="N331" t="s">
        <v>1139</v>
      </c>
      <c r="O331" t="s">
        <v>100</v>
      </c>
      <c r="P331" t="str">
        <f>"INV-00033738 .00033732 031234 "</f>
        <v xml:space="preserve">INV-00033738 .00033732 031234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169.44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4</v>
      </c>
      <c r="BI331">
        <v>31.5</v>
      </c>
      <c r="BJ331">
        <v>78.8</v>
      </c>
      <c r="BK331">
        <v>79</v>
      </c>
      <c r="BL331">
        <v>517.30999999999995</v>
      </c>
      <c r="BM331">
        <v>77.599999999999994</v>
      </c>
      <c r="BN331">
        <v>594.91</v>
      </c>
      <c r="BO331">
        <v>594.91</v>
      </c>
      <c r="BR331" t="s">
        <v>101</v>
      </c>
      <c r="BS331" s="3">
        <v>45736</v>
      </c>
      <c r="BT331" s="4">
        <v>0.48472222222222222</v>
      </c>
      <c r="BU331" t="s">
        <v>416</v>
      </c>
      <c r="BV331" t="s">
        <v>109</v>
      </c>
      <c r="BY331">
        <v>394162.09</v>
      </c>
      <c r="CA331" t="s">
        <v>1140</v>
      </c>
      <c r="CC331" t="s">
        <v>239</v>
      </c>
      <c r="CD331">
        <v>2001</v>
      </c>
      <c r="CE331" t="s">
        <v>111</v>
      </c>
      <c r="CF331" s="3">
        <v>45737</v>
      </c>
      <c r="CI331">
        <v>3</v>
      </c>
      <c r="CJ331">
        <v>2</v>
      </c>
      <c r="CK331">
        <v>41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"GAB2024924"</f>
        <v>GAB2024924</v>
      </c>
      <c r="F332" s="3">
        <v>45734</v>
      </c>
      <c r="G332">
        <v>202512</v>
      </c>
      <c r="H332" t="s">
        <v>97</v>
      </c>
      <c r="I332" t="s">
        <v>98</v>
      </c>
      <c r="J332" t="s">
        <v>99</v>
      </c>
      <c r="K332" t="s">
        <v>78</v>
      </c>
      <c r="L332" t="s">
        <v>408</v>
      </c>
      <c r="M332" t="s">
        <v>409</v>
      </c>
      <c r="N332" t="s">
        <v>410</v>
      </c>
      <c r="O332" t="s">
        <v>82</v>
      </c>
      <c r="P332" t="str">
        <f>"INV-00116208 CT093177         "</f>
        <v xml:space="preserve">INV-00116208 CT093177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30.07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2.2000000000000002</v>
      </c>
      <c r="BK332">
        <v>2.5</v>
      </c>
      <c r="BL332">
        <v>90.81</v>
      </c>
      <c r="BM332">
        <v>13.62</v>
      </c>
      <c r="BN332">
        <v>104.43</v>
      </c>
      <c r="BO332">
        <v>104.43</v>
      </c>
      <c r="BR332" t="s">
        <v>101</v>
      </c>
      <c r="BS332" s="3">
        <v>45735</v>
      </c>
      <c r="BT332" s="4">
        <v>0.37777777777777777</v>
      </c>
      <c r="BU332" t="s">
        <v>1141</v>
      </c>
      <c r="BV332" t="s">
        <v>109</v>
      </c>
      <c r="BY332">
        <v>10903.73</v>
      </c>
      <c r="BZ332" t="s">
        <v>90</v>
      </c>
      <c r="CA332" t="s">
        <v>1142</v>
      </c>
      <c r="CC332" t="s">
        <v>409</v>
      </c>
      <c r="CD332">
        <v>1501</v>
      </c>
      <c r="CE332" t="s">
        <v>149</v>
      </c>
      <c r="CF332" s="3">
        <v>45735</v>
      </c>
      <c r="CI332">
        <v>1</v>
      </c>
      <c r="CJ332">
        <v>1</v>
      </c>
      <c r="CK332">
        <v>21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"GAB2024927"</f>
        <v>GAB2024927</v>
      </c>
      <c r="F333" s="3">
        <v>45734</v>
      </c>
      <c r="G333">
        <v>202512</v>
      </c>
      <c r="H333" t="s">
        <v>97</v>
      </c>
      <c r="I333" t="s">
        <v>98</v>
      </c>
      <c r="J333" t="s">
        <v>99</v>
      </c>
      <c r="K333" t="s">
        <v>78</v>
      </c>
      <c r="L333" t="s">
        <v>97</v>
      </c>
      <c r="M333" t="s">
        <v>98</v>
      </c>
      <c r="N333" t="s">
        <v>893</v>
      </c>
      <c r="O333" t="s">
        <v>82</v>
      </c>
      <c r="P333" t="str">
        <f>"INV-00033700 031186           "</f>
        <v xml:space="preserve">INV-00033700 031186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18.79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1.8</v>
      </c>
      <c r="BK333">
        <v>2</v>
      </c>
      <c r="BL333">
        <v>56.75</v>
      </c>
      <c r="BM333">
        <v>8.51</v>
      </c>
      <c r="BN333">
        <v>65.260000000000005</v>
      </c>
      <c r="BO333">
        <v>65.260000000000005</v>
      </c>
      <c r="BQ333" t="s">
        <v>1143</v>
      </c>
      <c r="BR333" t="s">
        <v>101</v>
      </c>
      <c r="BS333" s="3">
        <v>45735</v>
      </c>
      <c r="BT333" s="4">
        <v>0.4236111111111111</v>
      </c>
      <c r="BU333" t="s">
        <v>1144</v>
      </c>
      <c r="BV333" t="s">
        <v>109</v>
      </c>
      <c r="BY333">
        <v>8884.2000000000007</v>
      </c>
      <c r="BZ333" t="s">
        <v>90</v>
      </c>
      <c r="CA333" t="s">
        <v>1145</v>
      </c>
      <c r="CC333" t="s">
        <v>98</v>
      </c>
      <c r="CD333">
        <v>7579</v>
      </c>
      <c r="CE333" t="s">
        <v>149</v>
      </c>
      <c r="CF333" s="3">
        <v>45736</v>
      </c>
      <c r="CI333">
        <v>1</v>
      </c>
      <c r="CJ333">
        <v>1</v>
      </c>
      <c r="CK333">
        <v>22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"GAB2024928"</f>
        <v>GAB2024928</v>
      </c>
      <c r="F334" s="3">
        <v>45734</v>
      </c>
      <c r="G334">
        <v>202512</v>
      </c>
      <c r="H334" t="s">
        <v>97</v>
      </c>
      <c r="I334" t="s">
        <v>98</v>
      </c>
      <c r="J334" t="s">
        <v>99</v>
      </c>
      <c r="K334" t="s">
        <v>78</v>
      </c>
      <c r="L334" t="s">
        <v>519</v>
      </c>
      <c r="M334" t="s">
        <v>520</v>
      </c>
      <c r="N334" t="s">
        <v>951</v>
      </c>
      <c r="O334" t="s">
        <v>82</v>
      </c>
      <c r="P334" t="str">
        <f>"INV-00033701 031185           "</f>
        <v xml:space="preserve">INV-00033701 031185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48.09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3.8</v>
      </c>
      <c r="BK334">
        <v>4</v>
      </c>
      <c r="BL334">
        <v>145.25</v>
      </c>
      <c r="BM334">
        <v>21.79</v>
      </c>
      <c r="BN334">
        <v>167.04</v>
      </c>
      <c r="BO334">
        <v>167.04</v>
      </c>
      <c r="BQ334" t="s">
        <v>766</v>
      </c>
      <c r="BR334" t="s">
        <v>101</v>
      </c>
      <c r="BS334" s="3">
        <v>45735</v>
      </c>
      <c r="BT334" s="4">
        <v>0.40486111111111112</v>
      </c>
      <c r="BU334" t="s">
        <v>1146</v>
      </c>
      <c r="BV334" t="s">
        <v>109</v>
      </c>
      <c r="BY334">
        <v>19200</v>
      </c>
      <c r="BZ334" t="s">
        <v>90</v>
      </c>
      <c r="CA334" t="s">
        <v>1147</v>
      </c>
      <c r="CC334" t="s">
        <v>520</v>
      </c>
      <c r="CD334">
        <v>6001</v>
      </c>
      <c r="CE334" t="s">
        <v>129</v>
      </c>
      <c r="CF334" s="3">
        <v>45735</v>
      </c>
      <c r="CI334">
        <v>2</v>
      </c>
      <c r="CJ334">
        <v>1</v>
      </c>
      <c r="CK334">
        <v>21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"GAB2024929"</f>
        <v>GAB2024929</v>
      </c>
      <c r="F335" s="3">
        <v>45734</v>
      </c>
      <c r="G335">
        <v>202512</v>
      </c>
      <c r="H335" t="s">
        <v>97</v>
      </c>
      <c r="I335" t="s">
        <v>98</v>
      </c>
      <c r="J335" t="s">
        <v>99</v>
      </c>
      <c r="K335" t="s">
        <v>78</v>
      </c>
      <c r="L335" t="s">
        <v>262</v>
      </c>
      <c r="M335" t="s">
        <v>263</v>
      </c>
      <c r="N335" t="s">
        <v>856</v>
      </c>
      <c r="O335" t="s">
        <v>82</v>
      </c>
      <c r="P335" t="str">
        <f>"INV-00033704 030705           "</f>
        <v xml:space="preserve">INV-00033704 030705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30.07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0.1</v>
      </c>
      <c r="BJ335">
        <v>2.2999999999999998</v>
      </c>
      <c r="BK335">
        <v>2.5</v>
      </c>
      <c r="BL335">
        <v>90.81</v>
      </c>
      <c r="BM335">
        <v>13.62</v>
      </c>
      <c r="BN335">
        <v>104.43</v>
      </c>
      <c r="BO335">
        <v>104.43</v>
      </c>
      <c r="BQ335" t="s">
        <v>356</v>
      </c>
      <c r="BR335" t="s">
        <v>101</v>
      </c>
      <c r="BS335" s="3">
        <v>45735</v>
      </c>
      <c r="BT335" s="4">
        <v>0.43611111111111112</v>
      </c>
      <c r="BU335" t="s">
        <v>1148</v>
      </c>
      <c r="BV335" t="s">
        <v>109</v>
      </c>
      <c r="BY335">
        <v>11457.45</v>
      </c>
      <c r="BZ335" t="s">
        <v>90</v>
      </c>
      <c r="CA335" t="s">
        <v>1149</v>
      </c>
      <c r="CC335" t="s">
        <v>263</v>
      </c>
      <c r="CD335" s="5" t="s">
        <v>444</v>
      </c>
      <c r="CE335" t="s">
        <v>149</v>
      </c>
      <c r="CF335" s="3">
        <v>45735</v>
      </c>
      <c r="CI335">
        <v>1</v>
      </c>
      <c r="CJ335">
        <v>1</v>
      </c>
      <c r="CK335">
        <v>21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"GAB2024931"</f>
        <v>GAB2024931</v>
      </c>
      <c r="F336" s="3">
        <v>45734</v>
      </c>
      <c r="G336">
        <v>202512</v>
      </c>
      <c r="H336" t="s">
        <v>97</v>
      </c>
      <c r="I336" t="s">
        <v>98</v>
      </c>
      <c r="J336" t="s">
        <v>99</v>
      </c>
      <c r="K336" t="s">
        <v>78</v>
      </c>
      <c r="L336" t="s">
        <v>262</v>
      </c>
      <c r="M336" t="s">
        <v>263</v>
      </c>
      <c r="N336" t="s">
        <v>1094</v>
      </c>
      <c r="O336" t="s">
        <v>82</v>
      </c>
      <c r="P336" t="str">
        <f>"INV-00033706 031187           "</f>
        <v xml:space="preserve">INV-00033706 031187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24.06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</v>
      </c>
      <c r="BK336">
        <v>2</v>
      </c>
      <c r="BL336">
        <v>72.66</v>
      </c>
      <c r="BM336">
        <v>10.9</v>
      </c>
      <c r="BN336">
        <v>83.56</v>
      </c>
      <c r="BO336">
        <v>83.56</v>
      </c>
      <c r="BQ336" t="s">
        <v>640</v>
      </c>
      <c r="BR336" t="s">
        <v>101</v>
      </c>
      <c r="BS336" s="3">
        <v>45735</v>
      </c>
      <c r="BT336" s="4">
        <v>0.59375</v>
      </c>
      <c r="BU336" t="s">
        <v>1150</v>
      </c>
      <c r="BV336" t="s">
        <v>87</v>
      </c>
      <c r="BW336" t="s">
        <v>88</v>
      </c>
      <c r="BX336" t="s">
        <v>1151</v>
      </c>
      <c r="BY336">
        <v>10044</v>
      </c>
      <c r="BZ336" t="s">
        <v>90</v>
      </c>
      <c r="CA336" t="s">
        <v>1096</v>
      </c>
      <c r="CC336" t="s">
        <v>263</v>
      </c>
      <c r="CD336" s="5" t="s">
        <v>444</v>
      </c>
      <c r="CE336" t="s">
        <v>149</v>
      </c>
      <c r="CF336" s="3">
        <v>45735</v>
      </c>
      <c r="CI336">
        <v>1</v>
      </c>
      <c r="CJ336">
        <v>1</v>
      </c>
      <c r="CK336">
        <v>21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"GAB2024932"</f>
        <v>GAB2024932</v>
      </c>
      <c r="F337" s="3">
        <v>45734</v>
      </c>
      <c r="G337">
        <v>202512</v>
      </c>
      <c r="H337" t="s">
        <v>97</v>
      </c>
      <c r="I337" t="s">
        <v>98</v>
      </c>
      <c r="J337" t="s">
        <v>99</v>
      </c>
      <c r="K337" t="s">
        <v>78</v>
      </c>
      <c r="L337" t="s">
        <v>112</v>
      </c>
      <c r="M337" t="s">
        <v>113</v>
      </c>
      <c r="N337" t="s">
        <v>482</v>
      </c>
      <c r="O337" t="s">
        <v>82</v>
      </c>
      <c r="P337" t="str">
        <f>"INV-00116176 CT092932         "</f>
        <v xml:space="preserve">INV-00116176 CT092932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48.09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3.8</v>
      </c>
      <c r="BK337">
        <v>4</v>
      </c>
      <c r="BL337">
        <v>145.25</v>
      </c>
      <c r="BM337">
        <v>21.79</v>
      </c>
      <c r="BN337">
        <v>167.04</v>
      </c>
      <c r="BO337">
        <v>167.04</v>
      </c>
      <c r="BQ337" t="s">
        <v>656</v>
      </c>
      <c r="BR337" t="s">
        <v>101</v>
      </c>
      <c r="BS337" s="3">
        <v>45741</v>
      </c>
      <c r="BT337" s="4">
        <v>0.47222222222222221</v>
      </c>
      <c r="BU337" t="s">
        <v>1152</v>
      </c>
      <c r="BV337" t="s">
        <v>87</v>
      </c>
      <c r="BW337" t="s">
        <v>633</v>
      </c>
      <c r="BX337" t="s">
        <v>1153</v>
      </c>
      <c r="BY337">
        <v>19200</v>
      </c>
      <c r="BZ337" t="s">
        <v>90</v>
      </c>
      <c r="CA337" t="s">
        <v>117</v>
      </c>
      <c r="CC337" t="s">
        <v>113</v>
      </c>
      <c r="CD337">
        <v>9301</v>
      </c>
      <c r="CE337" t="s">
        <v>237</v>
      </c>
      <c r="CF337" s="3">
        <v>45742</v>
      </c>
      <c r="CI337">
        <v>2</v>
      </c>
      <c r="CJ337">
        <v>5</v>
      </c>
      <c r="CK337">
        <v>21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"GAB2024933"</f>
        <v>GAB2024933</v>
      </c>
      <c r="F338" s="3">
        <v>45734</v>
      </c>
      <c r="G338">
        <v>202512</v>
      </c>
      <c r="H338" t="s">
        <v>97</v>
      </c>
      <c r="I338" t="s">
        <v>98</v>
      </c>
      <c r="J338" t="s">
        <v>99</v>
      </c>
      <c r="K338" t="s">
        <v>78</v>
      </c>
      <c r="L338" t="s">
        <v>1154</v>
      </c>
      <c r="M338" t="s">
        <v>1155</v>
      </c>
      <c r="N338" t="s">
        <v>1156</v>
      </c>
      <c r="O338" t="s">
        <v>82</v>
      </c>
      <c r="P338" t="str">
        <f>"INV-00033683 031164           "</f>
        <v xml:space="preserve">INV-00033683 031164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57.13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0.4</v>
      </c>
      <c r="BJ338">
        <v>2.4</v>
      </c>
      <c r="BK338">
        <v>2.5</v>
      </c>
      <c r="BL338">
        <v>172.55</v>
      </c>
      <c r="BM338">
        <v>25.88</v>
      </c>
      <c r="BN338">
        <v>198.43</v>
      </c>
      <c r="BO338">
        <v>198.43</v>
      </c>
      <c r="BQ338" t="s">
        <v>1157</v>
      </c>
      <c r="BR338" t="s">
        <v>101</v>
      </c>
      <c r="BS338" s="3">
        <v>45735</v>
      </c>
      <c r="BT338" s="4">
        <v>0.38124999999999998</v>
      </c>
      <c r="BU338" t="s">
        <v>1158</v>
      </c>
      <c r="BV338" t="s">
        <v>109</v>
      </c>
      <c r="BY338">
        <v>12035</v>
      </c>
      <c r="BZ338" t="s">
        <v>90</v>
      </c>
      <c r="CA338" t="s">
        <v>1159</v>
      </c>
      <c r="CC338" t="s">
        <v>1155</v>
      </c>
      <c r="CD338">
        <v>1759</v>
      </c>
      <c r="CE338" t="s">
        <v>352</v>
      </c>
      <c r="CF338" s="3">
        <v>45735</v>
      </c>
      <c r="CI338">
        <v>1</v>
      </c>
      <c r="CJ338">
        <v>1</v>
      </c>
      <c r="CK338">
        <v>23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"GAB2024934"</f>
        <v>GAB2024934</v>
      </c>
      <c r="F339" s="3">
        <v>45734</v>
      </c>
      <c r="G339">
        <v>202512</v>
      </c>
      <c r="H339" t="s">
        <v>97</v>
      </c>
      <c r="I339" t="s">
        <v>98</v>
      </c>
      <c r="J339" t="s">
        <v>99</v>
      </c>
      <c r="K339" t="s">
        <v>78</v>
      </c>
      <c r="L339" t="s">
        <v>262</v>
      </c>
      <c r="M339" t="s">
        <v>263</v>
      </c>
      <c r="N339" t="s">
        <v>646</v>
      </c>
      <c r="O339" t="s">
        <v>82</v>
      </c>
      <c r="P339" t="str">
        <f>"INV-00033691 030975           "</f>
        <v xml:space="preserve">INV-00033691 030975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30.07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0.1</v>
      </c>
      <c r="BJ339">
        <v>2.2999999999999998</v>
      </c>
      <c r="BK339">
        <v>2.5</v>
      </c>
      <c r="BL339">
        <v>90.81</v>
      </c>
      <c r="BM339">
        <v>13.62</v>
      </c>
      <c r="BN339">
        <v>104.43</v>
      </c>
      <c r="BO339">
        <v>104.43</v>
      </c>
      <c r="BQ339" t="s">
        <v>647</v>
      </c>
      <c r="BR339" t="s">
        <v>101</v>
      </c>
      <c r="BS339" s="3">
        <v>45735</v>
      </c>
      <c r="BT339" s="4">
        <v>0.40902777777777777</v>
      </c>
      <c r="BU339" t="s">
        <v>1053</v>
      </c>
      <c r="BV339" t="s">
        <v>109</v>
      </c>
      <c r="BY339">
        <v>11326.98</v>
      </c>
      <c r="BZ339" t="s">
        <v>90</v>
      </c>
      <c r="CA339" t="s">
        <v>500</v>
      </c>
      <c r="CC339" t="s">
        <v>263</v>
      </c>
      <c r="CD339" s="5" t="s">
        <v>650</v>
      </c>
      <c r="CE339" t="s">
        <v>149</v>
      </c>
      <c r="CF339" s="3">
        <v>45735</v>
      </c>
      <c r="CI339">
        <v>1</v>
      </c>
      <c r="CJ339">
        <v>1</v>
      </c>
      <c r="CK339">
        <v>21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"GAB2024935"</f>
        <v>GAB2024935</v>
      </c>
      <c r="F340" s="3">
        <v>45734</v>
      </c>
      <c r="G340">
        <v>202512</v>
      </c>
      <c r="H340" t="s">
        <v>97</v>
      </c>
      <c r="I340" t="s">
        <v>98</v>
      </c>
      <c r="J340" t="s">
        <v>99</v>
      </c>
      <c r="K340" t="s">
        <v>78</v>
      </c>
      <c r="L340" t="s">
        <v>262</v>
      </c>
      <c r="M340" t="s">
        <v>263</v>
      </c>
      <c r="N340" t="s">
        <v>1160</v>
      </c>
      <c r="O340" t="s">
        <v>82</v>
      </c>
      <c r="P340" t="str">
        <f>"INV-00033693 031172           "</f>
        <v xml:space="preserve">INV-00033693 031172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24.06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0.8</v>
      </c>
      <c r="BJ340">
        <v>1.7</v>
      </c>
      <c r="BK340">
        <v>2</v>
      </c>
      <c r="BL340">
        <v>72.66</v>
      </c>
      <c r="BM340">
        <v>10.9</v>
      </c>
      <c r="BN340">
        <v>83.56</v>
      </c>
      <c r="BO340">
        <v>83.56</v>
      </c>
      <c r="BQ340" t="s">
        <v>356</v>
      </c>
      <c r="BR340" t="s">
        <v>101</v>
      </c>
      <c r="BS340" s="3">
        <v>45735</v>
      </c>
      <c r="BT340" s="4">
        <v>0.38750000000000001</v>
      </c>
      <c r="BU340" t="s">
        <v>1161</v>
      </c>
      <c r="BV340" t="s">
        <v>109</v>
      </c>
      <c r="BY340">
        <v>8270.9599999999991</v>
      </c>
      <c r="BZ340" t="s">
        <v>90</v>
      </c>
      <c r="CA340" t="s">
        <v>1162</v>
      </c>
      <c r="CC340" t="s">
        <v>263</v>
      </c>
      <c r="CD340" s="5" t="s">
        <v>444</v>
      </c>
      <c r="CE340" t="s">
        <v>193</v>
      </c>
      <c r="CF340" s="3">
        <v>45735</v>
      </c>
      <c r="CI340">
        <v>1</v>
      </c>
      <c r="CJ340">
        <v>1</v>
      </c>
      <c r="CK340">
        <v>21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"GAB2024936"</f>
        <v>GAB2024936</v>
      </c>
      <c r="F341" s="3">
        <v>45734</v>
      </c>
      <c r="G341">
        <v>202512</v>
      </c>
      <c r="H341" t="s">
        <v>97</v>
      </c>
      <c r="I341" t="s">
        <v>98</v>
      </c>
      <c r="J341" t="s">
        <v>99</v>
      </c>
      <c r="K341" t="s">
        <v>78</v>
      </c>
      <c r="L341" t="s">
        <v>238</v>
      </c>
      <c r="M341" t="s">
        <v>239</v>
      </c>
      <c r="N341" t="s">
        <v>1013</v>
      </c>
      <c r="O341" t="s">
        <v>82</v>
      </c>
      <c r="P341" t="str">
        <f>"INV-00033694 030970           "</f>
        <v xml:space="preserve">INV-00033694 030970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36.08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2.7</v>
      </c>
      <c r="BK341">
        <v>3</v>
      </c>
      <c r="BL341">
        <v>108.96</v>
      </c>
      <c r="BM341">
        <v>16.34</v>
      </c>
      <c r="BN341">
        <v>125.3</v>
      </c>
      <c r="BO341">
        <v>125.3</v>
      </c>
      <c r="BQ341" t="s">
        <v>1014</v>
      </c>
      <c r="BR341" t="s">
        <v>101</v>
      </c>
      <c r="BS341" s="3">
        <v>45735</v>
      </c>
      <c r="BT341" s="4">
        <v>0.38263888888888886</v>
      </c>
      <c r="BU341" t="s">
        <v>1163</v>
      </c>
      <c r="BV341" t="s">
        <v>109</v>
      </c>
      <c r="BY341">
        <v>13633.15</v>
      </c>
      <c r="BZ341" t="s">
        <v>90</v>
      </c>
      <c r="CA341" t="s">
        <v>957</v>
      </c>
      <c r="CC341" t="s">
        <v>239</v>
      </c>
      <c r="CD341">
        <v>2191</v>
      </c>
      <c r="CE341" t="s">
        <v>129</v>
      </c>
      <c r="CF341" s="3">
        <v>45735</v>
      </c>
      <c r="CI341">
        <v>1</v>
      </c>
      <c r="CJ341">
        <v>1</v>
      </c>
      <c r="CK341">
        <v>21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"GAB2024938"</f>
        <v>GAB2024938</v>
      </c>
      <c r="F342" s="3">
        <v>45734</v>
      </c>
      <c r="G342">
        <v>202512</v>
      </c>
      <c r="H342" t="s">
        <v>97</v>
      </c>
      <c r="I342" t="s">
        <v>98</v>
      </c>
      <c r="J342" t="s">
        <v>99</v>
      </c>
      <c r="K342" t="s">
        <v>78</v>
      </c>
      <c r="L342" t="s">
        <v>238</v>
      </c>
      <c r="M342" t="s">
        <v>239</v>
      </c>
      <c r="N342" t="s">
        <v>477</v>
      </c>
      <c r="O342" t="s">
        <v>82</v>
      </c>
      <c r="P342" t="str">
        <f>"INV-00116178 CT092905         "</f>
        <v xml:space="preserve">INV-00116178 CT092905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36.08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2.7</v>
      </c>
      <c r="BK342">
        <v>3</v>
      </c>
      <c r="BL342">
        <v>108.96</v>
      </c>
      <c r="BM342">
        <v>16.34</v>
      </c>
      <c r="BN342">
        <v>125.3</v>
      </c>
      <c r="BO342">
        <v>125.3</v>
      </c>
      <c r="BQ342" t="s">
        <v>478</v>
      </c>
      <c r="BR342" t="s">
        <v>101</v>
      </c>
      <c r="BS342" s="3">
        <v>45735</v>
      </c>
      <c r="BT342" s="4">
        <v>0.35416666666666669</v>
      </c>
      <c r="BU342" t="s">
        <v>1164</v>
      </c>
      <c r="BV342" t="s">
        <v>109</v>
      </c>
      <c r="BY342">
        <v>13297.06</v>
      </c>
      <c r="BZ342" t="s">
        <v>90</v>
      </c>
      <c r="CA342" t="s">
        <v>1165</v>
      </c>
      <c r="CC342" t="s">
        <v>239</v>
      </c>
      <c r="CD342">
        <v>2021</v>
      </c>
      <c r="CE342" t="s">
        <v>237</v>
      </c>
      <c r="CF342" s="3">
        <v>45736</v>
      </c>
      <c r="CI342">
        <v>1</v>
      </c>
      <c r="CJ342">
        <v>1</v>
      </c>
      <c r="CK342">
        <v>21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"GAB2024941"</f>
        <v>GAB2024941</v>
      </c>
      <c r="F343" s="3">
        <v>45734</v>
      </c>
      <c r="G343">
        <v>202512</v>
      </c>
      <c r="H343" t="s">
        <v>97</v>
      </c>
      <c r="I343" t="s">
        <v>98</v>
      </c>
      <c r="J343" t="s">
        <v>99</v>
      </c>
      <c r="K343" t="s">
        <v>78</v>
      </c>
      <c r="L343" t="s">
        <v>97</v>
      </c>
      <c r="M343" t="s">
        <v>98</v>
      </c>
      <c r="N343" t="s">
        <v>220</v>
      </c>
      <c r="O343" t="s">
        <v>82</v>
      </c>
      <c r="P343" t="str">
        <f>"INV-00116192 CT093106         "</f>
        <v xml:space="preserve">INV-00116192 CT093106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18.79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</v>
      </c>
      <c r="BK343">
        <v>2</v>
      </c>
      <c r="BL343">
        <v>56.75</v>
      </c>
      <c r="BM343">
        <v>8.51</v>
      </c>
      <c r="BN343">
        <v>65.260000000000005</v>
      </c>
      <c r="BO343">
        <v>65.260000000000005</v>
      </c>
      <c r="BQ343" t="s">
        <v>221</v>
      </c>
      <c r="BR343" t="s">
        <v>101</v>
      </c>
      <c r="BS343" s="3">
        <v>45735</v>
      </c>
      <c r="BT343" s="4">
        <v>0.43333333333333335</v>
      </c>
      <c r="BU343" t="s">
        <v>990</v>
      </c>
      <c r="BV343" t="s">
        <v>109</v>
      </c>
      <c r="BY343">
        <v>10137.1</v>
      </c>
      <c r="BZ343" t="s">
        <v>90</v>
      </c>
      <c r="CA343" t="s">
        <v>962</v>
      </c>
      <c r="CC343" t="s">
        <v>98</v>
      </c>
      <c r="CD343">
        <v>7800</v>
      </c>
      <c r="CE343" t="s">
        <v>149</v>
      </c>
      <c r="CF343" s="3">
        <v>45736</v>
      </c>
      <c r="CI343">
        <v>1</v>
      </c>
      <c r="CJ343">
        <v>1</v>
      </c>
      <c r="CK343">
        <v>22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"GAB2024942"</f>
        <v>GAB2024942</v>
      </c>
      <c r="F344" s="3">
        <v>45734</v>
      </c>
      <c r="G344">
        <v>202512</v>
      </c>
      <c r="H344" t="s">
        <v>97</v>
      </c>
      <c r="I344" t="s">
        <v>98</v>
      </c>
      <c r="J344" t="s">
        <v>99</v>
      </c>
      <c r="K344" t="s">
        <v>78</v>
      </c>
      <c r="L344" t="s">
        <v>491</v>
      </c>
      <c r="M344" t="s">
        <v>492</v>
      </c>
      <c r="N344" t="s">
        <v>524</v>
      </c>
      <c r="O344" t="s">
        <v>82</v>
      </c>
      <c r="P344" t="str">
        <f>"INV-00116193 CT093234         "</f>
        <v xml:space="preserve">INV-00116193 CT093234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30.07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2.1</v>
      </c>
      <c r="BK344">
        <v>2.5</v>
      </c>
      <c r="BL344">
        <v>90.81</v>
      </c>
      <c r="BM344">
        <v>13.62</v>
      </c>
      <c r="BN344">
        <v>104.43</v>
      </c>
      <c r="BO344">
        <v>104.43</v>
      </c>
      <c r="BR344" t="s">
        <v>101</v>
      </c>
      <c r="BS344" s="3">
        <v>45735</v>
      </c>
      <c r="BT344" s="4">
        <v>0.4236111111111111</v>
      </c>
      <c r="BU344" t="s">
        <v>1016</v>
      </c>
      <c r="BV344" t="s">
        <v>109</v>
      </c>
      <c r="BY344">
        <v>10254.299999999999</v>
      </c>
      <c r="BZ344" t="s">
        <v>90</v>
      </c>
      <c r="CA344" t="s">
        <v>1019</v>
      </c>
      <c r="CC344" t="s">
        <v>492</v>
      </c>
      <c r="CD344">
        <v>1725</v>
      </c>
      <c r="CE344" t="s">
        <v>137</v>
      </c>
      <c r="CF344" s="3">
        <v>45735</v>
      </c>
      <c r="CI344">
        <v>1</v>
      </c>
      <c r="CJ344">
        <v>1</v>
      </c>
      <c r="CK344">
        <v>21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"GAB2024943"</f>
        <v>GAB2024943</v>
      </c>
      <c r="F345" s="3">
        <v>45734</v>
      </c>
      <c r="G345">
        <v>202512</v>
      </c>
      <c r="H345" t="s">
        <v>97</v>
      </c>
      <c r="I345" t="s">
        <v>98</v>
      </c>
      <c r="J345" t="s">
        <v>99</v>
      </c>
      <c r="K345" t="s">
        <v>78</v>
      </c>
      <c r="L345" t="s">
        <v>280</v>
      </c>
      <c r="M345" t="s">
        <v>281</v>
      </c>
      <c r="N345" t="s">
        <v>366</v>
      </c>
      <c r="O345" t="s">
        <v>82</v>
      </c>
      <c r="P345" t="str">
        <f>"INV-00116194 CT093243         "</f>
        <v xml:space="preserve">INV-00116194 CT093243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48.09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3.8</v>
      </c>
      <c r="BK345">
        <v>4</v>
      </c>
      <c r="BL345">
        <v>145.25</v>
      </c>
      <c r="BM345">
        <v>21.79</v>
      </c>
      <c r="BN345">
        <v>167.04</v>
      </c>
      <c r="BO345">
        <v>167.04</v>
      </c>
      <c r="BQ345" t="s">
        <v>367</v>
      </c>
      <c r="BR345" t="s">
        <v>101</v>
      </c>
      <c r="BS345" s="3">
        <v>45736</v>
      </c>
      <c r="BT345" s="4">
        <v>0.41666666666666669</v>
      </c>
      <c r="BU345" t="s">
        <v>368</v>
      </c>
      <c r="BV345" t="s">
        <v>87</v>
      </c>
      <c r="BY345">
        <v>19200</v>
      </c>
      <c r="BZ345" t="s">
        <v>90</v>
      </c>
      <c r="CA345" t="s">
        <v>284</v>
      </c>
      <c r="CC345" t="s">
        <v>281</v>
      </c>
      <c r="CD345">
        <v>3201</v>
      </c>
      <c r="CE345" t="s">
        <v>213</v>
      </c>
      <c r="CF345" s="3">
        <v>45736</v>
      </c>
      <c r="CI345">
        <v>1</v>
      </c>
      <c r="CJ345">
        <v>2</v>
      </c>
      <c r="CK345">
        <v>21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"GAB2024944"</f>
        <v>GAB2024944</v>
      </c>
      <c r="F346" s="3">
        <v>45734</v>
      </c>
      <c r="G346">
        <v>202512</v>
      </c>
      <c r="H346" t="s">
        <v>97</v>
      </c>
      <c r="I346" t="s">
        <v>98</v>
      </c>
      <c r="J346" t="s">
        <v>99</v>
      </c>
      <c r="K346" t="s">
        <v>78</v>
      </c>
      <c r="L346" t="s">
        <v>299</v>
      </c>
      <c r="M346" t="s">
        <v>300</v>
      </c>
      <c r="N346" t="s">
        <v>1166</v>
      </c>
      <c r="O346" t="s">
        <v>82</v>
      </c>
      <c r="P346" t="str">
        <f>"INV-00116180 CT092864         "</f>
        <v xml:space="preserve">INV-00116180 CT092864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30.07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2.1</v>
      </c>
      <c r="BK346">
        <v>2.5</v>
      </c>
      <c r="BL346">
        <v>90.81</v>
      </c>
      <c r="BM346">
        <v>13.62</v>
      </c>
      <c r="BN346">
        <v>104.43</v>
      </c>
      <c r="BO346">
        <v>104.43</v>
      </c>
      <c r="BQ346" t="s">
        <v>302</v>
      </c>
      <c r="BR346" t="s">
        <v>101</v>
      </c>
      <c r="BS346" s="3">
        <v>45740</v>
      </c>
      <c r="BT346" s="4">
        <v>0.53680555555555554</v>
      </c>
      <c r="BU346" t="s">
        <v>784</v>
      </c>
      <c r="BV346" t="s">
        <v>87</v>
      </c>
      <c r="BY346">
        <v>10267.6</v>
      </c>
      <c r="BZ346" t="s">
        <v>90</v>
      </c>
      <c r="CA346" t="s">
        <v>785</v>
      </c>
      <c r="CC346" t="s">
        <v>300</v>
      </c>
      <c r="CD346">
        <v>2194</v>
      </c>
      <c r="CE346" t="s">
        <v>149</v>
      </c>
      <c r="CI346">
        <v>1</v>
      </c>
      <c r="CJ346">
        <v>4</v>
      </c>
      <c r="CK346">
        <v>21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"GAB2024945"</f>
        <v>GAB2024945</v>
      </c>
      <c r="F347" s="3">
        <v>45734</v>
      </c>
      <c r="G347">
        <v>202512</v>
      </c>
      <c r="H347" t="s">
        <v>97</v>
      </c>
      <c r="I347" t="s">
        <v>98</v>
      </c>
      <c r="J347" t="s">
        <v>99</v>
      </c>
      <c r="K347" t="s">
        <v>78</v>
      </c>
      <c r="L347" t="s">
        <v>697</v>
      </c>
      <c r="M347" t="s">
        <v>698</v>
      </c>
      <c r="N347" t="s">
        <v>699</v>
      </c>
      <c r="O347" t="s">
        <v>82</v>
      </c>
      <c r="P347" t="str">
        <f>"INV-00116183 CT093229         "</f>
        <v xml:space="preserve">INV-00116183 CT093229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57.13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2.4</v>
      </c>
      <c r="BK347">
        <v>2.5</v>
      </c>
      <c r="BL347">
        <v>172.55</v>
      </c>
      <c r="BM347">
        <v>25.88</v>
      </c>
      <c r="BN347">
        <v>198.43</v>
      </c>
      <c r="BO347">
        <v>198.43</v>
      </c>
      <c r="BQ347" t="s">
        <v>700</v>
      </c>
      <c r="BR347" t="s">
        <v>101</v>
      </c>
      <c r="BS347" s="3">
        <v>45740</v>
      </c>
      <c r="BT347" s="4">
        <v>0.59236111111111112</v>
      </c>
      <c r="BU347" t="s">
        <v>1167</v>
      </c>
      <c r="BV347" t="s">
        <v>109</v>
      </c>
      <c r="BY347">
        <v>12145.05</v>
      </c>
      <c r="BZ347" t="s">
        <v>90</v>
      </c>
      <c r="CA347" t="s">
        <v>1168</v>
      </c>
      <c r="CC347" t="s">
        <v>698</v>
      </c>
      <c r="CD347">
        <v>8800</v>
      </c>
      <c r="CE347" t="s">
        <v>129</v>
      </c>
      <c r="CF347" s="3">
        <v>45741</v>
      </c>
      <c r="CI347">
        <v>3</v>
      </c>
      <c r="CJ347">
        <v>4</v>
      </c>
      <c r="CK347">
        <v>23</v>
      </c>
      <c r="CL347" t="s">
        <v>87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"GAB2024947"</f>
        <v>GAB2024947</v>
      </c>
      <c r="F348" s="3">
        <v>45734</v>
      </c>
      <c r="G348">
        <v>202512</v>
      </c>
      <c r="H348" t="s">
        <v>97</v>
      </c>
      <c r="I348" t="s">
        <v>98</v>
      </c>
      <c r="J348" t="s">
        <v>99</v>
      </c>
      <c r="K348" t="s">
        <v>78</v>
      </c>
      <c r="L348" t="s">
        <v>182</v>
      </c>
      <c r="M348" t="s">
        <v>183</v>
      </c>
      <c r="N348" t="s">
        <v>1169</v>
      </c>
      <c r="O348" t="s">
        <v>82</v>
      </c>
      <c r="P348" t="str">
        <f>"INV-00116186 CT093175         "</f>
        <v xml:space="preserve">INV-00116186 CT093175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30.07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2.4</v>
      </c>
      <c r="BK348">
        <v>2.5</v>
      </c>
      <c r="BL348">
        <v>90.81</v>
      </c>
      <c r="BM348">
        <v>13.62</v>
      </c>
      <c r="BN348">
        <v>104.43</v>
      </c>
      <c r="BO348">
        <v>104.43</v>
      </c>
      <c r="BR348" t="s">
        <v>101</v>
      </c>
      <c r="BS348" s="3">
        <v>45736</v>
      </c>
      <c r="BT348" s="4">
        <v>0.42152777777777778</v>
      </c>
      <c r="BU348" t="s">
        <v>1170</v>
      </c>
      <c r="BV348" t="s">
        <v>109</v>
      </c>
      <c r="BY348">
        <v>12000</v>
      </c>
      <c r="BZ348" t="s">
        <v>90</v>
      </c>
      <c r="CA348" t="s">
        <v>1171</v>
      </c>
      <c r="CC348" t="s">
        <v>183</v>
      </c>
      <c r="CD348">
        <v>3610</v>
      </c>
      <c r="CE348" t="s">
        <v>149</v>
      </c>
      <c r="CF348" s="3">
        <v>45740</v>
      </c>
      <c r="CI348">
        <v>2</v>
      </c>
      <c r="CJ348">
        <v>2</v>
      </c>
      <c r="CK348">
        <v>21</v>
      </c>
      <c r="CL348" t="s">
        <v>87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"GAB2024951"</f>
        <v>GAB2024951</v>
      </c>
      <c r="F349" s="3">
        <v>45734</v>
      </c>
      <c r="G349">
        <v>202512</v>
      </c>
      <c r="H349" t="s">
        <v>97</v>
      </c>
      <c r="I349" t="s">
        <v>98</v>
      </c>
      <c r="J349" t="s">
        <v>99</v>
      </c>
      <c r="K349" t="s">
        <v>78</v>
      </c>
      <c r="L349" t="s">
        <v>244</v>
      </c>
      <c r="M349" t="s">
        <v>245</v>
      </c>
      <c r="N349" t="s">
        <v>246</v>
      </c>
      <c r="O349" t="s">
        <v>82</v>
      </c>
      <c r="P349" t="str">
        <f>"INV-00116181 00116182 CT093240"</f>
        <v>INV-00116181 00116182 CT093240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46.61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0.5</v>
      </c>
      <c r="BJ349">
        <v>1.9</v>
      </c>
      <c r="BK349">
        <v>2</v>
      </c>
      <c r="BL349">
        <v>140.77000000000001</v>
      </c>
      <c r="BM349">
        <v>21.12</v>
      </c>
      <c r="BN349">
        <v>161.88999999999999</v>
      </c>
      <c r="BO349">
        <v>161.88999999999999</v>
      </c>
      <c r="BQ349" t="s">
        <v>247</v>
      </c>
      <c r="BR349" t="s">
        <v>101</v>
      </c>
      <c r="BS349" s="3">
        <v>45735</v>
      </c>
      <c r="BT349" s="4">
        <v>0.4236111111111111</v>
      </c>
      <c r="BU349" t="s">
        <v>386</v>
      </c>
      <c r="BV349" t="s">
        <v>109</v>
      </c>
      <c r="BY349">
        <v>9742.43</v>
      </c>
      <c r="BZ349" t="s">
        <v>90</v>
      </c>
      <c r="CA349" t="s">
        <v>387</v>
      </c>
      <c r="CC349" t="s">
        <v>245</v>
      </c>
      <c r="CD349" s="5" t="s">
        <v>249</v>
      </c>
      <c r="CE349" t="s">
        <v>854</v>
      </c>
      <c r="CF349" s="3">
        <v>45736</v>
      </c>
      <c r="CI349">
        <v>2</v>
      </c>
      <c r="CJ349">
        <v>1</v>
      </c>
      <c r="CK349">
        <v>23</v>
      </c>
      <c r="CL349" t="s">
        <v>87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"GAB2024952"</f>
        <v>GAB2024952</v>
      </c>
      <c r="F350" s="3">
        <v>45734</v>
      </c>
      <c r="G350">
        <v>202512</v>
      </c>
      <c r="H350" t="s">
        <v>97</v>
      </c>
      <c r="I350" t="s">
        <v>98</v>
      </c>
      <c r="J350" t="s">
        <v>99</v>
      </c>
      <c r="K350" t="s">
        <v>78</v>
      </c>
      <c r="L350" t="s">
        <v>124</v>
      </c>
      <c r="M350" t="s">
        <v>125</v>
      </c>
      <c r="N350" t="s">
        <v>126</v>
      </c>
      <c r="O350" t="s">
        <v>82</v>
      </c>
      <c r="P350" t="str">
        <f>"inv-00116177 00116170 CT092879"</f>
        <v>inv-00116177 00116170 CT092879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24.06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0.5</v>
      </c>
      <c r="BJ350">
        <v>1.7</v>
      </c>
      <c r="BK350">
        <v>2</v>
      </c>
      <c r="BL350">
        <v>72.66</v>
      </c>
      <c r="BM350">
        <v>10.9</v>
      </c>
      <c r="BN350">
        <v>83.56</v>
      </c>
      <c r="BO350">
        <v>83.56</v>
      </c>
      <c r="BR350" t="s">
        <v>101</v>
      </c>
      <c r="BS350" s="3">
        <v>45735</v>
      </c>
      <c r="BT350" s="4">
        <v>0.42916666666666664</v>
      </c>
      <c r="BU350" t="s">
        <v>127</v>
      </c>
      <c r="BV350" t="s">
        <v>109</v>
      </c>
      <c r="BY350">
        <v>8350.49</v>
      </c>
      <c r="BZ350" t="s">
        <v>90</v>
      </c>
      <c r="CA350" t="s">
        <v>128</v>
      </c>
      <c r="CC350" t="s">
        <v>125</v>
      </c>
      <c r="CD350">
        <v>2146</v>
      </c>
      <c r="CE350" t="s">
        <v>1172</v>
      </c>
      <c r="CF350" s="3">
        <v>45735</v>
      </c>
      <c r="CI350">
        <v>1</v>
      </c>
      <c r="CJ350">
        <v>1</v>
      </c>
      <c r="CK350">
        <v>21</v>
      </c>
      <c r="CL350" t="s">
        <v>87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"GAB2024953"</f>
        <v>GAB2024953</v>
      </c>
      <c r="F351" s="3">
        <v>45734</v>
      </c>
      <c r="G351">
        <v>202512</v>
      </c>
      <c r="H351" t="s">
        <v>97</v>
      </c>
      <c r="I351" t="s">
        <v>98</v>
      </c>
      <c r="J351" t="s">
        <v>99</v>
      </c>
      <c r="K351" t="s">
        <v>78</v>
      </c>
      <c r="L351" t="s">
        <v>502</v>
      </c>
      <c r="M351" t="s">
        <v>503</v>
      </c>
      <c r="N351" t="s">
        <v>801</v>
      </c>
      <c r="O351" t="s">
        <v>82</v>
      </c>
      <c r="P351" t="str">
        <f>"INV-00033703 00033702 031091 0"</f>
        <v>INV-00033703 00033702 031091 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48.09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3.8</v>
      </c>
      <c r="BK351">
        <v>4</v>
      </c>
      <c r="BL351">
        <v>145.25</v>
      </c>
      <c r="BM351">
        <v>21.79</v>
      </c>
      <c r="BN351">
        <v>167.04</v>
      </c>
      <c r="BO351">
        <v>167.04</v>
      </c>
      <c r="BQ351" t="s">
        <v>802</v>
      </c>
      <c r="BR351" t="s">
        <v>101</v>
      </c>
      <c r="BS351" s="3">
        <v>45735</v>
      </c>
      <c r="BT351" s="4">
        <v>0.45833333333333331</v>
      </c>
      <c r="BU351" t="s">
        <v>1173</v>
      </c>
      <c r="BV351" t="s">
        <v>87</v>
      </c>
      <c r="BY351">
        <v>19200</v>
      </c>
      <c r="BZ351" t="s">
        <v>90</v>
      </c>
      <c r="CC351" t="s">
        <v>503</v>
      </c>
      <c r="CD351">
        <v>5200</v>
      </c>
      <c r="CE351" t="s">
        <v>129</v>
      </c>
      <c r="CF351" s="3">
        <v>45736</v>
      </c>
      <c r="CI351">
        <v>1</v>
      </c>
      <c r="CJ351">
        <v>1</v>
      </c>
      <c r="CK351">
        <v>21</v>
      </c>
      <c r="CL351" t="s">
        <v>87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"GAB2024954"</f>
        <v>GAB2024954</v>
      </c>
      <c r="F352" s="3">
        <v>45734</v>
      </c>
      <c r="G352">
        <v>202512</v>
      </c>
      <c r="H352" t="s">
        <v>97</v>
      </c>
      <c r="I352" t="s">
        <v>98</v>
      </c>
      <c r="J352" t="s">
        <v>99</v>
      </c>
      <c r="K352" t="s">
        <v>78</v>
      </c>
      <c r="L352" t="s">
        <v>339</v>
      </c>
      <c r="M352" t="s">
        <v>340</v>
      </c>
      <c r="N352" t="s">
        <v>935</v>
      </c>
      <c r="O352" t="s">
        <v>82</v>
      </c>
      <c r="P352" t="str">
        <f>"INV-00116212 CT093252         "</f>
        <v xml:space="preserve">INV-00116212 CT093252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18.79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0.5</v>
      </c>
      <c r="BJ352">
        <v>3.4</v>
      </c>
      <c r="BK352">
        <v>4</v>
      </c>
      <c r="BL352">
        <v>56.75</v>
      </c>
      <c r="BM352">
        <v>8.51</v>
      </c>
      <c r="BN352">
        <v>65.260000000000005</v>
      </c>
      <c r="BO352">
        <v>65.260000000000005</v>
      </c>
      <c r="BQ352" t="s">
        <v>1174</v>
      </c>
      <c r="BR352" t="s">
        <v>101</v>
      </c>
      <c r="BS352" s="3">
        <v>45735</v>
      </c>
      <c r="BT352" s="4">
        <v>0.40069444444444446</v>
      </c>
      <c r="BU352" t="s">
        <v>1175</v>
      </c>
      <c r="BV352" t="s">
        <v>109</v>
      </c>
      <c r="BY352">
        <v>17062.5</v>
      </c>
      <c r="BZ352" t="s">
        <v>90</v>
      </c>
      <c r="CA352" t="s">
        <v>380</v>
      </c>
      <c r="CC352" t="s">
        <v>340</v>
      </c>
      <c r="CD352">
        <v>7600</v>
      </c>
      <c r="CE352" t="s">
        <v>352</v>
      </c>
      <c r="CF352" s="3">
        <v>45736</v>
      </c>
      <c r="CI352">
        <v>1</v>
      </c>
      <c r="CJ352">
        <v>1</v>
      </c>
      <c r="CK352">
        <v>22</v>
      </c>
      <c r="CL352" t="s">
        <v>87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"GAB2024955"</f>
        <v>GAB2024955</v>
      </c>
      <c r="F353" s="3">
        <v>45734</v>
      </c>
      <c r="G353">
        <v>202512</v>
      </c>
      <c r="H353" t="s">
        <v>97</v>
      </c>
      <c r="I353" t="s">
        <v>98</v>
      </c>
      <c r="J353" t="s">
        <v>99</v>
      </c>
      <c r="K353" t="s">
        <v>78</v>
      </c>
      <c r="L353" t="s">
        <v>238</v>
      </c>
      <c r="M353" t="s">
        <v>239</v>
      </c>
      <c r="N353" t="s">
        <v>1176</v>
      </c>
      <c r="O353" t="s">
        <v>82</v>
      </c>
      <c r="P353" t="str">
        <f>"INV-00116191 CT093235         "</f>
        <v xml:space="preserve">INV-00116191 CT093235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36.08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16.739999999999998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0.3</v>
      </c>
      <c r="BJ353">
        <v>2.6</v>
      </c>
      <c r="BK353">
        <v>3</v>
      </c>
      <c r="BL353">
        <v>125.7</v>
      </c>
      <c r="BM353">
        <v>18.86</v>
      </c>
      <c r="BN353">
        <v>144.56</v>
      </c>
      <c r="BO353">
        <v>144.56</v>
      </c>
      <c r="BQ353" t="s">
        <v>1177</v>
      </c>
      <c r="BR353" t="s">
        <v>101</v>
      </c>
      <c r="BS353" s="3">
        <v>45735</v>
      </c>
      <c r="BT353" s="4">
        <v>0.47291666666666665</v>
      </c>
      <c r="BU353" t="s">
        <v>1178</v>
      </c>
      <c r="BV353" t="s">
        <v>109</v>
      </c>
      <c r="BY353">
        <v>13145.3</v>
      </c>
      <c r="BZ353" t="s">
        <v>296</v>
      </c>
      <c r="CA353" t="s">
        <v>1179</v>
      </c>
      <c r="CC353" t="s">
        <v>239</v>
      </c>
      <c r="CD353">
        <v>1863</v>
      </c>
      <c r="CE353" t="s">
        <v>129</v>
      </c>
      <c r="CF353" s="3">
        <v>45736</v>
      </c>
      <c r="CI353">
        <v>0</v>
      </c>
      <c r="CJ353">
        <v>0</v>
      </c>
      <c r="CK353">
        <v>21</v>
      </c>
      <c r="CL353" t="s">
        <v>87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"GAB2024956"</f>
        <v>GAB2024956</v>
      </c>
      <c r="F354" s="3">
        <v>45734</v>
      </c>
      <c r="G354">
        <v>202512</v>
      </c>
      <c r="H354" t="s">
        <v>97</v>
      </c>
      <c r="I354" t="s">
        <v>98</v>
      </c>
      <c r="J354" t="s">
        <v>99</v>
      </c>
      <c r="K354" t="s">
        <v>78</v>
      </c>
      <c r="L354" t="s">
        <v>97</v>
      </c>
      <c r="M354" t="s">
        <v>98</v>
      </c>
      <c r="N354" t="s">
        <v>553</v>
      </c>
      <c r="O354" t="s">
        <v>82</v>
      </c>
      <c r="P354" t="str">
        <f>"INV-00116213 CT093260         "</f>
        <v xml:space="preserve">INV-00116213 CT093260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18.79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0.3</v>
      </c>
      <c r="BJ354">
        <v>2.6</v>
      </c>
      <c r="BK354">
        <v>3</v>
      </c>
      <c r="BL354">
        <v>56.75</v>
      </c>
      <c r="BM354">
        <v>8.51</v>
      </c>
      <c r="BN354">
        <v>65.260000000000005</v>
      </c>
      <c r="BO354">
        <v>65.260000000000005</v>
      </c>
      <c r="BQ354" t="s">
        <v>554</v>
      </c>
      <c r="BR354" t="s">
        <v>101</v>
      </c>
      <c r="BS354" s="3">
        <v>45735</v>
      </c>
      <c r="BT354" s="4">
        <v>0.45694444444444443</v>
      </c>
      <c r="BU354" t="s">
        <v>1065</v>
      </c>
      <c r="BV354" t="s">
        <v>109</v>
      </c>
      <c r="BY354">
        <v>12926.7</v>
      </c>
      <c r="BZ354" t="s">
        <v>90</v>
      </c>
      <c r="CA354" t="s">
        <v>1066</v>
      </c>
      <c r="CC354" t="s">
        <v>98</v>
      </c>
      <c r="CD354">
        <v>7975</v>
      </c>
      <c r="CE354" t="s">
        <v>213</v>
      </c>
      <c r="CF354" s="3">
        <v>45736</v>
      </c>
      <c r="CI354">
        <v>1</v>
      </c>
      <c r="CJ354">
        <v>1</v>
      </c>
      <c r="CK354">
        <v>22</v>
      </c>
      <c r="CL354" t="s">
        <v>87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"GAB2024957"</f>
        <v>GAB2024957</v>
      </c>
      <c r="F355" s="3">
        <v>45734</v>
      </c>
      <c r="G355">
        <v>202512</v>
      </c>
      <c r="H355" t="s">
        <v>97</v>
      </c>
      <c r="I355" t="s">
        <v>98</v>
      </c>
      <c r="J355" t="s">
        <v>99</v>
      </c>
      <c r="K355" t="s">
        <v>78</v>
      </c>
      <c r="L355" t="s">
        <v>392</v>
      </c>
      <c r="M355" t="s">
        <v>393</v>
      </c>
      <c r="N355" t="s">
        <v>394</v>
      </c>
      <c r="O355" t="s">
        <v>82</v>
      </c>
      <c r="P355" t="str">
        <f>"INV-00116206 00116211 CT093189"</f>
        <v>INV-00116206 00116211 CT093189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57.13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2.4</v>
      </c>
      <c r="BK355">
        <v>2.5</v>
      </c>
      <c r="BL355">
        <v>172.55</v>
      </c>
      <c r="BM355">
        <v>25.88</v>
      </c>
      <c r="BN355">
        <v>198.43</v>
      </c>
      <c r="BO355">
        <v>198.43</v>
      </c>
      <c r="BQ355" t="s">
        <v>395</v>
      </c>
      <c r="BR355" t="s">
        <v>101</v>
      </c>
      <c r="BS355" s="3">
        <v>45736</v>
      </c>
      <c r="BT355" s="4">
        <v>0.44027777777777777</v>
      </c>
      <c r="BU355" t="s">
        <v>1180</v>
      </c>
      <c r="BV355" t="s">
        <v>109</v>
      </c>
      <c r="BY355">
        <v>12000</v>
      </c>
      <c r="BZ355" t="s">
        <v>90</v>
      </c>
      <c r="CA355" t="s">
        <v>1181</v>
      </c>
      <c r="CC355" t="s">
        <v>393</v>
      </c>
      <c r="CD355">
        <v>4420</v>
      </c>
      <c r="CE355" t="s">
        <v>137</v>
      </c>
      <c r="CF355" s="3">
        <v>45738</v>
      </c>
      <c r="CI355">
        <v>2</v>
      </c>
      <c r="CJ355">
        <v>2</v>
      </c>
      <c r="CK355">
        <v>23</v>
      </c>
      <c r="CL355" t="s">
        <v>87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"GAB2024959"</f>
        <v>GAB2024959</v>
      </c>
      <c r="F356" s="3">
        <v>45734</v>
      </c>
      <c r="G356">
        <v>202512</v>
      </c>
      <c r="H356" t="s">
        <v>97</v>
      </c>
      <c r="I356" t="s">
        <v>98</v>
      </c>
      <c r="J356" t="s">
        <v>99</v>
      </c>
      <c r="K356" t="s">
        <v>78</v>
      </c>
      <c r="L356" t="s">
        <v>144</v>
      </c>
      <c r="M356" t="s">
        <v>145</v>
      </c>
      <c r="N356" t="s">
        <v>156</v>
      </c>
      <c r="O356" t="s">
        <v>82</v>
      </c>
      <c r="P356" t="str">
        <f>"INV-00116218 CT092843         "</f>
        <v xml:space="preserve">INV-00116218 CT092843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57.13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2.1</v>
      </c>
      <c r="BK356">
        <v>2.5</v>
      </c>
      <c r="BL356">
        <v>172.55</v>
      </c>
      <c r="BM356">
        <v>25.88</v>
      </c>
      <c r="BN356">
        <v>198.43</v>
      </c>
      <c r="BO356">
        <v>198.43</v>
      </c>
      <c r="BQ356" t="s">
        <v>157</v>
      </c>
      <c r="BR356" t="s">
        <v>101</v>
      </c>
      <c r="BS356" s="3">
        <v>45735</v>
      </c>
      <c r="BT356" s="4">
        <v>0.39791666666666664</v>
      </c>
      <c r="BU356" t="s">
        <v>1182</v>
      </c>
      <c r="BV356" t="s">
        <v>109</v>
      </c>
      <c r="BY356">
        <v>10367.81</v>
      </c>
      <c r="BZ356" t="s">
        <v>90</v>
      </c>
      <c r="CC356" t="s">
        <v>145</v>
      </c>
      <c r="CD356">
        <v>1039</v>
      </c>
      <c r="CE356" t="s">
        <v>137</v>
      </c>
      <c r="CF356" s="3">
        <v>45735</v>
      </c>
      <c r="CI356">
        <v>1</v>
      </c>
      <c r="CJ356">
        <v>1</v>
      </c>
      <c r="CK356">
        <v>23</v>
      </c>
      <c r="CL356" t="s">
        <v>87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"GAB2024960"</f>
        <v>GAB2024960</v>
      </c>
      <c r="F357" s="3">
        <v>45734</v>
      </c>
      <c r="G357">
        <v>202512</v>
      </c>
      <c r="H357" t="s">
        <v>97</v>
      </c>
      <c r="I357" t="s">
        <v>98</v>
      </c>
      <c r="J357" t="s">
        <v>99</v>
      </c>
      <c r="K357" t="s">
        <v>78</v>
      </c>
      <c r="L357" t="s">
        <v>262</v>
      </c>
      <c r="M357" t="s">
        <v>263</v>
      </c>
      <c r="N357" t="s">
        <v>848</v>
      </c>
      <c r="O357" t="s">
        <v>82</v>
      </c>
      <c r="P357" t="str">
        <f>"INV-00116219 CT093075         "</f>
        <v xml:space="preserve">INV-00116219 CT093075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36.08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0.4</v>
      </c>
      <c r="BJ357">
        <v>2.6</v>
      </c>
      <c r="BK357">
        <v>3</v>
      </c>
      <c r="BL357">
        <v>108.96</v>
      </c>
      <c r="BM357">
        <v>16.34</v>
      </c>
      <c r="BN357">
        <v>125.3</v>
      </c>
      <c r="BO357">
        <v>125.3</v>
      </c>
      <c r="BQ357" t="s">
        <v>849</v>
      </c>
      <c r="BR357" t="s">
        <v>101</v>
      </c>
      <c r="BS357" s="3">
        <v>45735</v>
      </c>
      <c r="BT357" s="4">
        <v>0.5805555555555556</v>
      </c>
      <c r="BU357" t="s">
        <v>1183</v>
      </c>
      <c r="BV357" t="s">
        <v>87</v>
      </c>
      <c r="BW357" t="s">
        <v>88</v>
      </c>
      <c r="BX357" t="s">
        <v>89</v>
      </c>
      <c r="BY357">
        <v>13119.3</v>
      </c>
      <c r="BZ357" t="s">
        <v>90</v>
      </c>
      <c r="CA357" t="s">
        <v>1184</v>
      </c>
      <c r="CC357" t="s">
        <v>263</v>
      </c>
      <c r="CD357" s="5" t="s">
        <v>852</v>
      </c>
      <c r="CE357" t="s">
        <v>129</v>
      </c>
      <c r="CF357" s="3">
        <v>45735</v>
      </c>
      <c r="CI357">
        <v>1</v>
      </c>
      <c r="CJ357">
        <v>1</v>
      </c>
      <c r="CK357">
        <v>21</v>
      </c>
      <c r="CL357" t="s">
        <v>87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"GAB2024961"</f>
        <v>GAB2024961</v>
      </c>
      <c r="F358" s="3">
        <v>45734</v>
      </c>
      <c r="G358">
        <v>202512</v>
      </c>
      <c r="H358" t="s">
        <v>97</v>
      </c>
      <c r="I358" t="s">
        <v>98</v>
      </c>
      <c r="J358" t="s">
        <v>99</v>
      </c>
      <c r="K358" t="s">
        <v>78</v>
      </c>
      <c r="L358" t="s">
        <v>262</v>
      </c>
      <c r="M358" t="s">
        <v>263</v>
      </c>
      <c r="N358" t="s">
        <v>1083</v>
      </c>
      <c r="O358" t="s">
        <v>82</v>
      </c>
      <c r="P358" t="str">
        <f>"INV-00116220 CT093201         "</f>
        <v xml:space="preserve">INV-00116220 CT093201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24.06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1.8</v>
      </c>
      <c r="BK358">
        <v>2</v>
      </c>
      <c r="BL358">
        <v>72.66</v>
      </c>
      <c r="BM358">
        <v>10.9</v>
      </c>
      <c r="BN358">
        <v>83.56</v>
      </c>
      <c r="BO358">
        <v>83.56</v>
      </c>
      <c r="BQ358" t="s">
        <v>1084</v>
      </c>
      <c r="BR358" t="s">
        <v>101</v>
      </c>
      <c r="BS358" s="3">
        <v>45735</v>
      </c>
      <c r="BT358" s="4">
        <v>0.4375</v>
      </c>
      <c r="BU358" t="s">
        <v>1185</v>
      </c>
      <c r="BV358" t="s">
        <v>109</v>
      </c>
      <c r="BY358">
        <v>9059.2000000000007</v>
      </c>
      <c r="BZ358" t="s">
        <v>90</v>
      </c>
      <c r="CA358" t="s">
        <v>1186</v>
      </c>
      <c r="CC358" t="s">
        <v>263</v>
      </c>
      <c r="CD358" s="5" t="s">
        <v>444</v>
      </c>
      <c r="CE358" t="s">
        <v>137</v>
      </c>
      <c r="CF358" s="3">
        <v>45735</v>
      </c>
      <c r="CI358">
        <v>1</v>
      </c>
      <c r="CJ358">
        <v>1</v>
      </c>
      <c r="CK358">
        <v>21</v>
      </c>
      <c r="CL358" t="s">
        <v>87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"GAB2024963"</f>
        <v>GAB2024963</v>
      </c>
      <c r="F359" s="3">
        <v>45734</v>
      </c>
      <c r="G359">
        <v>202512</v>
      </c>
      <c r="H359" t="s">
        <v>97</v>
      </c>
      <c r="I359" t="s">
        <v>98</v>
      </c>
      <c r="J359" t="s">
        <v>99</v>
      </c>
      <c r="K359" t="s">
        <v>78</v>
      </c>
      <c r="L359" t="s">
        <v>491</v>
      </c>
      <c r="M359" t="s">
        <v>492</v>
      </c>
      <c r="N359" t="s">
        <v>963</v>
      </c>
      <c r="O359" t="s">
        <v>82</v>
      </c>
      <c r="P359" t="str">
        <f>"INV-00033734 031015           "</f>
        <v xml:space="preserve">INV-00033734 031015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30.07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2.1</v>
      </c>
      <c r="BK359">
        <v>2.5</v>
      </c>
      <c r="BL359">
        <v>90.81</v>
      </c>
      <c r="BM359">
        <v>13.62</v>
      </c>
      <c r="BN359">
        <v>104.43</v>
      </c>
      <c r="BO359">
        <v>104.43</v>
      </c>
      <c r="BQ359" t="s">
        <v>241</v>
      </c>
      <c r="BR359" t="s">
        <v>101</v>
      </c>
      <c r="BS359" s="3">
        <v>45735</v>
      </c>
      <c r="BT359" s="4">
        <v>0.31527777777777777</v>
      </c>
      <c r="BU359" t="s">
        <v>1187</v>
      </c>
      <c r="BV359" t="s">
        <v>109</v>
      </c>
      <c r="BY359">
        <v>10557</v>
      </c>
      <c r="BZ359" t="s">
        <v>90</v>
      </c>
      <c r="CA359" t="s">
        <v>1188</v>
      </c>
      <c r="CC359" t="s">
        <v>492</v>
      </c>
      <c r="CD359">
        <v>1724</v>
      </c>
      <c r="CE359" t="s">
        <v>149</v>
      </c>
      <c r="CF359" s="3">
        <v>45735</v>
      </c>
      <c r="CI359">
        <v>1</v>
      </c>
      <c r="CJ359">
        <v>1</v>
      </c>
      <c r="CK359">
        <v>21</v>
      </c>
      <c r="CL359" t="s">
        <v>87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"GAB2024966"</f>
        <v>GAB2024966</v>
      </c>
      <c r="F360" s="3">
        <v>45734</v>
      </c>
      <c r="G360">
        <v>202512</v>
      </c>
      <c r="H360" t="s">
        <v>97</v>
      </c>
      <c r="I360" t="s">
        <v>98</v>
      </c>
      <c r="J360" t="s">
        <v>99</v>
      </c>
      <c r="K360" t="s">
        <v>78</v>
      </c>
      <c r="L360" t="s">
        <v>502</v>
      </c>
      <c r="M360" t="s">
        <v>503</v>
      </c>
      <c r="N360" t="s">
        <v>809</v>
      </c>
      <c r="O360" t="s">
        <v>82</v>
      </c>
      <c r="P360" t="str">
        <f>"INV-00033733 00033735 031119 0"</f>
        <v>INV-00033733 00033735 031119 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30.07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</v>
      </c>
      <c r="BJ360">
        <v>2.4</v>
      </c>
      <c r="BK360">
        <v>2.5</v>
      </c>
      <c r="BL360">
        <v>90.81</v>
      </c>
      <c r="BM360">
        <v>13.62</v>
      </c>
      <c r="BN360">
        <v>104.43</v>
      </c>
      <c r="BO360">
        <v>104.43</v>
      </c>
      <c r="BQ360" t="s">
        <v>810</v>
      </c>
      <c r="BR360" t="s">
        <v>101</v>
      </c>
      <c r="BS360" s="3">
        <v>45735</v>
      </c>
      <c r="BT360" s="4">
        <v>0.4597222222222222</v>
      </c>
      <c r="BU360" t="s">
        <v>811</v>
      </c>
      <c r="BV360" t="s">
        <v>87</v>
      </c>
      <c r="BY360">
        <v>12000</v>
      </c>
      <c r="BZ360" t="s">
        <v>90</v>
      </c>
      <c r="CA360" t="s">
        <v>812</v>
      </c>
      <c r="CC360" t="s">
        <v>503</v>
      </c>
      <c r="CD360">
        <v>5213</v>
      </c>
      <c r="CE360" t="s">
        <v>137</v>
      </c>
      <c r="CF360" s="3">
        <v>45736</v>
      </c>
      <c r="CI360">
        <v>1</v>
      </c>
      <c r="CJ360">
        <v>1</v>
      </c>
      <c r="CK360">
        <v>21</v>
      </c>
      <c r="CL360" t="s">
        <v>87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"GAB2024968"</f>
        <v>GAB2024968</v>
      </c>
      <c r="F361" s="3">
        <v>45734</v>
      </c>
      <c r="G361">
        <v>202512</v>
      </c>
      <c r="H361" t="s">
        <v>97</v>
      </c>
      <c r="I361" t="s">
        <v>98</v>
      </c>
      <c r="J361" t="s">
        <v>99</v>
      </c>
      <c r="K361" t="s">
        <v>78</v>
      </c>
      <c r="L361" t="s">
        <v>305</v>
      </c>
      <c r="M361" t="s">
        <v>306</v>
      </c>
      <c r="N361" t="s">
        <v>307</v>
      </c>
      <c r="O361" t="s">
        <v>82</v>
      </c>
      <c r="P361" t="str">
        <f>"INV-00116236 CT093261         "</f>
        <v xml:space="preserve">INV-00116236 CT093261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57.13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2.1</v>
      </c>
      <c r="BK361">
        <v>2.5</v>
      </c>
      <c r="BL361">
        <v>172.55</v>
      </c>
      <c r="BM361">
        <v>25.88</v>
      </c>
      <c r="BN361">
        <v>198.43</v>
      </c>
      <c r="BO361">
        <v>198.43</v>
      </c>
      <c r="BQ361" t="s">
        <v>308</v>
      </c>
      <c r="BR361" t="s">
        <v>101</v>
      </c>
      <c r="BS361" s="3">
        <v>45736</v>
      </c>
      <c r="BT361" s="4">
        <v>0.65625</v>
      </c>
      <c r="BU361" t="s">
        <v>309</v>
      </c>
      <c r="BV361" t="s">
        <v>109</v>
      </c>
      <c r="BY361">
        <v>10311</v>
      </c>
      <c r="BZ361" t="s">
        <v>90</v>
      </c>
      <c r="CA361" t="s">
        <v>310</v>
      </c>
      <c r="CC361" t="s">
        <v>306</v>
      </c>
      <c r="CD361" s="5" t="s">
        <v>311</v>
      </c>
      <c r="CE361" t="s">
        <v>149</v>
      </c>
      <c r="CF361" s="3">
        <v>45736</v>
      </c>
      <c r="CI361">
        <v>2</v>
      </c>
      <c r="CJ361">
        <v>2</v>
      </c>
      <c r="CK361">
        <v>23</v>
      </c>
      <c r="CL361" t="s">
        <v>87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"GAB2024969"</f>
        <v>GAB2024969</v>
      </c>
      <c r="F362" s="3">
        <v>45734</v>
      </c>
      <c r="G362">
        <v>202512</v>
      </c>
      <c r="H362" t="s">
        <v>97</v>
      </c>
      <c r="I362" t="s">
        <v>98</v>
      </c>
      <c r="J362" t="s">
        <v>99</v>
      </c>
      <c r="K362" t="s">
        <v>78</v>
      </c>
      <c r="L362" t="s">
        <v>97</v>
      </c>
      <c r="M362" t="s">
        <v>98</v>
      </c>
      <c r="N362" t="s">
        <v>220</v>
      </c>
      <c r="O362" t="s">
        <v>82</v>
      </c>
      <c r="P362" t="str">
        <f>"INV-00116237 CT093262         "</f>
        <v xml:space="preserve">INV-00116237 CT093262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18.79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2.5</v>
      </c>
      <c r="BK362">
        <v>3</v>
      </c>
      <c r="BL362">
        <v>56.75</v>
      </c>
      <c r="BM362">
        <v>8.51</v>
      </c>
      <c r="BN362">
        <v>65.260000000000005</v>
      </c>
      <c r="BO362">
        <v>65.260000000000005</v>
      </c>
      <c r="BQ362" t="s">
        <v>221</v>
      </c>
      <c r="BR362" t="s">
        <v>101</v>
      </c>
      <c r="BS362" s="3">
        <v>45735</v>
      </c>
      <c r="BT362" s="4">
        <v>0.43333333333333335</v>
      </c>
      <c r="BU362" t="s">
        <v>990</v>
      </c>
      <c r="BV362" t="s">
        <v>109</v>
      </c>
      <c r="BY362">
        <v>12612.6</v>
      </c>
      <c r="BZ362" t="s">
        <v>90</v>
      </c>
      <c r="CA362" t="s">
        <v>962</v>
      </c>
      <c r="CC362" t="s">
        <v>98</v>
      </c>
      <c r="CD362">
        <v>7800</v>
      </c>
      <c r="CE362" t="s">
        <v>213</v>
      </c>
      <c r="CF362" s="3">
        <v>45736</v>
      </c>
      <c r="CI362">
        <v>1</v>
      </c>
      <c r="CJ362">
        <v>1</v>
      </c>
      <c r="CK362">
        <v>22</v>
      </c>
      <c r="CL362" t="s">
        <v>87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"GAB2024970"</f>
        <v>GAB2024970</v>
      </c>
      <c r="F363" s="3">
        <v>45734</v>
      </c>
      <c r="G363">
        <v>202512</v>
      </c>
      <c r="H363" t="s">
        <v>97</v>
      </c>
      <c r="I363" t="s">
        <v>98</v>
      </c>
      <c r="J363" t="s">
        <v>99</v>
      </c>
      <c r="K363" t="s">
        <v>78</v>
      </c>
      <c r="L363" t="s">
        <v>280</v>
      </c>
      <c r="M363" t="s">
        <v>281</v>
      </c>
      <c r="N363" t="s">
        <v>1189</v>
      </c>
      <c r="O363" t="s">
        <v>82</v>
      </c>
      <c r="P363" t="str">
        <f>"INV-00116238 CT093263         "</f>
        <v xml:space="preserve">INV-00116238 CT093263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30.07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2.4</v>
      </c>
      <c r="BK363">
        <v>2.5</v>
      </c>
      <c r="BL363">
        <v>90.81</v>
      </c>
      <c r="BM363">
        <v>13.62</v>
      </c>
      <c r="BN363">
        <v>104.43</v>
      </c>
      <c r="BO363">
        <v>104.43</v>
      </c>
      <c r="BQ363" t="s">
        <v>210</v>
      </c>
      <c r="BR363" t="s">
        <v>101</v>
      </c>
      <c r="BS363" s="3">
        <v>45736</v>
      </c>
      <c r="BT363" s="4">
        <v>0.37013888888888891</v>
      </c>
      <c r="BU363" t="s">
        <v>1190</v>
      </c>
      <c r="BV363" t="s">
        <v>87</v>
      </c>
      <c r="BY363">
        <v>12000</v>
      </c>
      <c r="BZ363" t="s">
        <v>90</v>
      </c>
      <c r="CA363" t="s">
        <v>284</v>
      </c>
      <c r="CC363" t="s">
        <v>281</v>
      </c>
      <c r="CD363">
        <v>3201</v>
      </c>
      <c r="CE363" t="s">
        <v>149</v>
      </c>
      <c r="CF363" s="3">
        <v>45736</v>
      </c>
      <c r="CI363">
        <v>1</v>
      </c>
      <c r="CJ363">
        <v>2</v>
      </c>
      <c r="CK363">
        <v>21</v>
      </c>
      <c r="CL363" t="s">
        <v>87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"GAB2024972"</f>
        <v>GAB2024972</v>
      </c>
      <c r="F364" s="3">
        <v>45734</v>
      </c>
      <c r="G364">
        <v>202512</v>
      </c>
      <c r="H364" t="s">
        <v>97</v>
      </c>
      <c r="I364" t="s">
        <v>98</v>
      </c>
      <c r="J364" t="s">
        <v>99</v>
      </c>
      <c r="K364" t="s">
        <v>78</v>
      </c>
      <c r="L364" t="s">
        <v>214</v>
      </c>
      <c r="M364" t="s">
        <v>215</v>
      </c>
      <c r="N364" t="s">
        <v>1191</v>
      </c>
      <c r="O364" t="s">
        <v>82</v>
      </c>
      <c r="P364" t="str">
        <f>"INV-00116240 CT093233         "</f>
        <v xml:space="preserve">INV-00116240 CT093233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30.07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2.5</v>
      </c>
      <c r="BK364">
        <v>2.5</v>
      </c>
      <c r="BL364">
        <v>90.81</v>
      </c>
      <c r="BM364">
        <v>13.62</v>
      </c>
      <c r="BN364">
        <v>104.43</v>
      </c>
      <c r="BO364">
        <v>104.43</v>
      </c>
      <c r="BR364" t="s">
        <v>101</v>
      </c>
      <c r="BS364" s="3">
        <v>45735</v>
      </c>
      <c r="BT364" s="4">
        <v>0.52152777777777781</v>
      </c>
      <c r="BU364" t="s">
        <v>1192</v>
      </c>
      <c r="BV364" t="s">
        <v>87</v>
      </c>
      <c r="BY364">
        <v>12645.45</v>
      </c>
      <c r="BZ364" t="s">
        <v>90</v>
      </c>
      <c r="CA364" t="s">
        <v>1193</v>
      </c>
      <c r="CC364" t="s">
        <v>215</v>
      </c>
      <c r="CD364">
        <v>6530</v>
      </c>
      <c r="CE364" t="s">
        <v>129</v>
      </c>
      <c r="CF364" s="3">
        <v>45736</v>
      </c>
      <c r="CI364">
        <v>1</v>
      </c>
      <c r="CJ364">
        <v>1</v>
      </c>
      <c r="CK364">
        <v>21</v>
      </c>
      <c r="CL364" t="s">
        <v>87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"GAB2024973"</f>
        <v>GAB2024973</v>
      </c>
      <c r="F365" s="3">
        <v>45734</v>
      </c>
      <c r="G365">
        <v>202512</v>
      </c>
      <c r="H365" t="s">
        <v>97</v>
      </c>
      <c r="I365" t="s">
        <v>98</v>
      </c>
      <c r="J365" t="s">
        <v>99</v>
      </c>
      <c r="K365" t="s">
        <v>78</v>
      </c>
      <c r="L365" t="s">
        <v>533</v>
      </c>
      <c r="M365" t="s">
        <v>534</v>
      </c>
      <c r="N365" t="s">
        <v>535</v>
      </c>
      <c r="O365" t="s">
        <v>82</v>
      </c>
      <c r="P365" t="str">
        <f>"INV-00116243 CT093248         "</f>
        <v xml:space="preserve">INV-00116243 CT093248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46.61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0.6</v>
      </c>
      <c r="BJ365">
        <v>1.6</v>
      </c>
      <c r="BK365">
        <v>2</v>
      </c>
      <c r="BL365">
        <v>140.77000000000001</v>
      </c>
      <c r="BM365">
        <v>21.12</v>
      </c>
      <c r="BN365">
        <v>161.88999999999999</v>
      </c>
      <c r="BO365">
        <v>161.88999999999999</v>
      </c>
      <c r="BQ365" t="s">
        <v>247</v>
      </c>
      <c r="BR365" t="s">
        <v>101</v>
      </c>
      <c r="BS365" s="3">
        <v>45735</v>
      </c>
      <c r="BT365" s="4">
        <v>0.41666666666666669</v>
      </c>
      <c r="BU365" t="s">
        <v>568</v>
      </c>
      <c r="BV365" t="s">
        <v>109</v>
      </c>
      <c r="BY365">
        <v>8146.71</v>
      </c>
      <c r="BZ365" t="s">
        <v>90</v>
      </c>
      <c r="CA365" t="s">
        <v>569</v>
      </c>
      <c r="CC365" t="s">
        <v>534</v>
      </c>
      <c r="CD365">
        <v>2515</v>
      </c>
      <c r="CE365" t="s">
        <v>662</v>
      </c>
      <c r="CF365" s="3">
        <v>45735</v>
      </c>
      <c r="CI365">
        <v>1</v>
      </c>
      <c r="CJ365">
        <v>1</v>
      </c>
      <c r="CK365">
        <v>23</v>
      </c>
      <c r="CL365" t="s">
        <v>87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"GAB2024975"</f>
        <v>GAB2024975</v>
      </c>
      <c r="F366" s="3">
        <v>45734</v>
      </c>
      <c r="G366">
        <v>202512</v>
      </c>
      <c r="H366" t="s">
        <v>97</v>
      </c>
      <c r="I366" t="s">
        <v>98</v>
      </c>
      <c r="J366" t="s">
        <v>99</v>
      </c>
      <c r="K366" t="s">
        <v>78</v>
      </c>
      <c r="L366" t="s">
        <v>238</v>
      </c>
      <c r="M366" t="s">
        <v>239</v>
      </c>
      <c r="N366" t="s">
        <v>285</v>
      </c>
      <c r="O366" t="s">
        <v>82</v>
      </c>
      <c r="P366" t="str">
        <f>"INV-00116248 CT093270         "</f>
        <v xml:space="preserve">INV-00116248 CT093270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30.07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2.1</v>
      </c>
      <c r="BK366">
        <v>2.5</v>
      </c>
      <c r="BL366">
        <v>90.81</v>
      </c>
      <c r="BM366">
        <v>13.62</v>
      </c>
      <c r="BN366">
        <v>104.43</v>
      </c>
      <c r="BO366">
        <v>104.43</v>
      </c>
      <c r="BQ366" t="s">
        <v>286</v>
      </c>
      <c r="BR366" t="s">
        <v>101</v>
      </c>
      <c r="BS366" s="3">
        <v>45735</v>
      </c>
      <c r="BT366" s="4">
        <v>0.39930555555555558</v>
      </c>
      <c r="BU366" t="s">
        <v>1194</v>
      </c>
      <c r="BV366" t="s">
        <v>109</v>
      </c>
      <c r="BY366">
        <v>10279.709999999999</v>
      </c>
      <c r="BZ366" t="s">
        <v>90</v>
      </c>
      <c r="CA366" t="s">
        <v>1195</v>
      </c>
      <c r="CC366" t="s">
        <v>239</v>
      </c>
      <c r="CD366">
        <v>2021</v>
      </c>
      <c r="CE366" t="s">
        <v>137</v>
      </c>
      <c r="CF366" s="3">
        <v>45736</v>
      </c>
      <c r="CI366">
        <v>1</v>
      </c>
      <c r="CJ366">
        <v>1</v>
      </c>
      <c r="CK366">
        <v>21</v>
      </c>
      <c r="CL366" t="s">
        <v>87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"GAB2024976"</f>
        <v>GAB2024976</v>
      </c>
      <c r="F367" s="3">
        <v>45734</v>
      </c>
      <c r="G367">
        <v>202512</v>
      </c>
      <c r="H367" t="s">
        <v>97</v>
      </c>
      <c r="I367" t="s">
        <v>98</v>
      </c>
      <c r="J367" t="s">
        <v>99</v>
      </c>
      <c r="K367" t="s">
        <v>78</v>
      </c>
      <c r="L367" t="s">
        <v>75</v>
      </c>
      <c r="M367" t="s">
        <v>76</v>
      </c>
      <c r="N367" t="s">
        <v>1037</v>
      </c>
      <c r="O367" t="s">
        <v>82</v>
      </c>
      <c r="P367" t="str">
        <f>"INV-00033736 031047           "</f>
        <v xml:space="preserve">INV-00033736 031047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30.07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2.4</v>
      </c>
      <c r="BK367">
        <v>2.5</v>
      </c>
      <c r="BL367">
        <v>90.81</v>
      </c>
      <c r="BM367">
        <v>13.62</v>
      </c>
      <c r="BN367">
        <v>104.43</v>
      </c>
      <c r="BO367">
        <v>104.43</v>
      </c>
      <c r="BQ367" t="s">
        <v>356</v>
      </c>
      <c r="BR367" t="s">
        <v>101</v>
      </c>
      <c r="BS367" s="3">
        <v>45736</v>
      </c>
      <c r="BT367" s="4">
        <v>0.43055555555555558</v>
      </c>
      <c r="BU367" t="s">
        <v>1196</v>
      </c>
      <c r="BV367" t="s">
        <v>109</v>
      </c>
      <c r="BY367">
        <v>12000</v>
      </c>
      <c r="BZ367" t="s">
        <v>90</v>
      </c>
      <c r="CA367" t="s">
        <v>192</v>
      </c>
      <c r="CC367" t="s">
        <v>76</v>
      </c>
      <c r="CD367">
        <v>4001</v>
      </c>
      <c r="CE367" t="s">
        <v>137</v>
      </c>
      <c r="CF367" s="3">
        <v>45738</v>
      </c>
      <c r="CI367">
        <v>2</v>
      </c>
      <c r="CJ367">
        <v>2</v>
      </c>
      <c r="CK367">
        <v>21</v>
      </c>
      <c r="CL367" t="s">
        <v>87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"GAB2024977"</f>
        <v>GAB2024977</v>
      </c>
      <c r="F368" s="3">
        <v>45734</v>
      </c>
      <c r="G368">
        <v>202512</v>
      </c>
      <c r="H368" t="s">
        <v>97</v>
      </c>
      <c r="I368" t="s">
        <v>98</v>
      </c>
      <c r="J368" t="s">
        <v>99</v>
      </c>
      <c r="K368" t="s">
        <v>78</v>
      </c>
      <c r="L368" t="s">
        <v>97</v>
      </c>
      <c r="M368" t="s">
        <v>98</v>
      </c>
      <c r="N368" t="s">
        <v>225</v>
      </c>
      <c r="O368" t="s">
        <v>82</v>
      </c>
      <c r="P368" t="str">
        <f>"INV-00116234 CT093259         "</f>
        <v xml:space="preserve">INV-00116234 CT093259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18.79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0.5</v>
      </c>
      <c r="BJ368">
        <v>1.7</v>
      </c>
      <c r="BK368">
        <v>2</v>
      </c>
      <c r="BL368">
        <v>56.75</v>
      </c>
      <c r="BM368">
        <v>8.51</v>
      </c>
      <c r="BN368">
        <v>65.260000000000005</v>
      </c>
      <c r="BO368">
        <v>65.260000000000005</v>
      </c>
      <c r="BQ368" t="s">
        <v>226</v>
      </c>
      <c r="BR368" t="s">
        <v>101</v>
      </c>
      <c r="BS368" s="3">
        <v>45735</v>
      </c>
      <c r="BT368" s="4">
        <v>0.39652777777777776</v>
      </c>
      <c r="BU368" t="s">
        <v>1197</v>
      </c>
      <c r="BV368" t="s">
        <v>109</v>
      </c>
      <c r="BY368">
        <v>8416.98</v>
      </c>
      <c r="BZ368" t="s">
        <v>90</v>
      </c>
      <c r="CA368" t="s">
        <v>868</v>
      </c>
      <c r="CC368" t="s">
        <v>98</v>
      </c>
      <c r="CD368">
        <v>7441</v>
      </c>
      <c r="CE368" t="s">
        <v>224</v>
      </c>
      <c r="CF368" s="3">
        <v>45736</v>
      </c>
      <c r="CI368">
        <v>1</v>
      </c>
      <c r="CJ368">
        <v>1</v>
      </c>
      <c r="CK368">
        <v>22</v>
      </c>
      <c r="CL368" t="s">
        <v>87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"GAB2024978"</f>
        <v>GAB2024978</v>
      </c>
      <c r="F369" s="3">
        <v>45734</v>
      </c>
      <c r="G369">
        <v>202512</v>
      </c>
      <c r="H369" t="s">
        <v>97</v>
      </c>
      <c r="I369" t="s">
        <v>98</v>
      </c>
      <c r="J369" t="s">
        <v>99</v>
      </c>
      <c r="K369" t="s">
        <v>78</v>
      </c>
      <c r="L369" t="s">
        <v>79</v>
      </c>
      <c r="M369" t="s">
        <v>80</v>
      </c>
      <c r="N369" t="s">
        <v>119</v>
      </c>
      <c r="O369" t="s">
        <v>82</v>
      </c>
      <c r="P369" t="str">
        <f>"ATT:MINETTE  MONIQUE          "</f>
        <v xml:space="preserve">ATT:MINETTE  MONIQUE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30.07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0.2</v>
      </c>
      <c r="BJ369">
        <v>2.2000000000000002</v>
      </c>
      <c r="BK369">
        <v>2.5</v>
      </c>
      <c r="BL369">
        <v>90.81</v>
      </c>
      <c r="BM369">
        <v>13.62</v>
      </c>
      <c r="BN369">
        <v>104.43</v>
      </c>
      <c r="BO369">
        <v>104.43</v>
      </c>
      <c r="BQ369" t="s">
        <v>1198</v>
      </c>
      <c r="BR369" t="s">
        <v>101</v>
      </c>
      <c r="BS369" s="3">
        <v>45735</v>
      </c>
      <c r="BT369" s="4">
        <v>0.44166666666666665</v>
      </c>
      <c r="BU369" t="s">
        <v>551</v>
      </c>
      <c r="BV369" t="s">
        <v>87</v>
      </c>
      <c r="BW369" t="s">
        <v>88</v>
      </c>
      <c r="BX369" t="s">
        <v>499</v>
      </c>
      <c r="BY369">
        <v>11144.77</v>
      </c>
      <c r="BZ369" t="s">
        <v>90</v>
      </c>
      <c r="CA369" t="s">
        <v>998</v>
      </c>
      <c r="CC369" t="s">
        <v>80</v>
      </c>
      <c r="CD369" s="5" t="s">
        <v>92</v>
      </c>
      <c r="CE369" t="s">
        <v>1199</v>
      </c>
      <c r="CF369" s="3">
        <v>45735</v>
      </c>
      <c r="CI369">
        <v>1</v>
      </c>
      <c r="CJ369">
        <v>1</v>
      </c>
      <c r="CK369">
        <v>21</v>
      </c>
      <c r="CL369" t="s">
        <v>87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"GAB2024982"</f>
        <v>GAB2024982</v>
      </c>
      <c r="F370" s="3">
        <v>45734</v>
      </c>
      <c r="G370">
        <v>202512</v>
      </c>
      <c r="H370" t="s">
        <v>97</v>
      </c>
      <c r="I370" t="s">
        <v>98</v>
      </c>
      <c r="J370" t="s">
        <v>99</v>
      </c>
      <c r="K370" t="s">
        <v>78</v>
      </c>
      <c r="L370" t="s">
        <v>316</v>
      </c>
      <c r="M370" t="s">
        <v>317</v>
      </c>
      <c r="N370" t="s">
        <v>1200</v>
      </c>
      <c r="O370" t="s">
        <v>82</v>
      </c>
      <c r="P370" t="str">
        <f>"INV-00116241 00116179 CT093264"</f>
        <v>INV-00116241 00116179 CT093264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67.66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16.739999999999998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1.1000000000000001</v>
      </c>
      <c r="BJ370">
        <v>2.6</v>
      </c>
      <c r="BK370">
        <v>3</v>
      </c>
      <c r="BL370">
        <v>221.08</v>
      </c>
      <c r="BM370">
        <v>33.159999999999997</v>
      </c>
      <c r="BN370">
        <v>254.24</v>
      </c>
      <c r="BO370">
        <v>254.24</v>
      </c>
      <c r="BQ370" t="s">
        <v>1201</v>
      </c>
      <c r="BR370" t="s">
        <v>101</v>
      </c>
      <c r="BS370" s="3">
        <v>45736</v>
      </c>
      <c r="BT370" s="4">
        <v>0.46597222222222223</v>
      </c>
      <c r="BU370" t="s">
        <v>1202</v>
      </c>
      <c r="BV370" t="s">
        <v>109</v>
      </c>
      <c r="BY370">
        <v>13248</v>
      </c>
      <c r="BZ370" t="s">
        <v>1203</v>
      </c>
      <c r="CA370" t="s">
        <v>1204</v>
      </c>
      <c r="CC370" t="s">
        <v>317</v>
      </c>
      <c r="CD370" s="5" t="s">
        <v>1205</v>
      </c>
      <c r="CE370" t="s">
        <v>1206</v>
      </c>
      <c r="CF370" s="3">
        <v>45736</v>
      </c>
      <c r="CI370">
        <v>6</v>
      </c>
      <c r="CJ370">
        <v>2</v>
      </c>
      <c r="CK370">
        <v>23</v>
      </c>
      <c r="CL370" t="s">
        <v>87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"080011465368"</f>
        <v>080011465368</v>
      </c>
      <c r="F371" s="3">
        <v>45734</v>
      </c>
      <c r="G371">
        <v>202512</v>
      </c>
      <c r="H371" t="s">
        <v>429</v>
      </c>
      <c r="I371" t="s">
        <v>430</v>
      </c>
      <c r="J371" t="s">
        <v>1207</v>
      </c>
      <c r="K371" t="s">
        <v>78</v>
      </c>
      <c r="L371" t="s">
        <v>97</v>
      </c>
      <c r="M371" t="s">
        <v>98</v>
      </c>
      <c r="N371" t="s">
        <v>119</v>
      </c>
      <c r="O371" t="s">
        <v>100</v>
      </c>
      <c r="P371" t="str">
        <f>"Hester                        "</f>
        <v xml:space="preserve">Hester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63.81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2</v>
      </c>
      <c r="BI371">
        <v>23.4</v>
      </c>
      <c r="BJ371">
        <v>12.8</v>
      </c>
      <c r="BK371">
        <v>24</v>
      </c>
      <c r="BL371">
        <v>198.28</v>
      </c>
      <c r="BM371">
        <v>29.74</v>
      </c>
      <c r="BN371">
        <v>228.02</v>
      </c>
      <c r="BO371">
        <v>228.02</v>
      </c>
      <c r="BP371" t="s">
        <v>83</v>
      </c>
      <c r="BQ371" t="s">
        <v>1047</v>
      </c>
      <c r="BR371" t="s">
        <v>1208</v>
      </c>
      <c r="BS371" s="3">
        <v>45740</v>
      </c>
      <c r="BT371" s="4">
        <v>0.46805555555555556</v>
      </c>
      <c r="BU371" t="s">
        <v>817</v>
      </c>
      <c r="BV371" t="s">
        <v>109</v>
      </c>
      <c r="BY371">
        <v>63950.91</v>
      </c>
      <c r="BZ371" t="s">
        <v>260</v>
      </c>
      <c r="CA371" t="s">
        <v>104</v>
      </c>
      <c r="CC371" t="s">
        <v>98</v>
      </c>
      <c r="CD371">
        <v>7460</v>
      </c>
      <c r="CE371" t="s">
        <v>93</v>
      </c>
      <c r="CF371" s="3">
        <v>45741</v>
      </c>
      <c r="CI371">
        <v>3</v>
      </c>
      <c r="CJ371">
        <v>4</v>
      </c>
      <c r="CK371">
        <v>41</v>
      </c>
      <c r="CL371" t="s">
        <v>87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"080011468007"</f>
        <v>080011468007</v>
      </c>
      <c r="F372" s="3">
        <v>45734</v>
      </c>
      <c r="G372">
        <v>202512</v>
      </c>
      <c r="H372" t="s">
        <v>79</v>
      </c>
      <c r="I372" t="s">
        <v>80</v>
      </c>
      <c r="J372" t="s">
        <v>81</v>
      </c>
      <c r="K372" t="s">
        <v>78</v>
      </c>
      <c r="L372" t="s">
        <v>75</v>
      </c>
      <c r="M372" t="s">
        <v>76</v>
      </c>
      <c r="N372" t="s">
        <v>1209</v>
      </c>
      <c r="O372" t="s">
        <v>100</v>
      </c>
      <c r="P372" t="str">
        <f>"-                             "</f>
        <v xml:space="preserve">- 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67.650000000000006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9</v>
      </c>
      <c r="BI372">
        <v>19.399999999999999</v>
      </c>
      <c r="BJ372">
        <v>25.7</v>
      </c>
      <c r="BK372">
        <v>26</v>
      </c>
      <c r="BL372">
        <v>209.88</v>
      </c>
      <c r="BM372">
        <v>31.48</v>
      </c>
      <c r="BN372">
        <v>241.36</v>
      </c>
      <c r="BO372">
        <v>241.36</v>
      </c>
      <c r="BP372" t="s">
        <v>1210</v>
      </c>
      <c r="BQ372" t="s">
        <v>85</v>
      </c>
      <c r="BR372" t="s">
        <v>84</v>
      </c>
      <c r="BS372" s="3">
        <v>45736</v>
      </c>
      <c r="BT372" s="4">
        <v>0.45069444444444445</v>
      </c>
      <c r="BU372" t="s">
        <v>1211</v>
      </c>
      <c r="BV372" t="s">
        <v>87</v>
      </c>
      <c r="BW372" t="s">
        <v>198</v>
      </c>
      <c r="BX372" t="s">
        <v>199</v>
      </c>
      <c r="BY372">
        <v>128368.13</v>
      </c>
      <c r="BZ372" t="s">
        <v>260</v>
      </c>
      <c r="CC372" t="s">
        <v>76</v>
      </c>
      <c r="CD372">
        <v>4000</v>
      </c>
      <c r="CE372" t="s">
        <v>1212</v>
      </c>
      <c r="CF372" s="3">
        <v>45740</v>
      </c>
      <c r="CI372">
        <v>1</v>
      </c>
      <c r="CJ372">
        <v>2</v>
      </c>
      <c r="CK372">
        <v>41</v>
      </c>
      <c r="CL372" t="s">
        <v>87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"009944638611"</f>
        <v>009944638611</v>
      </c>
      <c r="F373" s="3">
        <v>45734</v>
      </c>
      <c r="G373">
        <v>202512</v>
      </c>
      <c r="H373" t="s">
        <v>75</v>
      </c>
      <c r="I373" t="s">
        <v>76</v>
      </c>
      <c r="J373" t="s">
        <v>119</v>
      </c>
      <c r="K373" t="s">
        <v>78</v>
      </c>
      <c r="L373" t="s">
        <v>79</v>
      </c>
      <c r="M373" t="s">
        <v>80</v>
      </c>
      <c r="N373" t="s">
        <v>119</v>
      </c>
      <c r="O373" t="s">
        <v>82</v>
      </c>
      <c r="P373" t="str">
        <f>"PREETHUM                      "</f>
        <v xml:space="preserve">PREETHUM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36.08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2.9</v>
      </c>
      <c r="BJ373">
        <v>2.4</v>
      </c>
      <c r="BK373">
        <v>3</v>
      </c>
      <c r="BL373">
        <v>108.96</v>
      </c>
      <c r="BM373">
        <v>16.34</v>
      </c>
      <c r="BN373">
        <v>125.3</v>
      </c>
      <c r="BO373">
        <v>125.3</v>
      </c>
      <c r="BQ373" t="s">
        <v>252</v>
      </c>
      <c r="BR373" t="s">
        <v>1213</v>
      </c>
      <c r="BS373" s="3">
        <v>45735</v>
      </c>
      <c r="BT373" s="4">
        <v>0.44166666666666665</v>
      </c>
      <c r="BU373" t="s">
        <v>551</v>
      </c>
      <c r="BV373" t="s">
        <v>87</v>
      </c>
      <c r="BW373" t="s">
        <v>88</v>
      </c>
      <c r="BX373" t="s">
        <v>499</v>
      </c>
      <c r="BY373">
        <v>12182.94</v>
      </c>
      <c r="BZ373" t="s">
        <v>90</v>
      </c>
      <c r="CA373" t="s">
        <v>998</v>
      </c>
      <c r="CC373" t="s">
        <v>80</v>
      </c>
      <c r="CD373" s="5" t="s">
        <v>92</v>
      </c>
      <c r="CE373" t="s">
        <v>265</v>
      </c>
      <c r="CF373" s="3">
        <v>45735</v>
      </c>
      <c r="CI373">
        <v>1</v>
      </c>
      <c r="CJ373">
        <v>1</v>
      </c>
      <c r="CK373">
        <v>21</v>
      </c>
      <c r="CL373" t="s">
        <v>87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"009940256426"</f>
        <v>009940256426</v>
      </c>
      <c r="F374" s="3">
        <v>45733</v>
      </c>
      <c r="G374">
        <v>202512</v>
      </c>
      <c r="H374" t="s">
        <v>97</v>
      </c>
      <c r="I374" t="s">
        <v>98</v>
      </c>
      <c r="J374" t="s">
        <v>119</v>
      </c>
      <c r="K374" t="s">
        <v>78</v>
      </c>
      <c r="L374" t="s">
        <v>921</v>
      </c>
      <c r="M374" t="s">
        <v>922</v>
      </c>
      <c r="N374" t="s">
        <v>1214</v>
      </c>
      <c r="O374" t="s">
        <v>924</v>
      </c>
      <c r="P374" t="str">
        <f>"CT093125-00116128             "</f>
        <v xml:space="preserve">CT093125-00116128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165.6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1.7</v>
      </c>
      <c r="BK374">
        <v>2</v>
      </c>
      <c r="BL374">
        <v>886.16</v>
      </c>
      <c r="BM374">
        <v>0</v>
      </c>
      <c r="BN374">
        <v>886.16</v>
      </c>
      <c r="BO374">
        <v>886.16</v>
      </c>
      <c r="BQ374" t="s">
        <v>200</v>
      </c>
      <c r="BR374" t="s">
        <v>617</v>
      </c>
      <c r="BS374" s="3">
        <v>45740</v>
      </c>
      <c r="BT374" s="4">
        <v>0.37708333333333333</v>
      </c>
      <c r="BU374" t="s">
        <v>1215</v>
      </c>
      <c r="BW374" t="s">
        <v>198</v>
      </c>
      <c r="BX374" t="s">
        <v>926</v>
      </c>
      <c r="BY374">
        <v>8448</v>
      </c>
      <c r="BZ374" t="s">
        <v>927</v>
      </c>
      <c r="CC374" t="s">
        <v>922</v>
      </c>
      <c r="CD374" t="s">
        <v>928</v>
      </c>
      <c r="CE374" t="s">
        <v>265</v>
      </c>
      <c r="CF374" s="3">
        <v>45743</v>
      </c>
      <c r="CI374">
        <v>0</v>
      </c>
      <c r="CJ374">
        <v>0</v>
      </c>
      <c r="CK374">
        <v>303</v>
      </c>
      <c r="CL374" t="s">
        <v>87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"009944125761"</f>
        <v>009944125761</v>
      </c>
      <c r="F375" s="3">
        <v>45734</v>
      </c>
      <c r="G375">
        <v>202512</v>
      </c>
      <c r="H375" t="s">
        <v>112</v>
      </c>
      <c r="I375" t="s">
        <v>113</v>
      </c>
      <c r="J375" t="s">
        <v>119</v>
      </c>
      <c r="K375" t="s">
        <v>78</v>
      </c>
      <c r="L375" t="s">
        <v>79</v>
      </c>
      <c r="M375" t="s">
        <v>80</v>
      </c>
      <c r="N375" t="s">
        <v>119</v>
      </c>
      <c r="O375" t="s">
        <v>82</v>
      </c>
      <c r="P375" t="str">
        <f>"                              "</f>
        <v xml:space="preserve">      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60.11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5</v>
      </c>
      <c r="BJ375">
        <v>1.7</v>
      </c>
      <c r="BK375">
        <v>5</v>
      </c>
      <c r="BL375">
        <v>181.55</v>
      </c>
      <c r="BM375">
        <v>27.23</v>
      </c>
      <c r="BN375">
        <v>208.78</v>
      </c>
      <c r="BO375">
        <v>208.78</v>
      </c>
      <c r="BQ375" t="s">
        <v>258</v>
      </c>
      <c r="BR375" t="s">
        <v>814</v>
      </c>
      <c r="BS375" s="3">
        <v>45735</v>
      </c>
      <c r="BT375" s="4">
        <v>0.39166666666666666</v>
      </c>
      <c r="BU375" t="s">
        <v>551</v>
      </c>
      <c r="BV375" t="s">
        <v>109</v>
      </c>
      <c r="BY375">
        <v>8448</v>
      </c>
      <c r="BZ375" t="s">
        <v>90</v>
      </c>
      <c r="CA375" t="s">
        <v>91</v>
      </c>
      <c r="CC375" t="s">
        <v>80</v>
      </c>
      <c r="CD375" s="5" t="s">
        <v>1216</v>
      </c>
      <c r="CE375" t="s">
        <v>265</v>
      </c>
      <c r="CF375" s="3">
        <v>45735</v>
      </c>
      <c r="CI375">
        <v>1</v>
      </c>
      <c r="CJ375">
        <v>1</v>
      </c>
      <c r="CK375">
        <v>21</v>
      </c>
      <c r="CL375" t="s">
        <v>87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"080011468661"</f>
        <v>080011468661</v>
      </c>
      <c r="F376" s="3">
        <v>45734</v>
      </c>
      <c r="G376">
        <v>202512</v>
      </c>
      <c r="H376" t="s">
        <v>79</v>
      </c>
      <c r="I376" t="s">
        <v>80</v>
      </c>
      <c r="J376" t="s">
        <v>81</v>
      </c>
      <c r="K376" t="s">
        <v>78</v>
      </c>
      <c r="L376" t="s">
        <v>75</v>
      </c>
      <c r="M376" t="s">
        <v>76</v>
      </c>
      <c r="N376" t="s">
        <v>1217</v>
      </c>
      <c r="O376" t="s">
        <v>82</v>
      </c>
      <c r="P376" t="str">
        <f>"-                             "</f>
        <v xml:space="preserve">-     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24.06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0.2</v>
      </c>
      <c r="BK376">
        <v>1</v>
      </c>
      <c r="BL376">
        <v>72.66</v>
      </c>
      <c r="BM376">
        <v>10.9</v>
      </c>
      <c r="BN376">
        <v>83.56</v>
      </c>
      <c r="BO376">
        <v>83.56</v>
      </c>
      <c r="BP376" t="s">
        <v>83</v>
      </c>
      <c r="BQ376" t="s">
        <v>1218</v>
      </c>
      <c r="BR376" t="s">
        <v>84</v>
      </c>
      <c r="BS376" s="3">
        <v>45736</v>
      </c>
      <c r="BT376" s="4">
        <v>0.62638888888888888</v>
      </c>
      <c r="BU376" t="s">
        <v>993</v>
      </c>
      <c r="BV376" t="s">
        <v>87</v>
      </c>
      <c r="BW376" t="s">
        <v>198</v>
      </c>
      <c r="BX376" t="s">
        <v>199</v>
      </c>
      <c r="BY376">
        <v>1200</v>
      </c>
      <c r="BZ376" t="s">
        <v>90</v>
      </c>
      <c r="CC376" t="s">
        <v>76</v>
      </c>
      <c r="CD376">
        <v>4000</v>
      </c>
      <c r="CE376" t="s">
        <v>93</v>
      </c>
      <c r="CF376" s="3">
        <v>45740</v>
      </c>
      <c r="CI376">
        <v>1</v>
      </c>
      <c r="CJ376">
        <v>1</v>
      </c>
      <c r="CK376">
        <v>21</v>
      </c>
      <c r="CL376" t="s">
        <v>87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"080011468170"</f>
        <v>080011468170</v>
      </c>
      <c r="F377" s="3">
        <v>45735</v>
      </c>
      <c r="G377">
        <v>202512</v>
      </c>
      <c r="H377" t="s">
        <v>540</v>
      </c>
      <c r="I377" t="s">
        <v>541</v>
      </c>
      <c r="J377" t="s">
        <v>1219</v>
      </c>
      <c r="K377" t="s">
        <v>78</v>
      </c>
      <c r="L377" t="s">
        <v>97</v>
      </c>
      <c r="M377" t="s">
        <v>98</v>
      </c>
      <c r="N377" t="s">
        <v>233</v>
      </c>
      <c r="O377" t="s">
        <v>82</v>
      </c>
      <c r="P377" t="str">
        <f>"Incorrect del                 "</f>
        <v xml:space="preserve">Incorrect del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46.61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1.9</v>
      </c>
      <c r="BK377">
        <v>2</v>
      </c>
      <c r="BL377">
        <v>140.77000000000001</v>
      </c>
      <c r="BM377">
        <v>21.12</v>
      </c>
      <c r="BN377">
        <v>161.88999999999999</v>
      </c>
      <c r="BO377">
        <v>161.88999999999999</v>
      </c>
      <c r="BP377" t="s">
        <v>83</v>
      </c>
      <c r="BQ377" t="s">
        <v>1220</v>
      </c>
      <c r="BR377" t="s">
        <v>1221</v>
      </c>
      <c r="BS377" s="3">
        <v>45736</v>
      </c>
      <c r="BT377" s="4">
        <v>0.44930555555555557</v>
      </c>
      <c r="BU377" t="s">
        <v>1222</v>
      </c>
      <c r="BV377" t="s">
        <v>87</v>
      </c>
      <c r="BW377" t="s">
        <v>204</v>
      </c>
      <c r="BX377" t="s">
        <v>827</v>
      </c>
      <c r="BY377">
        <v>9720</v>
      </c>
      <c r="BZ377" t="s">
        <v>90</v>
      </c>
      <c r="CA377" t="s">
        <v>828</v>
      </c>
      <c r="CC377" t="s">
        <v>98</v>
      </c>
      <c r="CD377">
        <v>7708</v>
      </c>
      <c r="CE377" t="s">
        <v>93</v>
      </c>
      <c r="CF377" s="3">
        <v>45740</v>
      </c>
      <c r="CI377">
        <v>1</v>
      </c>
      <c r="CJ377">
        <v>1</v>
      </c>
      <c r="CK377">
        <v>23</v>
      </c>
      <c r="CL377" t="s">
        <v>87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"080011468279"</f>
        <v>080011468279</v>
      </c>
      <c r="F378" s="3">
        <v>45735</v>
      </c>
      <c r="G378">
        <v>202512</v>
      </c>
      <c r="H378" t="s">
        <v>1223</v>
      </c>
      <c r="I378" t="s">
        <v>1224</v>
      </c>
      <c r="J378" t="s">
        <v>1225</v>
      </c>
      <c r="K378" t="s">
        <v>78</v>
      </c>
      <c r="L378" t="s">
        <v>97</v>
      </c>
      <c r="M378" t="s">
        <v>98</v>
      </c>
      <c r="N378" t="s">
        <v>119</v>
      </c>
      <c r="O378" t="s">
        <v>82</v>
      </c>
      <c r="P378" t="str">
        <f>"-                             "</f>
        <v xml:space="preserve">- 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46.61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2</v>
      </c>
      <c r="BJ378">
        <v>1.2</v>
      </c>
      <c r="BK378">
        <v>2</v>
      </c>
      <c r="BL378">
        <v>140.77000000000001</v>
      </c>
      <c r="BM378">
        <v>21.12</v>
      </c>
      <c r="BN378">
        <v>161.88999999999999</v>
      </c>
      <c r="BO378">
        <v>161.88999999999999</v>
      </c>
      <c r="BP378" t="s">
        <v>83</v>
      </c>
      <c r="BQ378" t="s">
        <v>1047</v>
      </c>
      <c r="BR378" t="s">
        <v>1226</v>
      </c>
      <c r="BS378" s="3">
        <v>45736</v>
      </c>
      <c r="BT378" s="4">
        <v>0.47569444444444442</v>
      </c>
      <c r="BU378" t="s">
        <v>1227</v>
      </c>
      <c r="BV378" t="s">
        <v>87</v>
      </c>
      <c r="BW378" t="s">
        <v>1017</v>
      </c>
      <c r="BX378" t="s">
        <v>531</v>
      </c>
      <c r="BY378">
        <v>6000</v>
      </c>
      <c r="BZ378" t="s">
        <v>90</v>
      </c>
      <c r="CA378" t="s">
        <v>104</v>
      </c>
      <c r="CC378" t="s">
        <v>98</v>
      </c>
      <c r="CD378">
        <v>7460</v>
      </c>
      <c r="CE378" t="s">
        <v>93</v>
      </c>
      <c r="CF378" s="3">
        <v>45740</v>
      </c>
      <c r="CI378">
        <v>1</v>
      </c>
      <c r="CJ378">
        <v>1</v>
      </c>
      <c r="CK378">
        <v>23</v>
      </c>
      <c r="CL378" t="s">
        <v>87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"080011469318"</f>
        <v>080011469318</v>
      </c>
      <c r="F379" s="3">
        <v>45735</v>
      </c>
      <c r="G379">
        <v>202512</v>
      </c>
      <c r="H379" t="s">
        <v>79</v>
      </c>
      <c r="I379" t="s">
        <v>80</v>
      </c>
      <c r="J379" t="s">
        <v>81</v>
      </c>
      <c r="K379" t="s">
        <v>78</v>
      </c>
      <c r="L379" t="s">
        <v>519</v>
      </c>
      <c r="M379" t="s">
        <v>520</v>
      </c>
      <c r="N379" t="s">
        <v>1228</v>
      </c>
      <c r="O379" t="s">
        <v>82</v>
      </c>
      <c r="P379" t="str">
        <f>"-                             "</f>
        <v xml:space="preserve">-     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24.06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</v>
      </c>
      <c r="BJ379">
        <v>0.2</v>
      </c>
      <c r="BK379">
        <v>1</v>
      </c>
      <c r="BL379">
        <v>72.66</v>
      </c>
      <c r="BM379">
        <v>10.9</v>
      </c>
      <c r="BN379">
        <v>83.56</v>
      </c>
      <c r="BO379">
        <v>83.56</v>
      </c>
      <c r="BP379" t="s">
        <v>83</v>
      </c>
      <c r="BQ379" t="s">
        <v>1229</v>
      </c>
      <c r="BR379" t="s">
        <v>84</v>
      </c>
      <c r="BS379" s="3">
        <v>45736</v>
      </c>
      <c r="BT379" s="4">
        <v>0.46319444444444446</v>
      </c>
      <c r="BU379" t="s">
        <v>1230</v>
      </c>
      <c r="BV379" t="s">
        <v>87</v>
      </c>
      <c r="BW379" t="s">
        <v>187</v>
      </c>
      <c r="BX379" t="s">
        <v>997</v>
      </c>
      <c r="BY379">
        <v>1200</v>
      </c>
      <c r="BZ379" t="s">
        <v>90</v>
      </c>
      <c r="CA379" t="s">
        <v>1231</v>
      </c>
      <c r="CC379" t="s">
        <v>520</v>
      </c>
      <c r="CD379">
        <v>6000</v>
      </c>
      <c r="CE379" t="s">
        <v>93</v>
      </c>
      <c r="CF379" s="3">
        <v>45736</v>
      </c>
      <c r="CI379">
        <v>1</v>
      </c>
      <c r="CJ379">
        <v>1</v>
      </c>
      <c r="CK379">
        <v>21</v>
      </c>
      <c r="CL379" t="s">
        <v>87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"080011469467"</f>
        <v>080011469467</v>
      </c>
      <c r="F380" s="3">
        <v>45735</v>
      </c>
      <c r="G380">
        <v>202512</v>
      </c>
      <c r="H380" t="s">
        <v>79</v>
      </c>
      <c r="I380" t="s">
        <v>80</v>
      </c>
      <c r="J380" t="s">
        <v>81</v>
      </c>
      <c r="K380" t="s">
        <v>78</v>
      </c>
      <c r="L380" t="s">
        <v>75</v>
      </c>
      <c r="M380" t="s">
        <v>76</v>
      </c>
      <c r="N380" t="s">
        <v>77</v>
      </c>
      <c r="O380" t="s">
        <v>82</v>
      </c>
      <c r="P380" t="str">
        <f>"-                             "</f>
        <v xml:space="preserve">-     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42.08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1.9</v>
      </c>
      <c r="BJ380">
        <v>3.1</v>
      </c>
      <c r="BK380">
        <v>3.5</v>
      </c>
      <c r="BL380">
        <v>127.1</v>
      </c>
      <c r="BM380">
        <v>19.07</v>
      </c>
      <c r="BN380">
        <v>146.16999999999999</v>
      </c>
      <c r="BO380">
        <v>146.16999999999999</v>
      </c>
      <c r="BP380" t="s">
        <v>83</v>
      </c>
      <c r="BQ380" t="s">
        <v>85</v>
      </c>
      <c r="BR380" t="s">
        <v>84</v>
      </c>
      <c r="BS380" s="3">
        <v>45736</v>
      </c>
      <c r="BT380" s="4">
        <v>0.45069444444444445</v>
      </c>
      <c r="BU380" t="s">
        <v>1211</v>
      </c>
      <c r="BV380" t="s">
        <v>87</v>
      </c>
      <c r="BW380" t="s">
        <v>198</v>
      </c>
      <c r="BX380" t="s">
        <v>199</v>
      </c>
      <c r="BY380">
        <v>7680</v>
      </c>
      <c r="BZ380" t="s">
        <v>90</v>
      </c>
      <c r="CC380" t="s">
        <v>76</v>
      </c>
      <c r="CD380">
        <v>4000</v>
      </c>
      <c r="CE380" t="s">
        <v>1212</v>
      </c>
      <c r="CF380" s="3">
        <v>45740</v>
      </c>
      <c r="CI380">
        <v>1</v>
      </c>
      <c r="CJ380">
        <v>1</v>
      </c>
      <c r="CK380">
        <v>21</v>
      </c>
      <c r="CL380" t="s">
        <v>87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"GAB2024999"</f>
        <v>GAB2024999</v>
      </c>
      <c r="F381" s="3">
        <v>45735</v>
      </c>
      <c r="G381">
        <v>202512</v>
      </c>
      <c r="H381" t="s">
        <v>97</v>
      </c>
      <c r="I381" t="s">
        <v>98</v>
      </c>
      <c r="J381" t="s">
        <v>99</v>
      </c>
      <c r="K381" t="s">
        <v>78</v>
      </c>
      <c r="L381" t="s">
        <v>238</v>
      </c>
      <c r="M381" t="s">
        <v>239</v>
      </c>
      <c r="N381" t="s">
        <v>1232</v>
      </c>
      <c r="O381" t="s">
        <v>100</v>
      </c>
      <c r="P381" t="str">
        <f>"INV-00032583 030175           "</f>
        <v xml:space="preserve">INV-00032583 030175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77.25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2</v>
      </c>
      <c r="BI381">
        <v>10.5</v>
      </c>
      <c r="BJ381">
        <v>30.4</v>
      </c>
      <c r="BK381">
        <v>31</v>
      </c>
      <c r="BL381">
        <v>238.88</v>
      </c>
      <c r="BM381">
        <v>35.83</v>
      </c>
      <c r="BN381">
        <v>274.70999999999998</v>
      </c>
      <c r="BO381">
        <v>274.70999999999998</v>
      </c>
      <c r="BR381" t="s">
        <v>101</v>
      </c>
      <c r="BS381" s="3">
        <v>45740</v>
      </c>
      <c r="BT381" s="4">
        <v>0.44236111111111109</v>
      </c>
      <c r="BU381" t="s">
        <v>1233</v>
      </c>
      <c r="BV381" t="s">
        <v>109</v>
      </c>
      <c r="BY381">
        <v>152246.35999999999</v>
      </c>
      <c r="CA381" t="s">
        <v>1234</v>
      </c>
      <c r="CC381" t="s">
        <v>239</v>
      </c>
      <c r="CD381">
        <v>2193</v>
      </c>
      <c r="CE381" t="s">
        <v>911</v>
      </c>
      <c r="CF381" s="3">
        <v>45741</v>
      </c>
      <c r="CI381">
        <v>3</v>
      </c>
      <c r="CJ381">
        <v>3</v>
      </c>
      <c r="CK381">
        <v>41</v>
      </c>
      <c r="CL381" t="s">
        <v>87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"GAB2024984"</f>
        <v>GAB2024984</v>
      </c>
      <c r="F382" s="3">
        <v>45735</v>
      </c>
      <c r="G382">
        <v>202512</v>
      </c>
      <c r="H382" t="s">
        <v>97</v>
      </c>
      <c r="I382" t="s">
        <v>98</v>
      </c>
      <c r="J382" t="s">
        <v>99</v>
      </c>
      <c r="K382" t="s">
        <v>78</v>
      </c>
      <c r="L382" t="s">
        <v>369</v>
      </c>
      <c r="M382" t="s">
        <v>370</v>
      </c>
      <c r="N382" t="s">
        <v>1235</v>
      </c>
      <c r="O382" t="s">
        <v>82</v>
      </c>
      <c r="P382" t="str">
        <f>"INV-00116273 CT093276         "</f>
        <v xml:space="preserve">INV-00116273 CT093276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33.83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0.7</v>
      </c>
      <c r="BJ382">
        <v>1.7</v>
      </c>
      <c r="BK382">
        <v>2</v>
      </c>
      <c r="BL382">
        <v>102.18</v>
      </c>
      <c r="BM382">
        <v>15.33</v>
      </c>
      <c r="BN382">
        <v>117.51</v>
      </c>
      <c r="BO382">
        <v>117.51</v>
      </c>
      <c r="BR382" t="s">
        <v>101</v>
      </c>
      <c r="BS382" s="3">
        <v>45736</v>
      </c>
      <c r="BT382" s="4">
        <v>0.56805555555555554</v>
      </c>
      <c r="BU382" t="s">
        <v>1236</v>
      </c>
      <c r="BV382" t="s">
        <v>109</v>
      </c>
      <c r="BY382">
        <v>8381.01</v>
      </c>
      <c r="CA382" t="s">
        <v>374</v>
      </c>
      <c r="CC382" t="s">
        <v>370</v>
      </c>
      <c r="CD382">
        <v>6850</v>
      </c>
      <c r="CE382" t="s">
        <v>229</v>
      </c>
      <c r="CF382" s="3">
        <v>45740</v>
      </c>
      <c r="CI382">
        <v>2</v>
      </c>
      <c r="CJ382">
        <v>1</v>
      </c>
      <c r="CK382">
        <v>24</v>
      </c>
      <c r="CL382" t="s">
        <v>87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"GAB2024985"</f>
        <v>GAB2024985</v>
      </c>
      <c r="F383" s="3">
        <v>45735</v>
      </c>
      <c r="G383">
        <v>202512</v>
      </c>
      <c r="H383" t="s">
        <v>97</v>
      </c>
      <c r="I383" t="s">
        <v>98</v>
      </c>
      <c r="J383" t="s">
        <v>99</v>
      </c>
      <c r="K383" t="s">
        <v>78</v>
      </c>
      <c r="L383" t="s">
        <v>381</v>
      </c>
      <c r="M383" t="s">
        <v>381</v>
      </c>
      <c r="N383" t="s">
        <v>382</v>
      </c>
      <c r="O383" t="s">
        <v>82</v>
      </c>
      <c r="P383" t="str">
        <f>"INV-00116274 CT093305         "</f>
        <v xml:space="preserve">INV-00116274 CT093305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58.54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3.3</v>
      </c>
      <c r="BK383">
        <v>3.5</v>
      </c>
      <c r="BL383">
        <v>176.81</v>
      </c>
      <c r="BM383">
        <v>26.52</v>
      </c>
      <c r="BN383">
        <v>203.33</v>
      </c>
      <c r="BO383">
        <v>203.33</v>
      </c>
      <c r="BQ383" t="s">
        <v>210</v>
      </c>
      <c r="BR383" t="s">
        <v>101</v>
      </c>
      <c r="BS383" s="3">
        <v>45736</v>
      </c>
      <c r="BT383" s="4">
        <v>0.46250000000000002</v>
      </c>
      <c r="BU383" t="s">
        <v>384</v>
      </c>
      <c r="BV383" t="s">
        <v>109</v>
      </c>
      <c r="BY383">
        <v>16423.68</v>
      </c>
      <c r="CA383" t="s">
        <v>385</v>
      </c>
      <c r="CC383" t="s">
        <v>381</v>
      </c>
      <c r="CD383">
        <v>7646</v>
      </c>
      <c r="CE383" t="s">
        <v>137</v>
      </c>
      <c r="CF383" s="3">
        <v>45740</v>
      </c>
      <c r="CI383">
        <v>1</v>
      </c>
      <c r="CJ383">
        <v>1</v>
      </c>
      <c r="CK383">
        <v>24</v>
      </c>
      <c r="CL383" t="s">
        <v>87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"GAB2024986"</f>
        <v>GAB2024986</v>
      </c>
      <c r="F384" s="3">
        <v>45735</v>
      </c>
      <c r="G384">
        <v>202512</v>
      </c>
      <c r="H384" t="s">
        <v>97</v>
      </c>
      <c r="I384" t="s">
        <v>98</v>
      </c>
      <c r="J384" t="s">
        <v>99</v>
      </c>
      <c r="K384" t="s">
        <v>78</v>
      </c>
      <c r="L384" t="s">
        <v>637</v>
      </c>
      <c r="M384" t="s">
        <v>638</v>
      </c>
      <c r="N384" t="s">
        <v>639</v>
      </c>
      <c r="O384" t="s">
        <v>82</v>
      </c>
      <c r="P384" t="str">
        <f>"INV-00033762 031251           "</f>
        <v xml:space="preserve">INV-00033762 031251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57.13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0.2</v>
      </c>
      <c r="BJ384">
        <v>2.1</v>
      </c>
      <c r="BK384">
        <v>2.5</v>
      </c>
      <c r="BL384">
        <v>172.55</v>
      </c>
      <c r="BM384">
        <v>25.88</v>
      </c>
      <c r="BN384">
        <v>198.43</v>
      </c>
      <c r="BO384">
        <v>198.43</v>
      </c>
      <c r="BQ384" t="s">
        <v>640</v>
      </c>
      <c r="BR384" t="s">
        <v>101</v>
      </c>
      <c r="BS384" s="3">
        <v>45740</v>
      </c>
      <c r="BT384" s="4">
        <v>0.37638888888888888</v>
      </c>
      <c r="BU384" t="s">
        <v>641</v>
      </c>
      <c r="BV384" t="s">
        <v>109</v>
      </c>
      <c r="BY384">
        <v>10631.06</v>
      </c>
      <c r="CC384" t="s">
        <v>638</v>
      </c>
      <c r="CD384">
        <v>9499</v>
      </c>
      <c r="CE384" t="s">
        <v>149</v>
      </c>
      <c r="CF384" s="3">
        <v>45741</v>
      </c>
      <c r="CI384">
        <v>2</v>
      </c>
      <c r="CJ384">
        <v>3</v>
      </c>
      <c r="CK384">
        <v>23</v>
      </c>
      <c r="CL384" t="s">
        <v>87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"GAB2024987"</f>
        <v>GAB2024987</v>
      </c>
      <c r="F385" s="3">
        <v>45735</v>
      </c>
      <c r="G385">
        <v>202512</v>
      </c>
      <c r="H385" t="s">
        <v>97</v>
      </c>
      <c r="I385" t="s">
        <v>98</v>
      </c>
      <c r="J385" t="s">
        <v>99</v>
      </c>
      <c r="K385" t="s">
        <v>78</v>
      </c>
      <c r="L385" t="s">
        <v>519</v>
      </c>
      <c r="M385" t="s">
        <v>520</v>
      </c>
      <c r="N385" t="s">
        <v>951</v>
      </c>
      <c r="O385" t="s">
        <v>82</v>
      </c>
      <c r="P385" t="str">
        <f>"INV-00033763 031177           "</f>
        <v xml:space="preserve">INV-00033763 031177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30.07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</v>
      </c>
      <c r="BJ385">
        <v>2.4</v>
      </c>
      <c r="BK385">
        <v>2.5</v>
      </c>
      <c r="BL385">
        <v>90.81</v>
      </c>
      <c r="BM385">
        <v>13.62</v>
      </c>
      <c r="BN385">
        <v>104.43</v>
      </c>
      <c r="BO385">
        <v>104.43</v>
      </c>
      <c r="BQ385" t="s">
        <v>766</v>
      </c>
      <c r="BR385" t="s">
        <v>101</v>
      </c>
      <c r="BS385" s="3">
        <v>45736</v>
      </c>
      <c r="BT385" s="4">
        <v>0.40277777777777779</v>
      </c>
      <c r="BU385" t="s">
        <v>1113</v>
      </c>
      <c r="BV385" t="s">
        <v>109</v>
      </c>
      <c r="BY385">
        <v>12000</v>
      </c>
      <c r="CA385" t="s">
        <v>709</v>
      </c>
      <c r="CC385" t="s">
        <v>520</v>
      </c>
      <c r="CD385">
        <v>6001</v>
      </c>
      <c r="CE385" t="s">
        <v>149</v>
      </c>
      <c r="CF385" s="3">
        <v>45736</v>
      </c>
      <c r="CI385">
        <v>2</v>
      </c>
      <c r="CJ385">
        <v>1</v>
      </c>
      <c r="CK385">
        <v>21</v>
      </c>
      <c r="CL385" t="s">
        <v>87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"GAB2024989"</f>
        <v>GAB2024989</v>
      </c>
      <c r="F386" s="3">
        <v>45735</v>
      </c>
      <c r="G386">
        <v>202512</v>
      </c>
      <c r="H386" t="s">
        <v>97</v>
      </c>
      <c r="I386" t="s">
        <v>98</v>
      </c>
      <c r="J386" t="s">
        <v>99</v>
      </c>
      <c r="K386" t="s">
        <v>78</v>
      </c>
      <c r="L386" t="s">
        <v>75</v>
      </c>
      <c r="M386" t="s">
        <v>76</v>
      </c>
      <c r="N386" t="s">
        <v>871</v>
      </c>
      <c r="O386" t="s">
        <v>82</v>
      </c>
      <c r="P386" t="str">
        <f>"INV-00033764 031250           "</f>
        <v xml:space="preserve">INV-00033764 031250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30.07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</v>
      </c>
      <c r="BJ386">
        <v>2.4</v>
      </c>
      <c r="BK386">
        <v>2.5</v>
      </c>
      <c r="BL386">
        <v>90.81</v>
      </c>
      <c r="BM386">
        <v>13.62</v>
      </c>
      <c r="BN386">
        <v>104.43</v>
      </c>
      <c r="BO386">
        <v>104.43</v>
      </c>
      <c r="BQ386" t="s">
        <v>872</v>
      </c>
      <c r="BR386" t="s">
        <v>101</v>
      </c>
      <c r="BS386" s="3">
        <v>45740</v>
      </c>
      <c r="BT386" s="4">
        <v>0.48749999999999999</v>
      </c>
      <c r="BU386" t="s">
        <v>1237</v>
      </c>
      <c r="BV386" t="s">
        <v>87</v>
      </c>
      <c r="BW386" t="s">
        <v>187</v>
      </c>
      <c r="BX386" t="s">
        <v>364</v>
      </c>
      <c r="BY386">
        <v>12000</v>
      </c>
      <c r="CA386" t="s">
        <v>279</v>
      </c>
      <c r="CC386" t="s">
        <v>76</v>
      </c>
      <c r="CD386">
        <v>3629</v>
      </c>
      <c r="CE386" t="s">
        <v>137</v>
      </c>
      <c r="CF386" s="3">
        <v>45741</v>
      </c>
      <c r="CI386">
        <v>2</v>
      </c>
      <c r="CJ386">
        <v>3</v>
      </c>
      <c r="CK386">
        <v>21</v>
      </c>
      <c r="CL386" t="s">
        <v>87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"GAB2024991"</f>
        <v>GAB2024991</v>
      </c>
      <c r="F387" s="3">
        <v>45735</v>
      </c>
      <c r="G387">
        <v>202512</v>
      </c>
      <c r="H387" t="s">
        <v>97</v>
      </c>
      <c r="I387" t="s">
        <v>98</v>
      </c>
      <c r="J387" t="s">
        <v>99</v>
      </c>
      <c r="K387" t="s">
        <v>78</v>
      </c>
      <c r="L387" t="s">
        <v>238</v>
      </c>
      <c r="M387" t="s">
        <v>239</v>
      </c>
      <c r="N387" t="s">
        <v>289</v>
      </c>
      <c r="O387" t="s">
        <v>82</v>
      </c>
      <c r="P387" t="str">
        <f>"INV-00116259 CT093277         "</f>
        <v xml:space="preserve">INV-00116259 CT093277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24.06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0.1</v>
      </c>
      <c r="BJ387">
        <v>1.9</v>
      </c>
      <c r="BK387">
        <v>2</v>
      </c>
      <c r="BL387">
        <v>72.66</v>
      </c>
      <c r="BM387">
        <v>10.9</v>
      </c>
      <c r="BN387">
        <v>83.56</v>
      </c>
      <c r="BO387">
        <v>83.56</v>
      </c>
      <c r="BQ387" t="s">
        <v>290</v>
      </c>
      <c r="BR387" t="s">
        <v>101</v>
      </c>
      <c r="BS387" s="3">
        <v>45736</v>
      </c>
      <c r="BT387" s="4">
        <v>0.56180555555555556</v>
      </c>
      <c r="BU387" t="s">
        <v>1238</v>
      </c>
      <c r="BV387" t="s">
        <v>87</v>
      </c>
      <c r="BW387" t="s">
        <v>88</v>
      </c>
      <c r="BX387" t="s">
        <v>1239</v>
      </c>
      <c r="BY387">
        <v>9313.6200000000008</v>
      </c>
      <c r="CA387" t="s">
        <v>1240</v>
      </c>
      <c r="CC387" t="s">
        <v>239</v>
      </c>
      <c r="CD387">
        <v>2196</v>
      </c>
      <c r="CE387" t="s">
        <v>149</v>
      </c>
      <c r="CF387" s="3">
        <v>45736</v>
      </c>
      <c r="CI387">
        <v>1</v>
      </c>
      <c r="CJ387">
        <v>1</v>
      </c>
      <c r="CK387">
        <v>21</v>
      </c>
      <c r="CL387" t="s">
        <v>87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"GAB2024992"</f>
        <v>GAB2024992</v>
      </c>
      <c r="F388" s="3">
        <v>45735</v>
      </c>
      <c r="G388">
        <v>202512</v>
      </c>
      <c r="H388" t="s">
        <v>97</v>
      </c>
      <c r="I388" t="s">
        <v>98</v>
      </c>
      <c r="J388" t="s">
        <v>99</v>
      </c>
      <c r="K388" t="s">
        <v>78</v>
      </c>
      <c r="L388" t="s">
        <v>683</v>
      </c>
      <c r="M388" t="s">
        <v>684</v>
      </c>
      <c r="N388" t="s">
        <v>941</v>
      </c>
      <c r="O388" t="s">
        <v>82</v>
      </c>
      <c r="P388" t="str">
        <f>"INV-00116260 CT093283         "</f>
        <v xml:space="preserve">INV-00116260 CT093283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24.06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</v>
      </c>
      <c r="BK388">
        <v>2</v>
      </c>
      <c r="BL388">
        <v>72.66</v>
      </c>
      <c r="BM388">
        <v>10.9</v>
      </c>
      <c r="BN388">
        <v>83.56</v>
      </c>
      <c r="BO388">
        <v>83.56</v>
      </c>
      <c r="BQ388" t="s">
        <v>942</v>
      </c>
      <c r="BR388" t="s">
        <v>101</v>
      </c>
      <c r="BS388" s="3">
        <v>45740</v>
      </c>
      <c r="BT388" s="4">
        <v>0.43611111111111112</v>
      </c>
      <c r="BU388" t="s">
        <v>1241</v>
      </c>
      <c r="BV388" t="s">
        <v>109</v>
      </c>
      <c r="BY388">
        <v>10047.15</v>
      </c>
      <c r="CA388" t="s">
        <v>1242</v>
      </c>
      <c r="CC388" t="s">
        <v>684</v>
      </c>
      <c r="CD388">
        <v>8301</v>
      </c>
      <c r="CE388" t="s">
        <v>149</v>
      </c>
      <c r="CF388" s="3">
        <v>45741</v>
      </c>
      <c r="CI388">
        <v>2</v>
      </c>
      <c r="CJ388">
        <v>3</v>
      </c>
      <c r="CK388">
        <v>21</v>
      </c>
      <c r="CL388" t="s">
        <v>87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"GAB2024994"</f>
        <v>GAB2024994</v>
      </c>
      <c r="F389" s="3">
        <v>45735</v>
      </c>
      <c r="G389">
        <v>202512</v>
      </c>
      <c r="H389" t="s">
        <v>97</v>
      </c>
      <c r="I389" t="s">
        <v>98</v>
      </c>
      <c r="J389" t="s">
        <v>99</v>
      </c>
      <c r="K389" t="s">
        <v>78</v>
      </c>
      <c r="L389" t="s">
        <v>138</v>
      </c>
      <c r="M389" t="s">
        <v>139</v>
      </c>
      <c r="N389" t="s">
        <v>140</v>
      </c>
      <c r="O389" t="s">
        <v>82</v>
      </c>
      <c r="P389" t="str">
        <f>"INV-00116265 CT093282         "</f>
        <v xml:space="preserve">INV-00116265 CT093282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57.13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2.2000000000000002</v>
      </c>
      <c r="BK389">
        <v>2.5</v>
      </c>
      <c r="BL389">
        <v>172.55</v>
      </c>
      <c r="BM389">
        <v>25.88</v>
      </c>
      <c r="BN389">
        <v>198.43</v>
      </c>
      <c r="BO389">
        <v>198.43</v>
      </c>
      <c r="BQ389" t="s">
        <v>141</v>
      </c>
      <c r="BR389" t="s">
        <v>101</v>
      </c>
      <c r="BS389" s="3">
        <v>45740</v>
      </c>
      <c r="BT389" s="4">
        <v>0.3888888888888889</v>
      </c>
      <c r="BU389" t="s">
        <v>1243</v>
      </c>
      <c r="BV389" t="s">
        <v>87</v>
      </c>
      <c r="BW389" t="s">
        <v>633</v>
      </c>
      <c r="BX389" t="s">
        <v>1244</v>
      </c>
      <c r="BY389">
        <v>10829.49</v>
      </c>
      <c r="CA389" t="s">
        <v>143</v>
      </c>
      <c r="CC389" t="s">
        <v>139</v>
      </c>
      <c r="CD389">
        <v>1900</v>
      </c>
      <c r="CE389" t="s">
        <v>137</v>
      </c>
      <c r="CF389" s="3">
        <v>45740</v>
      </c>
      <c r="CI389">
        <v>1</v>
      </c>
      <c r="CJ389">
        <v>3</v>
      </c>
      <c r="CK389">
        <v>23</v>
      </c>
      <c r="CL389" t="s">
        <v>87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"GAB2024995"</f>
        <v>GAB2024995</v>
      </c>
      <c r="F390" s="3">
        <v>45735</v>
      </c>
      <c r="G390">
        <v>202512</v>
      </c>
      <c r="H390" t="s">
        <v>97</v>
      </c>
      <c r="I390" t="s">
        <v>98</v>
      </c>
      <c r="J390" t="s">
        <v>99</v>
      </c>
      <c r="K390" t="s">
        <v>78</v>
      </c>
      <c r="L390" t="s">
        <v>369</v>
      </c>
      <c r="M390" t="s">
        <v>370</v>
      </c>
      <c r="N390" t="s">
        <v>371</v>
      </c>
      <c r="O390" t="s">
        <v>82</v>
      </c>
      <c r="P390" t="str">
        <f>"INV-00033761 030690           "</f>
        <v xml:space="preserve">INV-00033761 030690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50.31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0.4</v>
      </c>
      <c r="BJ390">
        <v>2.9</v>
      </c>
      <c r="BK390">
        <v>3</v>
      </c>
      <c r="BL390">
        <v>151.94</v>
      </c>
      <c r="BM390">
        <v>22.79</v>
      </c>
      <c r="BN390">
        <v>174.73</v>
      </c>
      <c r="BO390">
        <v>174.73</v>
      </c>
      <c r="BQ390" t="s">
        <v>378</v>
      </c>
      <c r="BR390" t="s">
        <v>101</v>
      </c>
      <c r="BS390" s="3">
        <v>45736</v>
      </c>
      <c r="BT390" s="4">
        <v>0.65486111111111112</v>
      </c>
      <c r="BU390" t="s">
        <v>373</v>
      </c>
      <c r="BV390" t="s">
        <v>109</v>
      </c>
      <c r="BY390">
        <v>14464.28</v>
      </c>
      <c r="CA390" t="s">
        <v>374</v>
      </c>
      <c r="CC390" t="s">
        <v>370</v>
      </c>
      <c r="CD390">
        <v>6850</v>
      </c>
      <c r="CE390" t="s">
        <v>237</v>
      </c>
      <c r="CF390" s="3">
        <v>45740</v>
      </c>
      <c r="CI390">
        <v>2</v>
      </c>
      <c r="CJ390">
        <v>1</v>
      </c>
      <c r="CK390">
        <v>24</v>
      </c>
      <c r="CL390" t="s">
        <v>87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"GAB2024996"</f>
        <v>GAB2024996</v>
      </c>
      <c r="F391" s="3">
        <v>45735</v>
      </c>
      <c r="G391">
        <v>202512</v>
      </c>
      <c r="H391" t="s">
        <v>97</v>
      </c>
      <c r="I391" t="s">
        <v>98</v>
      </c>
      <c r="J391" t="s">
        <v>99</v>
      </c>
      <c r="K391" t="s">
        <v>78</v>
      </c>
      <c r="L391" t="s">
        <v>75</v>
      </c>
      <c r="M391" t="s">
        <v>76</v>
      </c>
      <c r="N391" t="s">
        <v>1245</v>
      </c>
      <c r="O391" t="s">
        <v>82</v>
      </c>
      <c r="P391" t="str">
        <f>"INV-00116242 CT093228         "</f>
        <v xml:space="preserve">INV-00116242 CT093228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24.06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1.7</v>
      </c>
      <c r="BK391">
        <v>2</v>
      </c>
      <c r="BL391">
        <v>72.66</v>
      </c>
      <c r="BM391">
        <v>10.9</v>
      </c>
      <c r="BN391">
        <v>83.56</v>
      </c>
      <c r="BO391">
        <v>83.56</v>
      </c>
      <c r="BQ391" t="s">
        <v>1246</v>
      </c>
      <c r="BR391" t="s">
        <v>101</v>
      </c>
      <c r="BS391" s="3">
        <v>45740</v>
      </c>
      <c r="BT391" s="4">
        <v>0.49236111111111114</v>
      </c>
      <c r="BU391" t="s">
        <v>1247</v>
      </c>
      <c r="BV391" t="s">
        <v>87</v>
      </c>
      <c r="BW391" t="s">
        <v>187</v>
      </c>
      <c r="BX391" t="s">
        <v>732</v>
      </c>
      <c r="BY391">
        <v>8448</v>
      </c>
      <c r="CA391" t="s">
        <v>733</v>
      </c>
      <c r="CC391" t="s">
        <v>76</v>
      </c>
      <c r="CD391">
        <v>4091</v>
      </c>
      <c r="CE391" t="s">
        <v>224</v>
      </c>
      <c r="CF391" s="3">
        <v>45741</v>
      </c>
      <c r="CI391">
        <v>2</v>
      </c>
      <c r="CJ391">
        <v>3</v>
      </c>
      <c r="CK391">
        <v>21</v>
      </c>
      <c r="CL391" t="s">
        <v>87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"GAB2024997"</f>
        <v>GAB2024997</v>
      </c>
      <c r="F392" s="3">
        <v>45735</v>
      </c>
      <c r="G392">
        <v>202512</v>
      </c>
      <c r="H392" t="s">
        <v>97</v>
      </c>
      <c r="I392" t="s">
        <v>98</v>
      </c>
      <c r="J392" t="s">
        <v>99</v>
      </c>
      <c r="K392" t="s">
        <v>78</v>
      </c>
      <c r="L392" t="s">
        <v>75</v>
      </c>
      <c r="M392" t="s">
        <v>76</v>
      </c>
      <c r="N392" t="s">
        <v>1248</v>
      </c>
      <c r="O392" t="s">
        <v>82</v>
      </c>
      <c r="P392" t="str">
        <f>"INV-00116244 CT093249         "</f>
        <v xml:space="preserve">INV-00116244 CT093249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24.06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1.7</v>
      </c>
      <c r="BK392">
        <v>2</v>
      </c>
      <c r="BL392">
        <v>72.66</v>
      </c>
      <c r="BM392">
        <v>10.9</v>
      </c>
      <c r="BN392">
        <v>83.56</v>
      </c>
      <c r="BO392">
        <v>83.56</v>
      </c>
      <c r="BQ392" t="s">
        <v>1249</v>
      </c>
      <c r="BR392" t="s">
        <v>101</v>
      </c>
      <c r="BS392" s="3">
        <v>45740</v>
      </c>
      <c r="BT392" s="4">
        <v>0.54166666666666663</v>
      </c>
      <c r="BU392" t="s">
        <v>1250</v>
      </c>
      <c r="BV392" t="s">
        <v>87</v>
      </c>
      <c r="BW392" t="s">
        <v>187</v>
      </c>
      <c r="BX392" t="s">
        <v>732</v>
      </c>
      <c r="BY392">
        <v>8448</v>
      </c>
      <c r="CA392" t="s">
        <v>733</v>
      </c>
      <c r="CC392" t="s">
        <v>76</v>
      </c>
      <c r="CD392">
        <v>4001</v>
      </c>
      <c r="CE392" t="s">
        <v>193</v>
      </c>
      <c r="CF392" s="3">
        <v>45741</v>
      </c>
      <c r="CI392">
        <v>2</v>
      </c>
      <c r="CJ392">
        <v>3</v>
      </c>
      <c r="CK392">
        <v>21</v>
      </c>
      <c r="CL392" t="s">
        <v>87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"GAB2024998"</f>
        <v>GAB2024998</v>
      </c>
      <c r="F393" s="3">
        <v>45735</v>
      </c>
      <c r="G393">
        <v>202512</v>
      </c>
      <c r="H393" t="s">
        <v>97</v>
      </c>
      <c r="I393" t="s">
        <v>98</v>
      </c>
      <c r="J393" t="s">
        <v>99</v>
      </c>
      <c r="K393" t="s">
        <v>78</v>
      </c>
      <c r="L393" t="s">
        <v>244</v>
      </c>
      <c r="M393" t="s">
        <v>245</v>
      </c>
      <c r="N393" t="s">
        <v>246</v>
      </c>
      <c r="O393" t="s">
        <v>82</v>
      </c>
      <c r="P393" t="str">
        <f>"INV-00116256 CT093269         "</f>
        <v xml:space="preserve">INV-00116256 CT093269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57.13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1.1000000000000001</v>
      </c>
      <c r="BJ393">
        <v>2.4</v>
      </c>
      <c r="BK393">
        <v>2.5</v>
      </c>
      <c r="BL393">
        <v>172.55</v>
      </c>
      <c r="BM393">
        <v>25.88</v>
      </c>
      <c r="BN393">
        <v>198.43</v>
      </c>
      <c r="BO393">
        <v>198.43</v>
      </c>
      <c r="BQ393" t="s">
        <v>247</v>
      </c>
      <c r="BR393" t="s">
        <v>101</v>
      </c>
      <c r="BS393" s="3">
        <v>45740</v>
      </c>
      <c r="BT393" s="4">
        <v>0.41111111111111109</v>
      </c>
      <c r="BU393" t="s">
        <v>386</v>
      </c>
      <c r="BV393" t="s">
        <v>109</v>
      </c>
      <c r="BY393">
        <v>11836.11</v>
      </c>
      <c r="CC393" t="s">
        <v>245</v>
      </c>
      <c r="CD393" s="5" t="s">
        <v>249</v>
      </c>
      <c r="CE393" t="s">
        <v>1251</v>
      </c>
      <c r="CF393" s="3">
        <v>45741</v>
      </c>
      <c r="CI393">
        <v>2</v>
      </c>
      <c r="CJ393">
        <v>3</v>
      </c>
      <c r="CK393">
        <v>23</v>
      </c>
      <c r="CL393" t="s">
        <v>87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"GAB2025001"</f>
        <v>GAB2025001</v>
      </c>
      <c r="F394" s="3">
        <v>45735</v>
      </c>
      <c r="G394">
        <v>202512</v>
      </c>
      <c r="H394" t="s">
        <v>97</v>
      </c>
      <c r="I394" t="s">
        <v>98</v>
      </c>
      <c r="J394" t="s">
        <v>99</v>
      </c>
      <c r="K394" t="s">
        <v>78</v>
      </c>
      <c r="L394" t="s">
        <v>305</v>
      </c>
      <c r="M394" t="s">
        <v>306</v>
      </c>
      <c r="N394" t="s">
        <v>307</v>
      </c>
      <c r="O394" t="s">
        <v>82</v>
      </c>
      <c r="P394" t="str">
        <f>"INV-00116258 CT093278         "</f>
        <v xml:space="preserve">INV-00116258 CT093278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57.13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2.2999999999999998</v>
      </c>
      <c r="BK394">
        <v>2.5</v>
      </c>
      <c r="BL394">
        <v>172.55</v>
      </c>
      <c r="BM394">
        <v>25.88</v>
      </c>
      <c r="BN394">
        <v>198.43</v>
      </c>
      <c r="BO394">
        <v>198.43</v>
      </c>
      <c r="BQ394" t="s">
        <v>308</v>
      </c>
      <c r="BR394" t="s">
        <v>101</v>
      </c>
      <c r="BS394" s="3">
        <v>45740</v>
      </c>
      <c r="BT394" s="4">
        <v>0.57013888888888886</v>
      </c>
      <c r="BU394" t="s">
        <v>1252</v>
      </c>
      <c r="BV394" t="s">
        <v>109</v>
      </c>
      <c r="BY394">
        <v>11389.4</v>
      </c>
      <c r="CA394" t="s">
        <v>1253</v>
      </c>
      <c r="CC394" t="s">
        <v>306</v>
      </c>
      <c r="CD394" s="5" t="s">
        <v>311</v>
      </c>
      <c r="CE394" t="s">
        <v>149</v>
      </c>
      <c r="CF394" s="3">
        <v>45741</v>
      </c>
      <c r="CI394">
        <v>2</v>
      </c>
      <c r="CJ394">
        <v>3</v>
      </c>
      <c r="CK394">
        <v>23</v>
      </c>
      <c r="CL394" t="s">
        <v>87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"GAB2025002"</f>
        <v>GAB2025002</v>
      </c>
      <c r="F395" s="3">
        <v>45735</v>
      </c>
      <c r="G395">
        <v>202512</v>
      </c>
      <c r="H395" t="s">
        <v>97</v>
      </c>
      <c r="I395" t="s">
        <v>98</v>
      </c>
      <c r="J395" t="s">
        <v>99</v>
      </c>
      <c r="K395" t="s">
        <v>78</v>
      </c>
      <c r="L395" t="s">
        <v>75</v>
      </c>
      <c r="M395" t="s">
        <v>76</v>
      </c>
      <c r="N395" t="s">
        <v>266</v>
      </c>
      <c r="O395" t="s">
        <v>82</v>
      </c>
      <c r="P395" t="str">
        <f>"INV-00116285 CT093313         "</f>
        <v xml:space="preserve">INV-00116285 CT093313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312.5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2</v>
      </c>
      <c r="BI395">
        <v>10</v>
      </c>
      <c r="BJ395">
        <v>25.8</v>
      </c>
      <c r="BK395">
        <v>26</v>
      </c>
      <c r="BL395">
        <v>943.82</v>
      </c>
      <c r="BM395">
        <v>141.57</v>
      </c>
      <c r="BN395">
        <v>1085.3900000000001</v>
      </c>
      <c r="BO395">
        <v>1085.3900000000001</v>
      </c>
      <c r="BQ395" t="s">
        <v>267</v>
      </c>
      <c r="BR395" t="s">
        <v>101</v>
      </c>
      <c r="BS395" s="3">
        <v>45740</v>
      </c>
      <c r="BT395" s="4">
        <v>0.42222222222222222</v>
      </c>
      <c r="BU395" t="s">
        <v>268</v>
      </c>
      <c r="BV395" t="s">
        <v>109</v>
      </c>
      <c r="BY395">
        <v>64380</v>
      </c>
      <c r="CA395" t="s">
        <v>269</v>
      </c>
      <c r="CC395" t="s">
        <v>76</v>
      </c>
      <c r="CD395">
        <v>4001</v>
      </c>
      <c r="CE395" t="s">
        <v>1254</v>
      </c>
      <c r="CF395" s="3">
        <v>45741</v>
      </c>
      <c r="CI395">
        <v>2</v>
      </c>
      <c r="CJ395">
        <v>3</v>
      </c>
      <c r="CK395">
        <v>21</v>
      </c>
      <c r="CL395" t="s">
        <v>87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"GAB2025003"</f>
        <v>GAB2025003</v>
      </c>
      <c r="F396" s="3">
        <v>45735</v>
      </c>
      <c r="G396">
        <v>202512</v>
      </c>
      <c r="H396" t="s">
        <v>97</v>
      </c>
      <c r="I396" t="s">
        <v>98</v>
      </c>
      <c r="J396" t="s">
        <v>99</v>
      </c>
      <c r="K396" t="s">
        <v>78</v>
      </c>
      <c r="L396" t="s">
        <v>97</v>
      </c>
      <c r="M396" t="s">
        <v>98</v>
      </c>
      <c r="N396" t="s">
        <v>220</v>
      </c>
      <c r="O396" t="s">
        <v>82</v>
      </c>
      <c r="P396" t="str">
        <f>"INV-00116286 CT093316         "</f>
        <v xml:space="preserve">INV-00116286 CT093316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18.79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0.5</v>
      </c>
      <c r="BJ396">
        <v>1.8</v>
      </c>
      <c r="BK396">
        <v>2</v>
      </c>
      <c r="BL396">
        <v>56.75</v>
      </c>
      <c r="BM396">
        <v>8.51</v>
      </c>
      <c r="BN396">
        <v>65.260000000000005</v>
      </c>
      <c r="BO396">
        <v>65.260000000000005</v>
      </c>
      <c r="BQ396" t="s">
        <v>221</v>
      </c>
      <c r="BR396" t="s">
        <v>101</v>
      </c>
      <c r="BS396" s="3">
        <v>45736</v>
      </c>
      <c r="BT396" s="4">
        <v>0.43333333333333335</v>
      </c>
      <c r="BU396" t="s">
        <v>990</v>
      </c>
      <c r="BV396" t="s">
        <v>109</v>
      </c>
      <c r="BY396">
        <v>9028.7999999999993</v>
      </c>
      <c r="CA396" t="s">
        <v>962</v>
      </c>
      <c r="CC396" t="s">
        <v>98</v>
      </c>
      <c r="CD396">
        <v>7800</v>
      </c>
      <c r="CE396" t="s">
        <v>662</v>
      </c>
      <c r="CF396" s="3">
        <v>45740</v>
      </c>
      <c r="CI396">
        <v>1</v>
      </c>
      <c r="CJ396">
        <v>1</v>
      </c>
      <c r="CK396">
        <v>22</v>
      </c>
      <c r="CL396" t="s">
        <v>87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"GAB2025005"</f>
        <v>GAB2025005</v>
      </c>
      <c r="F397" s="3">
        <v>45735</v>
      </c>
      <c r="G397">
        <v>202512</v>
      </c>
      <c r="H397" t="s">
        <v>97</v>
      </c>
      <c r="I397" t="s">
        <v>98</v>
      </c>
      <c r="J397" t="s">
        <v>99</v>
      </c>
      <c r="K397" t="s">
        <v>78</v>
      </c>
      <c r="L397" t="s">
        <v>1255</v>
      </c>
      <c r="M397" t="s">
        <v>1256</v>
      </c>
      <c r="N397" t="s">
        <v>1257</v>
      </c>
      <c r="O397" t="s">
        <v>82</v>
      </c>
      <c r="P397" t="str">
        <f>"INV-00116287 CT093312         "</f>
        <v xml:space="preserve">INV-00116287 CT093312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57.13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2.4</v>
      </c>
      <c r="BK397">
        <v>2.5</v>
      </c>
      <c r="BL397">
        <v>172.55</v>
      </c>
      <c r="BM397">
        <v>25.88</v>
      </c>
      <c r="BN397">
        <v>198.43</v>
      </c>
      <c r="BO397">
        <v>198.43</v>
      </c>
      <c r="BQ397" t="s">
        <v>1258</v>
      </c>
      <c r="BR397" t="s">
        <v>101</v>
      </c>
      <c r="BS397" s="3">
        <v>45740</v>
      </c>
      <c r="BT397" s="4">
        <v>0.43402777777777779</v>
      </c>
      <c r="BU397" t="s">
        <v>1259</v>
      </c>
      <c r="BV397" t="s">
        <v>87</v>
      </c>
      <c r="BY397">
        <v>12023.51</v>
      </c>
      <c r="CA397" t="s">
        <v>1260</v>
      </c>
      <c r="CC397" t="s">
        <v>1256</v>
      </c>
      <c r="CD397">
        <v>2300</v>
      </c>
      <c r="CE397" t="s">
        <v>129</v>
      </c>
      <c r="CF397" s="3">
        <v>45742</v>
      </c>
      <c r="CI397">
        <v>1</v>
      </c>
      <c r="CJ397">
        <v>3</v>
      </c>
      <c r="CK397">
        <v>23</v>
      </c>
      <c r="CL397" t="s">
        <v>87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"GAB2025006"</f>
        <v>GAB2025006</v>
      </c>
      <c r="F398" s="3">
        <v>45735</v>
      </c>
      <c r="G398">
        <v>202512</v>
      </c>
      <c r="H398" t="s">
        <v>97</v>
      </c>
      <c r="I398" t="s">
        <v>98</v>
      </c>
      <c r="J398" t="s">
        <v>99</v>
      </c>
      <c r="K398" t="s">
        <v>78</v>
      </c>
      <c r="L398" t="s">
        <v>683</v>
      </c>
      <c r="M398" t="s">
        <v>684</v>
      </c>
      <c r="N398" t="s">
        <v>1261</v>
      </c>
      <c r="O398" t="s">
        <v>82</v>
      </c>
      <c r="P398" t="str">
        <f>"INV-00116288 CT0+             "</f>
        <v xml:space="preserve">INV-00116288 CT0+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36.08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0.4</v>
      </c>
      <c r="BJ398">
        <v>2.8</v>
      </c>
      <c r="BK398">
        <v>3</v>
      </c>
      <c r="BL398">
        <v>108.96</v>
      </c>
      <c r="BM398">
        <v>16.34</v>
      </c>
      <c r="BN398">
        <v>125.3</v>
      </c>
      <c r="BO398">
        <v>125.3</v>
      </c>
      <c r="BQ398" t="s">
        <v>1262</v>
      </c>
      <c r="BR398" t="s">
        <v>101</v>
      </c>
      <c r="BS398" s="3">
        <v>45740</v>
      </c>
      <c r="BT398" s="4">
        <v>0.43402777777777779</v>
      </c>
      <c r="BU398" t="s">
        <v>1263</v>
      </c>
      <c r="BV398" t="s">
        <v>109</v>
      </c>
      <c r="BY398">
        <v>14117.54</v>
      </c>
      <c r="CA398" t="s">
        <v>1242</v>
      </c>
      <c r="CC398" t="s">
        <v>684</v>
      </c>
      <c r="CD398">
        <v>8301</v>
      </c>
      <c r="CE398" t="s">
        <v>213</v>
      </c>
      <c r="CF398" s="3">
        <v>45741</v>
      </c>
      <c r="CI398">
        <v>2</v>
      </c>
      <c r="CJ398">
        <v>3</v>
      </c>
      <c r="CK398">
        <v>21</v>
      </c>
      <c r="CL398" t="s">
        <v>87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"GAB2025007"</f>
        <v>GAB2025007</v>
      </c>
      <c r="F399" s="3">
        <v>45735</v>
      </c>
      <c r="G399">
        <v>202512</v>
      </c>
      <c r="H399" t="s">
        <v>97</v>
      </c>
      <c r="I399" t="s">
        <v>98</v>
      </c>
      <c r="J399" t="s">
        <v>99</v>
      </c>
      <c r="K399" t="s">
        <v>78</v>
      </c>
      <c r="L399" t="s">
        <v>1264</v>
      </c>
      <c r="M399" t="s">
        <v>1265</v>
      </c>
      <c r="N399" t="s">
        <v>1266</v>
      </c>
      <c r="O399" t="s">
        <v>82</v>
      </c>
      <c r="P399" t="str">
        <f>"INV-00033775 030868           "</f>
        <v xml:space="preserve">INV-00033775 030868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88.7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</v>
      </c>
      <c r="BJ399">
        <v>3.8</v>
      </c>
      <c r="BK399">
        <v>4</v>
      </c>
      <c r="BL399">
        <v>267.89999999999998</v>
      </c>
      <c r="BM399">
        <v>40.19</v>
      </c>
      <c r="BN399">
        <v>308.08999999999997</v>
      </c>
      <c r="BO399">
        <v>308.08999999999997</v>
      </c>
      <c r="BQ399" t="s">
        <v>1267</v>
      </c>
      <c r="BR399" t="s">
        <v>101</v>
      </c>
      <c r="BS399" s="3">
        <v>45737</v>
      </c>
      <c r="BT399" s="4">
        <v>0.4513888888888889</v>
      </c>
      <c r="BU399" t="s">
        <v>185</v>
      </c>
      <c r="BV399" t="s">
        <v>109</v>
      </c>
      <c r="BY399">
        <v>19200</v>
      </c>
      <c r="CC399" t="s">
        <v>1265</v>
      </c>
      <c r="CD399">
        <v>5320</v>
      </c>
      <c r="CE399" t="s">
        <v>237</v>
      </c>
      <c r="CF399" s="3">
        <v>45740</v>
      </c>
      <c r="CI399">
        <v>5</v>
      </c>
      <c r="CJ399">
        <v>2</v>
      </c>
      <c r="CK399">
        <v>23</v>
      </c>
      <c r="CL399" t="s">
        <v>87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"GAB2025008"</f>
        <v>GAB2025008</v>
      </c>
      <c r="F400" s="3">
        <v>45735</v>
      </c>
      <c r="G400">
        <v>202512</v>
      </c>
      <c r="H400" t="s">
        <v>97</v>
      </c>
      <c r="I400" t="s">
        <v>98</v>
      </c>
      <c r="J400" t="s">
        <v>99</v>
      </c>
      <c r="K400" t="s">
        <v>78</v>
      </c>
      <c r="L400" t="s">
        <v>112</v>
      </c>
      <c r="M400" t="s">
        <v>113</v>
      </c>
      <c r="N400" t="s">
        <v>597</v>
      </c>
      <c r="O400" t="s">
        <v>82</v>
      </c>
      <c r="P400" t="str">
        <f>"INV-00116267 CT093303         "</f>
        <v xml:space="preserve">INV-00116267 CT093303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24.06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1.7</v>
      </c>
      <c r="BK400">
        <v>2</v>
      </c>
      <c r="BL400">
        <v>72.66</v>
      </c>
      <c r="BM400">
        <v>10.9</v>
      </c>
      <c r="BN400">
        <v>83.56</v>
      </c>
      <c r="BO400">
        <v>83.56</v>
      </c>
      <c r="BR400" t="s">
        <v>101</v>
      </c>
      <c r="BS400" s="3">
        <v>45736</v>
      </c>
      <c r="BT400" s="4">
        <v>0.3840277777777778</v>
      </c>
      <c r="BU400" t="s">
        <v>1268</v>
      </c>
      <c r="BV400" t="s">
        <v>109</v>
      </c>
      <c r="BY400">
        <v>8448</v>
      </c>
      <c r="CA400" t="s">
        <v>599</v>
      </c>
      <c r="CC400" t="s">
        <v>113</v>
      </c>
      <c r="CD400">
        <v>9301</v>
      </c>
      <c r="CE400" t="s">
        <v>193</v>
      </c>
      <c r="CF400" s="3">
        <v>45740</v>
      </c>
      <c r="CI400">
        <v>2</v>
      </c>
      <c r="CJ400">
        <v>1</v>
      </c>
      <c r="CK400">
        <v>21</v>
      </c>
      <c r="CL400" t="s">
        <v>87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"080011470015"</f>
        <v>080011470015</v>
      </c>
      <c r="F401" s="3">
        <v>45736</v>
      </c>
      <c r="G401">
        <v>202512</v>
      </c>
      <c r="H401" t="s">
        <v>79</v>
      </c>
      <c r="I401" t="s">
        <v>80</v>
      </c>
      <c r="J401" t="s">
        <v>81</v>
      </c>
      <c r="K401" t="s">
        <v>78</v>
      </c>
      <c r="L401" t="s">
        <v>112</v>
      </c>
      <c r="M401" t="s">
        <v>113</v>
      </c>
      <c r="N401" t="s">
        <v>1269</v>
      </c>
      <c r="O401" t="s">
        <v>82</v>
      </c>
      <c r="P401" t="str">
        <f>"-                             "</f>
        <v xml:space="preserve">- 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24.06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1.3</v>
      </c>
      <c r="BJ401">
        <v>1.8</v>
      </c>
      <c r="BK401">
        <v>2</v>
      </c>
      <c r="BL401">
        <v>72.66</v>
      </c>
      <c r="BM401">
        <v>10.9</v>
      </c>
      <c r="BN401">
        <v>83.56</v>
      </c>
      <c r="BO401">
        <v>83.56</v>
      </c>
      <c r="BP401" t="s">
        <v>83</v>
      </c>
      <c r="BQ401" t="s">
        <v>1270</v>
      </c>
      <c r="BR401" t="s">
        <v>84</v>
      </c>
      <c r="BS401" s="3">
        <v>45740</v>
      </c>
      <c r="BT401" s="4">
        <v>0.5756944444444444</v>
      </c>
      <c r="BU401" t="s">
        <v>1270</v>
      </c>
      <c r="BV401" t="s">
        <v>87</v>
      </c>
      <c r="BW401" t="s">
        <v>1271</v>
      </c>
      <c r="BX401" t="s">
        <v>1153</v>
      </c>
      <c r="BY401">
        <v>8976</v>
      </c>
      <c r="BZ401" t="s">
        <v>90</v>
      </c>
      <c r="CA401" t="s">
        <v>1272</v>
      </c>
      <c r="CC401" t="s">
        <v>113</v>
      </c>
      <c r="CD401">
        <v>9300</v>
      </c>
      <c r="CE401" t="s">
        <v>93</v>
      </c>
      <c r="CF401" s="3">
        <v>45741</v>
      </c>
      <c r="CI401">
        <v>1</v>
      </c>
      <c r="CJ401">
        <v>2</v>
      </c>
      <c r="CK401">
        <v>21</v>
      </c>
      <c r="CL401" t="s">
        <v>87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"080011470112"</f>
        <v>080011470112</v>
      </c>
      <c r="F402" s="3">
        <v>45736</v>
      </c>
      <c r="G402">
        <v>202512</v>
      </c>
      <c r="H402" t="s">
        <v>79</v>
      </c>
      <c r="I402" t="s">
        <v>80</v>
      </c>
      <c r="J402" t="s">
        <v>81</v>
      </c>
      <c r="K402" t="s">
        <v>78</v>
      </c>
      <c r="L402" t="s">
        <v>519</v>
      </c>
      <c r="M402" t="s">
        <v>520</v>
      </c>
      <c r="N402" t="s">
        <v>1273</v>
      </c>
      <c r="O402" t="s">
        <v>82</v>
      </c>
      <c r="P402" t="str">
        <f>"-                             "</f>
        <v xml:space="preserve">-     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24.06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1</v>
      </c>
      <c r="BK402">
        <v>1</v>
      </c>
      <c r="BL402">
        <v>72.66</v>
      </c>
      <c r="BM402">
        <v>10.9</v>
      </c>
      <c r="BN402">
        <v>83.56</v>
      </c>
      <c r="BO402">
        <v>83.56</v>
      </c>
      <c r="BP402" t="s">
        <v>83</v>
      </c>
      <c r="BQ402" t="s">
        <v>1274</v>
      </c>
      <c r="BR402" t="s">
        <v>84</v>
      </c>
      <c r="BS402" s="3">
        <v>45742</v>
      </c>
      <c r="BT402" s="4">
        <v>0.65694444444444444</v>
      </c>
      <c r="BU402" t="s">
        <v>632</v>
      </c>
      <c r="BV402" t="s">
        <v>87</v>
      </c>
      <c r="BW402" t="s">
        <v>1271</v>
      </c>
      <c r="BX402" t="s">
        <v>634</v>
      </c>
      <c r="BY402">
        <v>4800</v>
      </c>
      <c r="BZ402" t="s">
        <v>90</v>
      </c>
      <c r="CC402" t="s">
        <v>520</v>
      </c>
      <c r="CD402">
        <v>6000</v>
      </c>
      <c r="CE402" t="s">
        <v>1212</v>
      </c>
      <c r="CF402" s="3">
        <v>45743</v>
      </c>
      <c r="CI402">
        <v>1</v>
      </c>
      <c r="CJ402">
        <v>4</v>
      </c>
      <c r="CK402">
        <v>21</v>
      </c>
      <c r="CL402" t="s">
        <v>87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"GAB2025009"</f>
        <v>GAB2025009</v>
      </c>
      <c r="F403" s="3">
        <v>45736</v>
      </c>
      <c r="G403">
        <v>202512</v>
      </c>
      <c r="H403" t="s">
        <v>97</v>
      </c>
      <c r="I403" t="s">
        <v>98</v>
      </c>
      <c r="J403" t="s">
        <v>99</v>
      </c>
      <c r="K403" t="s">
        <v>78</v>
      </c>
      <c r="L403" t="s">
        <v>1275</v>
      </c>
      <c r="M403" t="s">
        <v>1276</v>
      </c>
      <c r="N403" t="s">
        <v>1277</v>
      </c>
      <c r="O403" t="s">
        <v>82</v>
      </c>
      <c r="P403" t="str">
        <f>"INV-00033776 031280           "</f>
        <v xml:space="preserve">INV-00033776 031280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50.31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0.4</v>
      </c>
      <c r="BJ403">
        <v>2.6</v>
      </c>
      <c r="BK403">
        <v>3</v>
      </c>
      <c r="BL403">
        <v>151.94</v>
      </c>
      <c r="BM403">
        <v>22.79</v>
      </c>
      <c r="BN403">
        <v>174.73</v>
      </c>
      <c r="BO403">
        <v>174.73</v>
      </c>
      <c r="BQ403" t="s">
        <v>372</v>
      </c>
      <c r="BR403" t="s">
        <v>101</v>
      </c>
      <c r="BS403" s="3">
        <v>45740</v>
      </c>
      <c r="BT403" s="4">
        <v>0.80208333333333337</v>
      </c>
      <c r="BU403" t="s">
        <v>1278</v>
      </c>
      <c r="BV403" t="s">
        <v>109</v>
      </c>
      <c r="BY403">
        <v>12760.71</v>
      </c>
      <c r="BZ403" t="s">
        <v>90</v>
      </c>
      <c r="CA403" t="s">
        <v>1279</v>
      </c>
      <c r="CC403" t="s">
        <v>1276</v>
      </c>
      <c r="CD403">
        <v>7230</v>
      </c>
      <c r="CE403" t="s">
        <v>352</v>
      </c>
      <c r="CF403" s="3">
        <v>45741</v>
      </c>
      <c r="CI403">
        <v>2</v>
      </c>
      <c r="CJ403">
        <v>2</v>
      </c>
      <c r="CK403">
        <v>24</v>
      </c>
      <c r="CL403" t="s">
        <v>87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"GAB2025010"</f>
        <v>GAB2025010</v>
      </c>
      <c r="F404" s="3">
        <v>45736</v>
      </c>
      <c r="G404">
        <v>202512</v>
      </c>
      <c r="H404" t="s">
        <v>97</v>
      </c>
      <c r="I404" t="s">
        <v>98</v>
      </c>
      <c r="J404" t="s">
        <v>99</v>
      </c>
      <c r="K404" t="s">
        <v>78</v>
      </c>
      <c r="L404" t="s">
        <v>75</v>
      </c>
      <c r="M404" t="s">
        <v>76</v>
      </c>
      <c r="N404" t="s">
        <v>1037</v>
      </c>
      <c r="O404" t="s">
        <v>82</v>
      </c>
      <c r="P404" t="str">
        <f>"INV-00033817 031282           "</f>
        <v xml:space="preserve">INV-00033817 031282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36.08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2.7</v>
      </c>
      <c r="BK404">
        <v>3</v>
      </c>
      <c r="BL404">
        <v>108.96</v>
      </c>
      <c r="BM404">
        <v>16.34</v>
      </c>
      <c r="BN404">
        <v>125.3</v>
      </c>
      <c r="BO404">
        <v>125.3</v>
      </c>
      <c r="BQ404" t="s">
        <v>356</v>
      </c>
      <c r="BR404" t="s">
        <v>101</v>
      </c>
      <c r="BS404" s="3">
        <v>45740</v>
      </c>
      <c r="BT404" s="4">
        <v>0.41736111111111113</v>
      </c>
      <c r="BU404" t="s">
        <v>1196</v>
      </c>
      <c r="BV404" t="s">
        <v>109</v>
      </c>
      <c r="BY404">
        <v>13358.4</v>
      </c>
      <c r="BZ404" t="s">
        <v>90</v>
      </c>
      <c r="CA404" t="s">
        <v>192</v>
      </c>
      <c r="CC404" t="s">
        <v>76</v>
      </c>
      <c r="CD404">
        <v>4001</v>
      </c>
      <c r="CE404" t="s">
        <v>129</v>
      </c>
      <c r="CF404" s="3">
        <v>45741</v>
      </c>
      <c r="CI404">
        <v>2</v>
      </c>
      <c r="CJ404">
        <v>2</v>
      </c>
      <c r="CK404">
        <v>21</v>
      </c>
      <c r="CL404" t="s">
        <v>87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"GAB2025011"</f>
        <v>GAB2025011</v>
      </c>
      <c r="F405" s="3">
        <v>45736</v>
      </c>
      <c r="G405">
        <v>202512</v>
      </c>
      <c r="H405" t="s">
        <v>97</v>
      </c>
      <c r="I405" t="s">
        <v>98</v>
      </c>
      <c r="J405" t="s">
        <v>99</v>
      </c>
      <c r="K405" t="s">
        <v>78</v>
      </c>
      <c r="L405" t="s">
        <v>491</v>
      </c>
      <c r="M405" t="s">
        <v>492</v>
      </c>
      <c r="N405" t="s">
        <v>1280</v>
      </c>
      <c r="O405" t="s">
        <v>82</v>
      </c>
      <c r="P405" t="str">
        <f>"INV-00033818 031210           "</f>
        <v xml:space="preserve">INV-00033818 031210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24.06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2</v>
      </c>
      <c r="BK405">
        <v>2</v>
      </c>
      <c r="BL405">
        <v>72.66</v>
      </c>
      <c r="BM405">
        <v>10.9</v>
      </c>
      <c r="BN405">
        <v>83.56</v>
      </c>
      <c r="BO405">
        <v>83.56</v>
      </c>
      <c r="BQ405" t="s">
        <v>749</v>
      </c>
      <c r="BR405" t="s">
        <v>101</v>
      </c>
      <c r="BS405" s="3">
        <v>45740</v>
      </c>
      <c r="BT405" s="4">
        <v>0.2951388888888889</v>
      </c>
      <c r="BU405" t="s">
        <v>1281</v>
      </c>
      <c r="BV405" t="s">
        <v>109</v>
      </c>
      <c r="BY405">
        <v>10230</v>
      </c>
      <c r="BZ405" t="s">
        <v>90</v>
      </c>
      <c r="CC405" t="s">
        <v>492</v>
      </c>
      <c r="CD405">
        <v>1709</v>
      </c>
      <c r="CE405" t="s">
        <v>137</v>
      </c>
      <c r="CF405" s="3">
        <v>45741</v>
      </c>
      <c r="CI405">
        <v>1</v>
      </c>
      <c r="CJ405">
        <v>2</v>
      </c>
      <c r="CK405">
        <v>21</v>
      </c>
      <c r="CL405" t="s">
        <v>87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"GAB2025012"</f>
        <v>GAB2025012</v>
      </c>
      <c r="F406" s="3">
        <v>45736</v>
      </c>
      <c r="G406">
        <v>202512</v>
      </c>
      <c r="H406" t="s">
        <v>97</v>
      </c>
      <c r="I406" t="s">
        <v>98</v>
      </c>
      <c r="J406" t="s">
        <v>99</v>
      </c>
      <c r="K406" t="s">
        <v>78</v>
      </c>
      <c r="L406" t="s">
        <v>97</v>
      </c>
      <c r="M406" t="s">
        <v>98</v>
      </c>
      <c r="N406" t="s">
        <v>862</v>
      </c>
      <c r="O406" t="s">
        <v>82</v>
      </c>
      <c r="P406" t="str">
        <f>"INV-00116291 CT093318         "</f>
        <v xml:space="preserve">INV-00116291 CT093318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18.79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0.5</v>
      </c>
      <c r="BJ406">
        <v>1.7</v>
      </c>
      <c r="BK406">
        <v>2</v>
      </c>
      <c r="BL406">
        <v>56.75</v>
      </c>
      <c r="BM406">
        <v>8.51</v>
      </c>
      <c r="BN406">
        <v>65.260000000000005</v>
      </c>
      <c r="BO406">
        <v>65.260000000000005</v>
      </c>
      <c r="BQ406" t="s">
        <v>863</v>
      </c>
      <c r="BR406" t="s">
        <v>101</v>
      </c>
      <c r="BS406" s="3">
        <v>45740</v>
      </c>
      <c r="BT406" s="4">
        <v>0.37847222222222221</v>
      </c>
      <c r="BU406" t="s">
        <v>1282</v>
      </c>
      <c r="BV406" t="s">
        <v>109</v>
      </c>
      <c r="BY406">
        <v>8514</v>
      </c>
      <c r="BZ406" t="s">
        <v>90</v>
      </c>
      <c r="CA406" t="s">
        <v>1283</v>
      </c>
      <c r="CC406" t="s">
        <v>98</v>
      </c>
      <c r="CD406">
        <v>7441</v>
      </c>
      <c r="CE406" t="s">
        <v>854</v>
      </c>
      <c r="CF406" s="3">
        <v>45741</v>
      </c>
      <c r="CI406">
        <v>1</v>
      </c>
      <c r="CJ406">
        <v>2</v>
      </c>
      <c r="CK406">
        <v>22</v>
      </c>
      <c r="CL406" t="s">
        <v>87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"GAB2025013"</f>
        <v>GAB2025013</v>
      </c>
      <c r="F407" s="3">
        <v>45736</v>
      </c>
      <c r="G407">
        <v>202512</v>
      </c>
      <c r="H407" t="s">
        <v>97</v>
      </c>
      <c r="I407" t="s">
        <v>98</v>
      </c>
      <c r="J407" t="s">
        <v>99</v>
      </c>
      <c r="K407" t="s">
        <v>78</v>
      </c>
      <c r="L407" t="s">
        <v>401</v>
      </c>
      <c r="M407" t="s">
        <v>402</v>
      </c>
      <c r="N407" t="s">
        <v>403</v>
      </c>
      <c r="O407" t="s">
        <v>82</v>
      </c>
      <c r="P407" t="str">
        <f>"INV-00033814 031229           "</f>
        <v xml:space="preserve">INV-00033814 031229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57.13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2.4</v>
      </c>
      <c r="BK407">
        <v>2.5</v>
      </c>
      <c r="BL407">
        <v>172.55</v>
      </c>
      <c r="BM407">
        <v>25.88</v>
      </c>
      <c r="BN407">
        <v>198.43</v>
      </c>
      <c r="BO407">
        <v>198.43</v>
      </c>
      <c r="BQ407" t="s">
        <v>404</v>
      </c>
      <c r="BR407" t="s">
        <v>101</v>
      </c>
      <c r="BS407" s="3">
        <v>45741</v>
      </c>
      <c r="BT407" s="4">
        <v>0.42569444444444443</v>
      </c>
      <c r="BU407" t="s">
        <v>1284</v>
      </c>
      <c r="BV407" t="s">
        <v>109</v>
      </c>
      <c r="BY407">
        <v>11941.02</v>
      </c>
      <c r="BZ407" t="s">
        <v>90</v>
      </c>
      <c r="CA407" t="s">
        <v>406</v>
      </c>
      <c r="CC407" t="s">
        <v>402</v>
      </c>
      <c r="CD407" s="5" t="s">
        <v>407</v>
      </c>
      <c r="CE407" t="s">
        <v>213</v>
      </c>
      <c r="CF407" s="3">
        <v>45742</v>
      </c>
      <c r="CI407">
        <v>2</v>
      </c>
      <c r="CJ407">
        <v>3</v>
      </c>
      <c r="CK407">
        <v>23</v>
      </c>
      <c r="CL407" t="s">
        <v>87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"GAB2025014"</f>
        <v>GAB2025014</v>
      </c>
      <c r="F408" s="3">
        <v>45736</v>
      </c>
      <c r="G408">
        <v>202512</v>
      </c>
      <c r="H408" t="s">
        <v>97</v>
      </c>
      <c r="I408" t="s">
        <v>98</v>
      </c>
      <c r="J408" t="s">
        <v>99</v>
      </c>
      <c r="K408" t="s">
        <v>78</v>
      </c>
      <c r="L408" t="s">
        <v>540</v>
      </c>
      <c r="M408" t="s">
        <v>541</v>
      </c>
      <c r="N408" t="s">
        <v>542</v>
      </c>
      <c r="O408" t="s">
        <v>82</v>
      </c>
      <c r="P408" t="str">
        <f>"INV-00033815 031191           "</f>
        <v xml:space="preserve">INV-00033815 031191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46.61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0.4</v>
      </c>
      <c r="BJ408">
        <v>1.7</v>
      </c>
      <c r="BK408">
        <v>2</v>
      </c>
      <c r="BL408">
        <v>140.77000000000001</v>
      </c>
      <c r="BM408">
        <v>21.12</v>
      </c>
      <c r="BN408">
        <v>161.88999999999999</v>
      </c>
      <c r="BO408">
        <v>161.88999999999999</v>
      </c>
      <c r="BQ408" t="s">
        <v>783</v>
      </c>
      <c r="BR408" t="s">
        <v>101</v>
      </c>
      <c r="BS408" s="3">
        <v>45740</v>
      </c>
      <c r="BT408" s="4">
        <v>0.47916666666666669</v>
      </c>
      <c r="BU408" t="s">
        <v>1285</v>
      </c>
      <c r="BV408" t="s">
        <v>109</v>
      </c>
      <c r="BY408">
        <v>8278.8799999999992</v>
      </c>
      <c r="BZ408" t="s">
        <v>90</v>
      </c>
      <c r="CC408" t="s">
        <v>541</v>
      </c>
      <c r="CD408">
        <v>6500</v>
      </c>
      <c r="CE408" t="s">
        <v>854</v>
      </c>
      <c r="CF408" s="3">
        <v>45741</v>
      </c>
      <c r="CI408">
        <v>1</v>
      </c>
      <c r="CJ408">
        <v>2</v>
      </c>
      <c r="CK408">
        <v>23</v>
      </c>
      <c r="CL408" t="s">
        <v>87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"GAB2025015"</f>
        <v>GAB2025015</v>
      </c>
      <c r="F409" s="3">
        <v>45736</v>
      </c>
      <c r="G409">
        <v>202512</v>
      </c>
      <c r="H409" t="s">
        <v>97</v>
      </c>
      <c r="I409" t="s">
        <v>98</v>
      </c>
      <c r="J409" t="s">
        <v>99</v>
      </c>
      <c r="K409" t="s">
        <v>78</v>
      </c>
      <c r="L409" t="s">
        <v>238</v>
      </c>
      <c r="M409" t="s">
        <v>239</v>
      </c>
      <c r="N409" t="s">
        <v>651</v>
      </c>
      <c r="O409" t="s">
        <v>82</v>
      </c>
      <c r="P409" t="str">
        <f>"INV-00033819 031194           "</f>
        <v xml:space="preserve">INV-00033819 031194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30.07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0.1</v>
      </c>
      <c r="BJ409">
        <v>2.2999999999999998</v>
      </c>
      <c r="BK409">
        <v>2.5</v>
      </c>
      <c r="BL409">
        <v>90.81</v>
      </c>
      <c r="BM409">
        <v>13.62</v>
      </c>
      <c r="BN409">
        <v>104.43</v>
      </c>
      <c r="BO409">
        <v>104.43</v>
      </c>
      <c r="BQ409" t="s">
        <v>367</v>
      </c>
      <c r="BR409" t="s">
        <v>101</v>
      </c>
      <c r="BS409" s="3">
        <v>45740</v>
      </c>
      <c r="BT409" s="4">
        <v>0.35347222222222224</v>
      </c>
      <c r="BU409" t="s">
        <v>1286</v>
      </c>
      <c r="BV409" t="s">
        <v>109</v>
      </c>
      <c r="BY409">
        <v>11252.54</v>
      </c>
      <c r="BZ409" t="s">
        <v>90</v>
      </c>
      <c r="CA409" t="s">
        <v>653</v>
      </c>
      <c r="CC409" t="s">
        <v>239</v>
      </c>
      <c r="CD409">
        <v>2000</v>
      </c>
      <c r="CE409" t="s">
        <v>149</v>
      </c>
      <c r="CF409" s="3">
        <v>45741</v>
      </c>
      <c r="CI409">
        <v>1</v>
      </c>
      <c r="CJ409">
        <v>2</v>
      </c>
      <c r="CK409">
        <v>21</v>
      </c>
      <c r="CL409" t="s">
        <v>87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"GAB2025017"</f>
        <v>GAB2025017</v>
      </c>
      <c r="F410" s="3">
        <v>45736</v>
      </c>
      <c r="G410">
        <v>202512</v>
      </c>
      <c r="H410" t="s">
        <v>97</v>
      </c>
      <c r="I410" t="s">
        <v>98</v>
      </c>
      <c r="J410" t="s">
        <v>99</v>
      </c>
      <c r="K410" t="s">
        <v>78</v>
      </c>
      <c r="L410" t="s">
        <v>238</v>
      </c>
      <c r="M410" t="s">
        <v>239</v>
      </c>
      <c r="N410" t="s">
        <v>240</v>
      </c>
      <c r="O410" t="s">
        <v>82</v>
      </c>
      <c r="P410" t="str">
        <f>"INV-00033816 031281           "</f>
        <v xml:space="preserve">INV-00033816 031281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30.07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0.1</v>
      </c>
      <c r="BJ410">
        <v>2.2000000000000002</v>
      </c>
      <c r="BK410">
        <v>2.5</v>
      </c>
      <c r="BL410">
        <v>90.81</v>
      </c>
      <c r="BM410">
        <v>13.62</v>
      </c>
      <c r="BN410">
        <v>104.43</v>
      </c>
      <c r="BO410">
        <v>104.43</v>
      </c>
      <c r="BQ410" t="s">
        <v>241</v>
      </c>
      <c r="BR410" t="s">
        <v>101</v>
      </c>
      <c r="BS410" s="3">
        <v>45740</v>
      </c>
      <c r="BT410" s="4">
        <v>0.4375</v>
      </c>
      <c r="BU410" t="s">
        <v>1287</v>
      </c>
      <c r="BV410" t="s">
        <v>109</v>
      </c>
      <c r="BY410">
        <v>11178</v>
      </c>
      <c r="BZ410" t="s">
        <v>90</v>
      </c>
      <c r="CA410" t="s">
        <v>1188</v>
      </c>
      <c r="CC410" t="s">
        <v>239</v>
      </c>
      <c r="CD410">
        <v>2040</v>
      </c>
      <c r="CE410" t="s">
        <v>137</v>
      </c>
      <c r="CF410" s="3">
        <v>45741</v>
      </c>
      <c r="CI410">
        <v>1</v>
      </c>
      <c r="CJ410">
        <v>2</v>
      </c>
      <c r="CK410">
        <v>21</v>
      </c>
      <c r="CL410" t="s">
        <v>87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"GAB2025018"</f>
        <v>GAB2025018</v>
      </c>
      <c r="F411" s="3">
        <v>45736</v>
      </c>
      <c r="G411">
        <v>202512</v>
      </c>
      <c r="H411" t="s">
        <v>97</v>
      </c>
      <c r="I411" t="s">
        <v>98</v>
      </c>
      <c r="J411" t="s">
        <v>99</v>
      </c>
      <c r="K411" t="s">
        <v>78</v>
      </c>
      <c r="L411" t="s">
        <v>738</v>
      </c>
      <c r="M411" t="s">
        <v>739</v>
      </c>
      <c r="N411" t="s">
        <v>1288</v>
      </c>
      <c r="O411" t="s">
        <v>82</v>
      </c>
      <c r="P411" t="str">
        <f>"INV-00116296 CT093334         "</f>
        <v xml:space="preserve">INV-00116296 CT093334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30.07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2.4</v>
      </c>
      <c r="BK411">
        <v>2.5</v>
      </c>
      <c r="BL411">
        <v>90.81</v>
      </c>
      <c r="BM411">
        <v>13.62</v>
      </c>
      <c r="BN411">
        <v>104.43</v>
      </c>
      <c r="BO411">
        <v>104.43</v>
      </c>
      <c r="BR411" t="s">
        <v>101</v>
      </c>
      <c r="BS411" s="3">
        <v>45740</v>
      </c>
      <c r="BT411" s="4">
        <v>0.42638888888888887</v>
      </c>
      <c r="BU411" t="s">
        <v>1289</v>
      </c>
      <c r="BV411" t="s">
        <v>109</v>
      </c>
      <c r="BY411">
        <v>12243</v>
      </c>
      <c r="BZ411" t="s">
        <v>90</v>
      </c>
      <c r="CA411" t="s">
        <v>1290</v>
      </c>
      <c r="CC411" t="s">
        <v>739</v>
      </c>
      <c r="CD411">
        <v>1447</v>
      </c>
      <c r="CE411" t="s">
        <v>213</v>
      </c>
      <c r="CF411" s="3">
        <v>45740</v>
      </c>
      <c r="CI411">
        <v>1</v>
      </c>
      <c r="CJ411">
        <v>2</v>
      </c>
      <c r="CK411">
        <v>21</v>
      </c>
      <c r="CL411" t="s">
        <v>87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"GAB2025019"</f>
        <v>GAB2025019</v>
      </c>
      <c r="F412" s="3">
        <v>45736</v>
      </c>
      <c r="G412">
        <v>202512</v>
      </c>
      <c r="H412" t="s">
        <v>97</v>
      </c>
      <c r="I412" t="s">
        <v>98</v>
      </c>
      <c r="J412" t="s">
        <v>99</v>
      </c>
      <c r="K412" t="s">
        <v>78</v>
      </c>
      <c r="L412" t="s">
        <v>339</v>
      </c>
      <c r="M412" t="s">
        <v>340</v>
      </c>
      <c r="N412" t="s">
        <v>341</v>
      </c>
      <c r="O412" t="s">
        <v>82</v>
      </c>
      <c r="P412" t="str">
        <f>"INV-00116297 CT093331         "</f>
        <v xml:space="preserve">INV-00116297 CT093331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18.79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0.1</v>
      </c>
      <c r="BJ412">
        <v>1.9</v>
      </c>
      <c r="BK412">
        <v>2</v>
      </c>
      <c r="BL412">
        <v>56.75</v>
      </c>
      <c r="BM412">
        <v>8.51</v>
      </c>
      <c r="BN412">
        <v>65.260000000000005</v>
      </c>
      <c r="BO412">
        <v>65.260000000000005</v>
      </c>
      <c r="BQ412" t="s">
        <v>342</v>
      </c>
      <c r="BR412" t="s">
        <v>101</v>
      </c>
      <c r="BS412" s="3">
        <v>45740</v>
      </c>
      <c r="BT412" s="4">
        <v>0.47430555555555554</v>
      </c>
      <c r="BU412" t="s">
        <v>343</v>
      </c>
      <c r="BV412" t="s">
        <v>109</v>
      </c>
      <c r="BY412">
        <v>9422.1</v>
      </c>
      <c r="BZ412" t="s">
        <v>90</v>
      </c>
      <c r="CA412" t="s">
        <v>344</v>
      </c>
      <c r="CC412" t="s">
        <v>340</v>
      </c>
      <c r="CD412">
        <v>7600</v>
      </c>
      <c r="CE412" t="s">
        <v>149</v>
      </c>
      <c r="CF412" s="3">
        <v>45741</v>
      </c>
      <c r="CI412">
        <v>1</v>
      </c>
      <c r="CJ412">
        <v>2</v>
      </c>
      <c r="CK412">
        <v>22</v>
      </c>
      <c r="CL412" t="s">
        <v>87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"GAB2025020"</f>
        <v>GAB2025020</v>
      </c>
      <c r="F413" s="3">
        <v>45736</v>
      </c>
      <c r="G413">
        <v>202512</v>
      </c>
      <c r="H413" t="s">
        <v>97</v>
      </c>
      <c r="I413" t="s">
        <v>98</v>
      </c>
      <c r="J413" t="s">
        <v>99</v>
      </c>
      <c r="K413" t="s">
        <v>78</v>
      </c>
      <c r="L413" t="s">
        <v>97</v>
      </c>
      <c r="M413" t="s">
        <v>98</v>
      </c>
      <c r="N413" t="s">
        <v>451</v>
      </c>
      <c r="O413" t="s">
        <v>82</v>
      </c>
      <c r="P413" t="str">
        <f>"INV-00116298 CT093335         "</f>
        <v xml:space="preserve">INV-00116298 CT093335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18.79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2.9</v>
      </c>
      <c r="BK413">
        <v>3</v>
      </c>
      <c r="BL413">
        <v>56.75</v>
      </c>
      <c r="BM413">
        <v>8.51</v>
      </c>
      <c r="BN413">
        <v>65.260000000000005</v>
      </c>
      <c r="BO413">
        <v>65.260000000000005</v>
      </c>
      <c r="BQ413" t="s">
        <v>452</v>
      </c>
      <c r="BR413" t="s">
        <v>101</v>
      </c>
      <c r="BS413" s="3">
        <v>45741</v>
      </c>
      <c r="BT413" s="4">
        <v>0.37777777777777777</v>
      </c>
      <c r="BU413" t="s">
        <v>1291</v>
      </c>
      <c r="BV413" t="s">
        <v>87</v>
      </c>
      <c r="BW413" t="s">
        <v>204</v>
      </c>
      <c r="BX413" t="s">
        <v>531</v>
      </c>
      <c r="BY413">
        <v>14704.32</v>
      </c>
      <c r="BZ413" t="s">
        <v>90</v>
      </c>
      <c r="CA413" t="s">
        <v>236</v>
      </c>
      <c r="CC413" t="s">
        <v>98</v>
      </c>
      <c r="CD413">
        <v>7700</v>
      </c>
      <c r="CE413" t="s">
        <v>129</v>
      </c>
      <c r="CF413" s="3">
        <v>45742</v>
      </c>
      <c r="CI413">
        <v>1</v>
      </c>
      <c r="CJ413">
        <v>3</v>
      </c>
      <c r="CK413">
        <v>22</v>
      </c>
      <c r="CL413" t="s">
        <v>87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"GAB2025021"</f>
        <v>GAB2025021</v>
      </c>
      <c r="F414" s="3">
        <v>45736</v>
      </c>
      <c r="G414">
        <v>202512</v>
      </c>
      <c r="H414" t="s">
        <v>97</v>
      </c>
      <c r="I414" t="s">
        <v>98</v>
      </c>
      <c r="J414" t="s">
        <v>99</v>
      </c>
      <c r="K414" t="s">
        <v>78</v>
      </c>
      <c r="L414" t="s">
        <v>339</v>
      </c>
      <c r="M414" t="s">
        <v>340</v>
      </c>
      <c r="N414" t="s">
        <v>935</v>
      </c>
      <c r="O414" t="s">
        <v>82</v>
      </c>
      <c r="P414" t="str">
        <f>"INV-00116299 CT093329         "</f>
        <v xml:space="preserve">INV-00116299 CT093329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18.79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2.6</v>
      </c>
      <c r="BK414">
        <v>3</v>
      </c>
      <c r="BL414">
        <v>56.75</v>
      </c>
      <c r="BM414">
        <v>8.51</v>
      </c>
      <c r="BN414">
        <v>65.260000000000005</v>
      </c>
      <c r="BO414">
        <v>65.260000000000005</v>
      </c>
      <c r="BQ414" t="s">
        <v>459</v>
      </c>
      <c r="BR414" t="s">
        <v>101</v>
      </c>
      <c r="BS414" s="3">
        <v>45740</v>
      </c>
      <c r="BT414" s="4">
        <v>0.41875000000000001</v>
      </c>
      <c r="BU414" t="s">
        <v>936</v>
      </c>
      <c r="BV414" t="s">
        <v>109</v>
      </c>
      <c r="BY414">
        <v>12768</v>
      </c>
      <c r="BZ414" t="s">
        <v>90</v>
      </c>
      <c r="CA414" t="s">
        <v>380</v>
      </c>
      <c r="CC414" t="s">
        <v>340</v>
      </c>
      <c r="CD414">
        <v>7600</v>
      </c>
      <c r="CE414" t="s">
        <v>352</v>
      </c>
      <c r="CF414" s="3">
        <v>45741</v>
      </c>
      <c r="CI414">
        <v>1</v>
      </c>
      <c r="CJ414">
        <v>2</v>
      </c>
      <c r="CK414">
        <v>22</v>
      </c>
      <c r="CL414" t="s">
        <v>87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"GAB2025030"</f>
        <v>GAB2025030</v>
      </c>
      <c r="F415" s="3">
        <v>45736</v>
      </c>
      <c r="G415">
        <v>202512</v>
      </c>
      <c r="H415" t="s">
        <v>97</v>
      </c>
      <c r="I415" t="s">
        <v>98</v>
      </c>
      <c r="J415" t="s">
        <v>99</v>
      </c>
      <c r="K415" t="s">
        <v>78</v>
      </c>
      <c r="L415" t="s">
        <v>97</v>
      </c>
      <c r="M415" t="s">
        <v>98</v>
      </c>
      <c r="N415" t="s">
        <v>312</v>
      </c>
      <c r="O415" t="s">
        <v>82</v>
      </c>
      <c r="P415" t="str">
        <f>"INV-00116311 CT092834         "</f>
        <v xml:space="preserve">INV-00116311 CT092834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18.79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2.1</v>
      </c>
      <c r="BK415">
        <v>3</v>
      </c>
      <c r="BL415">
        <v>56.75</v>
      </c>
      <c r="BM415">
        <v>8.51</v>
      </c>
      <c r="BN415">
        <v>65.260000000000005</v>
      </c>
      <c r="BO415">
        <v>65.260000000000005</v>
      </c>
      <c r="BQ415" t="s">
        <v>313</v>
      </c>
      <c r="BR415" t="s">
        <v>101</v>
      </c>
      <c r="BS415" s="3">
        <v>45740</v>
      </c>
      <c r="BT415" s="4">
        <v>0.40069444444444446</v>
      </c>
      <c r="BU415" t="s">
        <v>1292</v>
      </c>
      <c r="BV415" t="s">
        <v>109</v>
      </c>
      <c r="BY415">
        <v>10616.76</v>
      </c>
      <c r="BZ415" t="s">
        <v>90</v>
      </c>
      <c r="CA415" t="s">
        <v>315</v>
      </c>
      <c r="CC415" t="s">
        <v>98</v>
      </c>
      <c r="CD415">
        <v>7550</v>
      </c>
      <c r="CE415" t="s">
        <v>149</v>
      </c>
      <c r="CF415" s="3">
        <v>45741</v>
      </c>
      <c r="CI415">
        <v>1</v>
      </c>
      <c r="CJ415">
        <v>2</v>
      </c>
      <c r="CK415">
        <v>22</v>
      </c>
      <c r="CL415" t="s">
        <v>87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"GAB2025031"</f>
        <v>GAB2025031</v>
      </c>
      <c r="F416" s="3">
        <v>45736</v>
      </c>
      <c r="G416">
        <v>202512</v>
      </c>
      <c r="H416" t="s">
        <v>97</v>
      </c>
      <c r="I416" t="s">
        <v>98</v>
      </c>
      <c r="J416" t="s">
        <v>99</v>
      </c>
      <c r="K416" t="s">
        <v>78</v>
      </c>
      <c r="L416" t="s">
        <v>502</v>
      </c>
      <c r="M416" t="s">
        <v>503</v>
      </c>
      <c r="N416" t="s">
        <v>660</v>
      </c>
      <c r="O416" t="s">
        <v>82</v>
      </c>
      <c r="P416" t="str">
        <f>"INV-00116310 CT093342         "</f>
        <v xml:space="preserve">INV-00116310 CT093342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24.06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0.5</v>
      </c>
      <c r="BJ416">
        <v>1.8</v>
      </c>
      <c r="BK416">
        <v>2</v>
      </c>
      <c r="BL416">
        <v>72.66</v>
      </c>
      <c r="BM416">
        <v>10.9</v>
      </c>
      <c r="BN416">
        <v>83.56</v>
      </c>
      <c r="BO416">
        <v>83.56</v>
      </c>
      <c r="BR416" t="s">
        <v>101</v>
      </c>
      <c r="BS416" s="3">
        <v>45740</v>
      </c>
      <c r="BT416" s="4">
        <v>0.47083333333333333</v>
      </c>
      <c r="BU416" t="s">
        <v>661</v>
      </c>
      <c r="BV416" t="s">
        <v>87</v>
      </c>
      <c r="BY416">
        <v>9028.7999999999993</v>
      </c>
      <c r="BZ416" t="s">
        <v>90</v>
      </c>
      <c r="CA416" t="s">
        <v>507</v>
      </c>
      <c r="CC416" t="s">
        <v>503</v>
      </c>
      <c r="CD416">
        <v>5200</v>
      </c>
      <c r="CE416" t="s">
        <v>854</v>
      </c>
      <c r="CF416" s="3">
        <v>45741</v>
      </c>
      <c r="CI416">
        <v>1</v>
      </c>
      <c r="CJ416">
        <v>2</v>
      </c>
      <c r="CK416">
        <v>21</v>
      </c>
      <c r="CL416" t="s">
        <v>87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"GAB2025032"</f>
        <v>GAB2025032</v>
      </c>
      <c r="F417" s="3">
        <v>45736</v>
      </c>
      <c r="G417">
        <v>202512</v>
      </c>
      <c r="H417" t="s">
        <v>97</v>
      </c>
      <c r="I417" t="s">
        <v>98</v>
      </c>
      <c r="J417" t="s">
        <v>99</v>
      </c>
      <c r="K417" t="s">
        <v>78</v>
      </c>
      <c r="L417" t="s">
        <v>316</v>
      </c>
      <c r="M417" t="s">
        <v>317</v>
      </c>
      <c r="N417" t="s">
        <v>1293</v>
      </c>
      <c r="O417" t="s">
        <v>82</v>
      </c>
      <c r="P417" t="str">
        <f>"INV-00116313 CT093281         "</f>
        <v xml:space="preserve">INV-00116313 CT093281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46.61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</v>
      </c>
      <c r="BK417">
        <v>2</v>
      </c>
      <c r="BL417">
        <v>140.77000000000001</v>
      </c>
      <c r="BM417">
        <v>21.12</v>
      </c>
      <c r="BN417">
        <v>161.88999999999999</v>
      </c>
      <c r="BO417">
        <v>161.88999999999999</v>
      </c>
      <c r="BQ417" t="s">
        <v>319</v>
      </c>
      <c r="BR417" t="s">
        <v>101</v>
      </c>
      <c r="BS417" s="3">
        <v>45740</v>
      </c>
      <c r="BT417" s="4">
        <v>0.46736111111111112</v>
      </c>
      <c r="BU417" t="s">
        <v>1294</v>
      </c>
      <c r="BV417" t="s">
        <v>109</v>
      </c>
      <c r="BY417">
        <v>10058.040000000001</v>
      </c>
      <c r="BZ417" t="s">
        <v>90</v>
      </c>
      <c r="CA417" t="s">
        <v>321</v>
      </c>
      <c r="CC417" t="s">
        <v>317</v>
      </c>
      <c r="CD417" s="5" t="s">
        <v>322</v>
      </c>
      <c r="CE417" t="s">
        <v>149</v>
      </c>
      <c r="CF417" s="3">
        <v>45740</v>
      </c>
      <c r="CI417">
        <v>2</v>
      </c>
      <c r="CJ417">
        <v>2</v>
      </c>
      <c r="CK417">
        <v>23</v>
      </c>
      <c r="CL417" t="s">
        <v>87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"GAB2025033"</f>
        <v>GAB2025033</v>
      </c>
      <c r="F418" s="3">
        <v>45736</v>
      </c>
      <c r="G418">
        <v>202512</v>
      </c>
      <c r="H418" t="s">
        <v>97</v>
      </c>
      <c r="I418" t="s">
        <v>98</v>
      </c>
      <c r="J418" t="s">
        <v>99</v>
      </c>
      <c r="K418" t="s">
        <v>78</v>
      </c>
      <c r="L418" t="s">
        <v>75</v>
      </c>
      <c r="M418" t="s">
        <v>76</v>
      </c>
      <c r="N418" t="s">
        <v>871</v>
      </c>
      <c r="O418" t="s">
        <v>82</v>
      </c>
      <c r="P418" t="str">
        <f>"INV-00033832 031283           "</f>
        <v xml:space="preserve">INV-00033832 031283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30.07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2.2000000000000002</v>
      </c>
      <c r="BK418">
        <v>2.5</v>
      </c>
      <c r="BL418">
        <v>90.81</v>
      </c>
      <c r="BM418">
        <v>13.62</v>
      </c>
      <c r="BN418">
        <v>104.43</v>
      </c>
      <c r="BO418">
        <v>104.43</v>
      </c>
      <c r="BQ418" t="s">
        <v>872</v>
      </c>
      <c r="BR418" t="s">
        <v>101</v>
      </c>
      <c r="BS418" s="3">
        <v>45740</v>
      </c>
      <c r="BT418" s="4">
        <v>0.47638888888888886</v>
      </c>
      <c r="BU418" t="s">
        <v>1237</v>
      </c>
      <c r="BV418" t="s">
        <v>109</v>
      </c>
      <c r="BY418">
        <v>10786.8</v>
      </c>
      <c r="BZ418" t="s">
        <v>90</v>
      </c>
      <c r="CA418" t="s">
        <v>279</v>
      </c>
      <c r="CC418" t="s">
        <v>76</v>
      </c>
      <c r="CD418">
        <v>3629</v>
      </c>
      <c r="CE418" t="s">
        <v>137</v>
      </c>
      <c r="CF418" s="3">
        <v>45741</v>
      </c>
      <c r="CI418">
        <v>2</v>
      </c>
      <c r="CJ418">
        <v>2</v>
      </c>
      <c r="CK418">
        <v>21</v>
      </c>
      <c r="CL418" t="s">
        <v>87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"GAB2025034"</f>
        <v>GAB2025034</v>
      </c>
      <c r="F419" s="3">
        <v>45736</v>
      </c>
      <c r="G419">
        <v>202512</v>
      </c>
      <c r="H419" t="s">
        <v>97</v>
      </c>
      <c r="I419" t="s">
        <v>98</v>
      </c>
      <c r="J419" t="s">
        <v>99</v>
      </c>
      <c r="K419" t="s">
        <v>78</v>
      </c>
      <c r="L419" t="s">
        <v>75</v>
      </c>
      <c r="M419" t="s">
        <v>76</v>
      </c>
      <c r="N419" t="s">
        <v>1295</v>
      </c>
      <c r="O419" t="s">
        <v>82</v>
      </c>
      <c r="P419" t="str">
        <f>"INV-00033831 031287           "</f>
        <v xml:space="preserve">INV-00033831 031287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24.06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2</v>
      </c>
      <c r="BK419">
        <v>2</v>
      </c>
      <c r="BL419">
        <v>72.66</v>
      </c>
      <c r="BM419">
        <v>10.9</v>
      </c>
      <c r="BN419">
        <v>83.56</v>
      </c>
      <c r="BO419">
        <v>83.56</v>
      </c>
      <c r="BQ419" t="s">
        <v>356</v>
      </c>
      <c r="BR419" t="s">
        <v>101</v>
      </c>
      <c r="BS419" s="3">
        <v>45740</v>
      </c>
      <c r="BT419" s="4">
        <v>0.36666666666666664</v>
      </c>
      <c r="BU419" t="s">
        <v>1296</v>
      </c>
      <c r="BV419" t="s">
        <v>109</v>
      </c>
      <c r="BY419">
        <v>9991.7999999999993</v>
      </c>
      <c r="BZ419" t="s">
        <v>90</v>
      </c>
      <c r="CA419" t="s">
        <v>1297</v>
      </c>
      <c r="CC419" t="s">
        <v>76</v>
      </c>
      <c r="CD419">
        <v>4001</v>
      </c>
      <c r="CE419" t="s">
        <v>149</v>
      </c>
      <c r="CF419" s="3">
        <v>45741</v>
      </c>
      <c r="CI419">
        <v>2</v>
      </c>
      <c r="CJ419">
        <v>2</v>
      </c>
      <c r="CK419">
        <v>21</v>
      </c>
      <c r="CL419" t="s">
        <v>87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"GAB2025035"</f>
        <v>GAB2025035</v>
      </c>
      <c r="F420" s="3">
        <v>45736</v>
      </c>
      <c r="G420">
        <v>202512</v>
      </c>
      <c r="H420" t="s">
        <v>97</v>
      </c>
      <c r="I420" t="s">
        <v>98</v>
      </c>
      <c r="J420" t="s">
        <v>99</v>
      </c>
      <c r="K420" t="s">
        <v>78</v>
      </c>
      <c r="L420" t="s">
        <v>144</v>
      </c>
      <c r="M420" t="s">
        <v>145</v>
      </c>
      <c r="N420" t="s">
        <v>160</v>
      </c>
      <c r="O420" t="s">
        <v>82</v>
      </c>
      <c r="P420" t="str">
        <f>"INV-0003836 031289            "</f>
        <v xml:space="preserve">INV-0003836 031289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57.13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2.2999999999999998</v>
      </c>
      <c r="BK420">
        <v>2.5</v>
      </c>
      <c r="BL420">
        <v>172.55</v>
      </c>
      <c r="BM420">
        <v>25.88</v>
      </c>
      <c r="BN420">
        <v>198.43</v>
      </c>
      <c r="BO420">
        <v>198.43</v>
      </c>
      <c r="BQ420" t="s">
        <v>161</v>
      </c>
      <c r="BR420" t="s">
        <v>101</v>
      </c>
      <c r="BS420" s="3">
        <v>45740</v>
      </c>
      <c r="BT420" s="4">
        <v>0.41805555555555557</v>
      </c>
      <c r="BU420" t="s">
        <v>1298</v>
      </c>
      <c r="BV420" t="s">
        <v>109</v>
      </c>
      <c r="BY420">
        <v>11456</v>
      </c>
      <c r="BZ420" t="s">
        <v>90</v>
      </c>
      <c r="CC420" t="s">
        <v>145</v>
      </c>
      <c r="CD420">
        <v>1035</v>
      </c>
      <c r="CE420" t="s">
        <v>149</v>
      </c>
      <c r="CF420" s="3">
        <v>45740</v>
      </c>
      <c r="CI420">
        <v>0</v>
      </c>
      <c r="CJ420">
        <v>0</v>
      </c>
      <c r="CK420">
        <v>23</v>
      </c>
      <c r="CL420" t="s">
        <v>87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"GAB2025038"</f>
        <v>GAB2025038</v>
      </c>
      <c r="F421" s="3">
        <v>45736</v>
      </c>
      <c r="G421">
        <v>202512</v>
      </c>
      <c r="H421" t="s">
        <v>97</v>
      </c>
      <c r="I421" t="s">
        <v>98</v>
      </c>
      <c r="J421" t="s">
        <v>99</v>
      </c>
      <c r="K421" t="s">
        <v>78</v>
      </c>
      <c r="L421" t="s">
        <v>948</v>
      </c>
      <c r="M421" t="s">
        <v>949</v>
      </c>
      <c r="N421" t="s">
        <v>950</v>
      </c>
      <c r="O421" t="s">
        <v>82</v>
      </c>
      <c r="P421" t="str">
        <f>"INV-00033839 031301           "</f>
        <v xml:space="preserve">INV-00033839 031301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57.13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2.2999999999999998</v>
      </c>
      <c r="BK421">
        <v>2.5</v>
      </c>
      <c r="BL421">
        <v>172.55</v>
      </c>
      <c r="BM421">
        <v>25.88</v>
      </c>
      <c r="BN421">
        <v>198.43</v>
      </c>
      <c r="BO421">
        <v>198.43</v>
      </c>
      <c r="BQ421" t="s">
        <v>857</v>
      </c>
      <c r="BR421" t="s">
        <v>101</v>
      </c>
      <c r="BS421" s="3">
        <v>45741</v>
      </c>
      <c r="BT421" s="4">
        <v>0.65277777777777779</v>
      </c>
      <c r="BU421" t="s">
        <v>1299</v>
      </c>
      <c r="BV421" t="s">
        <v>87</v>
      </c>
      <c r="BW421" t="s">
        <v>88</v>
      </c>
      <c r="BX421" t="s">
        <v>1300</v>
      </c>
      <c r="BY421">
        <v>11436.2</v>
      </c>
      <c r="BZ421" t="s">
        <v>90</v>
      </c>
      <c r="CC421" t="s">
        <v>949</v>
      </c>
      <c r="CD421">
        <v>4275</v>
      </c>
      <c r="CE421" t="s">
        <v>824</v>
      </c>
      <c r="CI421">
        <v>0</v>
      </c>
      <c r="CJ421">
        <v>0</v>
      </c>
      <c r="CK421">
        <v>23</v>
      </c>
      <c r="CL421" t="s">
        <v>87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"GAB2025039"</f>
        <v>GAB2025039</v>
      </c>
      <c r="F422" s="3">
        <v>45736</v>
      </c>
      <c r="G422">
        <v>202512</v>
      </c>
      <c r="H422" t="s">
        <v>97</v>
      </c>
      <c r="I422" t="s">
        <v>98</v>
      </c>
      <c r="J422" t="s">
        <v>99</v>
      </c>
      <c r="K422" t="s">
        <v>78</v>
      </c>
      <c r="L422" t="s">
        <v>262</v>
      </c>
      <c r="M422" t="s">
        <v>263</v>
      </c>
      <c r="N422" t="s">
        <v>945</v>
      </c>
      <c r="O422" t="s">
        <v>82</v>
      </c>
      <c r="P422" t="str">
        <f>"INV-00033840 031284           "</f>
        <v xml:space="preserve">INV-00033840 031284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30.07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0.1</v>
      </c>
      <c r="BJ422">
        <v>2.4</v>
      </c>
      <c r="BK422">
        <v>2.5</v>
      </c>
      <c r="BL422">
        <v>90.81</v>
      </c>
      <c r="BM422">
        <v>13.62</v>
      </c>
      <c r="BN422">
        <v>104.43</v>
      </c>
      <c r="BO422">
        <v>104.43</v>
      </c>
      <c r="BQ422" t="s">
        <v>946</v>
      </c>
      <c r="BR422" t="s">
        <v>101</v>
      </c>
      <c r="BS422" s="3">
        <v>45740</v>
      </c>
      <c r="BT422" s="4">
        <v>0.39652777777777776</v>
      </c>
      <c r="BU422" t="s">
        <v>1301</v>
      </c>
      <c r="BV422" t="s">
        <v>109</v>
      </c>
      <c r="BY422">
        <v>12038.4</v>
      </c>
      <c r="BZ422" t="s">
        <v>90</v>
      </c>
      <c r="CA422" t="s">
        <v>1302</v>
      </c>
      <c r="CC422" t="s">
        <v>263</v>
      </c>
      <c r="CD422" s="5" t="s">
        <v>852</v>
      </c>
      <c r="CE422" t="s">
        <v>1052</v>
      </c>
      <c r="CF422" s="3">
        <v>45740</v>
      </c>
      <c r="CI422">
        <v>1</v>
      </c>
      <c r="CJ422">
        <v>2</v>
      </c>
      <c r="CK422">
        <v>21</v>
      </c>
      <c r="CL422" t="s">
        <v>87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"GAB2025016"</f>
        <v>GAB2025016</v>
      </c>
      <c r="F423" s="3">
        <v>45736</v>
      </c>
      <c r="G423">
        <v>202512</v>
      </c>
      <c r="H423" t="s">
        <v>97</v>
      </c>
      <c r="I423" t="s">
        <v>98</v>
      </c>
      <c r="J423" t="s">
        <v>99</v>
      </c>
      <c r="K423" t="s">
        <v>78</v>
      </c>
      <c r="L423" t="s">
        <v>359</v>
      </c>
      <c r="M423" t="s">
        <v>360</v>
      </c>
      <c r="N423" t="s">
        <v>1303</v>
      </c>
      <c r="O423" t="s">
        <v>100</v>
      </c>
      <c r="P423" t="str">
        <f>"INV-00116294 CT092874         "</f>
        <v xml:space="preserve">INV-00116294 CT092874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46.52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4.0999999999999996</v>
      </c>
      <c r="BJ423">
        <v>1.6</v>
      </c>
      <c r="BK423">
        <v>5</v>
      </c>
      <c r="BL423">
        <v>146.07</v>
      </c>
      <c r="BM423">
        <v>21.91</v>
      </c>
      <c r="BN423">
        <v>167.98</v>
      </c>
      <c r="BO423">
        <v>167.98</v>
      </c>
      <c r="BQ423" t="s">
        <v>1304</v>
      </c>
      <c r="BR423" t="s">
        <v>101</v>
      </c>
      <c r="BS423" s="3">
        <v>45740</v>
      </c>
      <c r="BT423" s="4">
        <v>0.37847222222222221</v>
      </c>
      <c r="BU423" t="s">
        <v>1305</v>
      </c>
      <c r="BV423" t="s">
        <v>109</v>
      </c>
      <c r="BY423">
        <v>8197.2000000000007</v>
      </c>
      <c r="CA423" t="s">
        <v>1306</v>
      </c>
      <c r="CC423" t="s">
        <v>360</v>
      </c>
      <c r="CD423">
        <v>4320</v>
      </c>
      <c r="CE423" t="s">
        <v>584</v>
      </c>
      <c r="CF423" s="3">
        <v>45741</v>
      </c>
      <c r="CI423">
        <v>3</v>
      </c>
      <c r="CJ423">
        <v>2</v>
      </c>
      <c r="CK423">
        <v>41</v>
      </c>
      <c r="CL423" t="s">
        <v>87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"GAB2025022"</f>
        <v>GAB2025022</v>
      </c>
      <c r="F424" s="3">
        <v>45736</v>
      </c>
      <c r="G424">
        <v>202512</v>
      </c>
      <c r="H424" t="s">
        <v>97</v>
      </c>
      <c r="I424" t="s">
        <v>98</v>
      </c>
      <c r="J424" t="s">
        <v>99</v>
      </c>
      <c r="K424" t="s">
        <v>78</v>
      </c>
      <c r="L424" t="s">
        <v>75</v>
      </c>
      <c r="M424" t="s">
        <v>76</v>
      </c>
      <c r="N424" t="s">
        <v>1307</v>
      </c>
      <c r="O424" t="s">
        <v>100</v>
      </c>
      <c r="P424" t="str">
        <f>"INV-00116304 CT093307         "</f>
        <v xml:space="preserve">INV-00116304 CT093307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48.44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2</v>
      </c>
      <c r="BI424">
        <v>3.3</v>
      </c>
      <c r="BJ424">
        <v>16</v>
      </c>
      <c r="BK424">
        <v>16</v>
      </c>
      <c r="BL424">
        <v>151.87</v>
      </c>
      <c r="BM424">
        <v>22.78</v>
      </c>
      <c r="BN424">
        <v>174.65</v>
      </c>
      <c r="BO424">
        <v>174.65</v>
      </c>
      <c r="BQ424" t="s">
        <v>1308</v>
      </c>
      <c r="BR424" t="s">
        <v>101</v>
      </c>
      <c r="BS424" s="3">
        <v>45740</v>
      </c>
      <c r="BT424" s="4">
        <v>0.61597222222222225</v>
      </c>
      <c r="BU424" t="s">
        <v>1309</v>
      </c>
      <c r="BV424" t="s">
        <v>109</v>
      </c>
      <c r="BY424">
        <v>80160.84</v>
      </c>
      <c r="CA424" t="s">
        <v>1310</v>
      </c>
      <c r="CC424" t="s">
        <v>76</v>
      </c>
      <c r="CD424">
        <v>4359</v>
      </c>
      <c r="CE424" t="s">
        <v>584</v>
      </c>
      <c r="CF424" s="3">
        <v>45741</v>
      </c>
      <c r="CI424">
        <v>4</v>
      </c>
      <c r="CJ424">
        <v>2</v>
      </c>
      <c r="CK424">
        <v>41</v>
      </c>
      <c r="CL424" t="s">
        <v>87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"GAB2025023"</f>
        <v>GAB2025023</v>
      </c>
      <c r="F425" s="3">
        <v>45736</v>
      </c>
      <c r="G425">
        <v>202512</v>
      </c>
      <c r="H425" t="s">
        <v>97</v>
      </c>
      <c r="I425" t="s">
        <v>98</v>
      </c>
      <c r="J425" t="s">
        <v>99</v>
      </c>
      <c r="K425" t="s">
        <v>78</v>
      </c>
      <c r="L425" t="s">
        <v>97</v>
      </c>
      <c r="M425" t="s">
        <v>98</v>
      </c>
      <c r="N425" t="s">
        <v>893</v>
      </c>
      <c r="O425" t="s">
        <v>100</v>
      </c>
      <c r="P425" t="str">
        <f>"INV-00116306 CT093308         "</f>
        <v xml:space="preserve">INV-00116306 CT093308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35.9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1.9</v>
      </c>
      <c r="BJ425">
        <v>8.1</v>
      </c>
      <c r="BK425">
        <v>9</v>
      </c>
      <c r="BL425">
        <v>113.99</v>
      </c>
      <c r="BM425">
        <v>17.100000000000001</v>
      </c>
      <c r="BN425">
        <v>131.09</v>
      </c>
      <c r="BO425">
        <v>131.09</v>
      </c>
      <c r="BQ425" t="s">
        <v>894</v>
      </c>
      <c r="BR425" t="s">
        <v>101</v>
      </c>
      <c r="BS425" s="3">
        <v>45740</v>
      </c>
      <c r="BT425" s="4">
        <v>0.39374999999999999</v>
      </c>
      <c r="BU425" t="s">
        <v>1144</v>
      </c>
      <c r="BV425" t="s">
        <v>109</v>
      </c>
      <c r="BY425">
        <v>40677</v>
      </c>
      <c r="CA425" t="s">
        <v>1145</v>
      </c>
      <c r="CC425" t="s">
        <v>98</v>
      </c>
      <c r="CD425">
        <v>7579</v>
      </c>
      <c r="CE425" t="s">
        <v>584</v>
      </c>
      <c r="CF425" s="3">
        <v>45741</v>
      </c>
      <c r="CI425">
        <v>1</v>
      </c>
      <c r="CJ425">
        <v>2</v>
      </c>
      <c r="CK425">
        <v>42</v>
      </c>
      <c r="CL425" t="s">
        <v>87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"GAB2025024"</f>
        <v>GAB2025024</v>
      </c>
      <c r="F426" s="3">
        <v>45736</v>
      </c>
      <c r="G426">
        <v>202512</v>
      </c>
      <c r="H426" t="s">
        <v>97</v>
      </c>
      <c r="I426" t="s">
        <v>98</v>
      </c>
      <c r="J426" t="s">
        <v>99</v>
      </c>
      <c r="K426" t="s">
        <v>78</v>
      </c>
      <c r="L426" t="s">
        <v>1311</v>
      </c>
      <c r="M426" t="s">
        <v>1312</v>
      </c>
      <c r="N426" t="s">
        <v>1313</v>
      </c>
      <c r="O426" t="s">
        <v>100</v>
      </c>
      <c r="P426" t="str">
        <f>"INV-00116307 CT093306         "</f>
        <v xml:space="preserve">INV-00116307 CT093306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65.61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1.8</v>
      </c>
      <c r="BJ426">
        <v>7.5</v>
      </c>
      <c r="BK426">
        <v>8</v>
      </c>
      <c r="BL426">
        <v>203.73</v>
      </c>
      <c r="BM426">
        <v>30.56</v>
      </c>
      <c r="BN426">
        <v>234.29</v>
      </c>
      <c r="BO426">
        <v>234.29</v>
      </c>
      <c r="BQ426" t="s">
        <v>1314</v>
      </c>
      <c r="BR426" t="s">
        <v>101</v>
      </c>
      <c r="BS426" s="3">
        <v>45741</v>
      </c>
      <c r="BT426" s="4">
        <v>0.42499999999999999</v>
      </c>
      <c r="BU426" t="s">
        <v>1315</v>
      </c>
      <c r="BV426" t="s">
        <v>109</v>
      </c>
      <c r="BY426">
        <v>37557</v>
      </c>
      <c r="CA426" t="s">
        <v>1316</v>
      </c>
      <c r="CC426" t="s">
        <v>1312</v>
      </c>
      <c r="CD426">
        <v>3880</v>
      </c>
      <c r="CE426" t="s">
        <v>584</v>
      </c>
      <c r="CF426" s="3">
        <v>45741</v>
      </c>
      <c r="CI426">
        <v>4</v>
      </c>
      <c r="CJ426">
        <v>3</v>
      </c>
      <c r="CK426">
        <v>43</v>
      </c>
      <c r="CL426" t="s">
        <v>87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"GAB2025025"</f>
        <v>GAB2025025</v>
      </c>
      <c r="F427" s="3">
        <v>45736</v>
      </c>
      <c r="G427">
        <v>202512</v>
      </c>
      <c r="H427" t="s">
        <v>97</v>
      </c>
      <c r="I427" t="s">
        <v>98</v>
      </c>
      <c r="J427" t="s">
        <v>99</v>
      </c>
      <c r="K427" t="s">
        <v>78</v>
      </c>
      <c r="L427" t="s">
        <v>79</v>
      </c>
      <c r="M427" t="s">
        <v>80</v>
      </c>
      <c r="N427" t="s">
        <v>604</v>
      </c>
      <c r="O427" t="s">
        <v>100</v>
      </c>
      <c r="P427" t="str">
        <f>"INV-00116300 CT093327         "</f>
        <v xml:space="preserve">INV-00116300 CT093327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200.17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5</v>
      </c>
      <c r="BI427">
        <v>37.700000000000003</v>
      </c>
      <c r="BJ427">
        <v>94.2</v>
      </c>
      <c r="BK427">
        <v>95</v>
      </c>
      <c r="BL427">
        <v>610.12</v>
      </c>
      <c r="BM427">
        <v>91.52</v>
      </c>
      <c r="BN427">
        <v>701.64</v>
      </c>
      <c r="BO427">
        <v>701.64</v>
      </c>
      <c r="BQ427" t="s">
        <v>459</v>
      </c>
      <c r="BR427" t="s">
        <v>101</v>
      </c>
      <c r="BS427" s="3">
        <v>45740</v>
      </c>
      <c r="BT427" s="4">
        <v>0.4375</v>
      </c>
      <c r="BU427" t="s">
        <v>605</v>
      </c>
      <c r="BV427" t="s">
        <v>109</v>
      </c>
      <c r="BY427">
        <v>471070.9</v>
      </c>
      <c r="CA427" t="s">
        <v>231</v>
      </c>
      <c r="CC427" t="s">
        <v>80</v>
      </c>
      <c r="CD427" s="5" t="s">
        <v>92</v>
      </c>
      <c r="CE427" t="s">
        <v>111</v>
      </c>
      <c r="CF427" s="3">
        <v>45740</v>
      </c>
      <c r="CI427">
        <v>3</v>
      </c>
      <c r="CJ427">
        <v>2</v>
      </c>
      <c r="CK427">
        <v>41</v>
      </c>
      <c r="CL427" t="s">
        <v>87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"GAB2025027"</f>
        <v>GAB2025027</v>
      </c>
      <c r="F428" s="3">
        <v>45736</v>
      </c>
      <c r="G428">
        <v>202512</v>
      </c>
      <c r="H428" t="s">
        <v>97</v>
      </c>
      <c r="I428" t="s">
        <v>98</v>
      </c>
      <c r="J428" t="s">
        <v>99</v>
      </c>
      <c r="K428" t="s">
        <v>78</v>
      </c>
      <c r="L428" t="s">
        <v>491</v>
      </c>
      <c r="M428" t="s">
        <v>492</v>
      </c>
      <c r="N428" t="s">
        <v>585</v>
      </c>
      <c r="O428" t="s">
        <v>100</v>
      </c>
      <c r="P428" t="str">
        <f>"INV-00116308 CT093273         "</f>
        <v xml:space="preserve">INV-00116308 CT093273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69.569999999999993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7.3</v>
      </c>
      <c r="BJ428">
        <v>26.3</v>
      </c>
      <c r="BK428">
        <v>27</v>
      </c>
      <c r="BL428">
        <v>215.68</v>
      </c>
      <c r="BM428">
        <v>32.35</v>
      </c>
      <c r="BN428">
        <v>248.03</v>
      </c>
      <c r="BO428">
        <v>248.03</v>
      </c>
      <c r="BQ428" t="s">
        <v>586</v>
      </c>
      <c r="BR428" t="s">
        <v>101</v>
      </c>
      <c r="BS428" s="3">
        <v>45740</v>
      </c>
      <c r="BT428" s="4">
        <v>0.55902777777777779</v>
      </c>
      <c r="BU428" t="s">
        <v>1317</v>
      </c>
      <c r="BV428" t="s">
        <v>109</v>
      </c>
      <c r="BY428">
        <v>131456.25</v>
      </c>
      <c r="CA428" t="s">
        <v>1318</v>
      </c>
      <c r="CC428" t="s">
        <v>492</v>
      </c>
      <c r="CD428">
        <v>1732</v>
      </c>
      <c r="CE428" t="s">
        <v>584</v>
      </c>
      <c r="CF428" s="3">
        <v>45740</v>
      </c>
      <c r="CI428">
        <v>2</v>
      </c>
      <c r="CJ428">
        <v>2</v>
      </c>
      <c r="CK428">
        <v>41</v>
      </c>
      <c r="CL428" t="s">
        <v>87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"GAB2025028"</f>
        <v>GAB2025028</v>
      </c>
      <c r="F429" s="3">
        <v>45736</v>
      </c>
      <c r="G429">
        <v>202512</v>
      </c>
      <c r="H429" t="s">
        <v>97</v>
      </c>
      <c r="I429" t="s">
        <v>98</v>
      </c>
      <c r="J429" t="s">
        <v>99</v>
      </c>
      <c r="K429" t="s">
        <v>78</v>
      </c>
      <c r="L429" t="s">
        <v>262</v>
      </c>
      <c r="M429" t="s">
        <v>263</v>
      </c>
      <c r="N429" t="s">
        <v>1319</v>
      </c>
      <c r="O429" t="s">
        <v>100</v>
      </c>
      <c r="P429" t="str">
        <f>"DEL-18424 CT093317            "</f>
        <v xml:space="preserve">DEL-18424 CT093317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81.09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4</v>
      </c>
      <c r="BI429">
        <v>10.9</v>
      </c>
      <c r="BJ429">
        <v>32.700000000000003</v>
      </c>
      <c r="BK429">
        <v>33</v>
      </c>
      <c r="BL429">
        <v>250.48</v>
      </c>
      <c r="BM429">
        <v>37.57</v>
      </c>
      <c r="BN429">
        <v>288.05</v>
      </c>
      <c r="BO429">
        <v>288.05</v>
      </c>
      <c r="BQ429" t="s">
        <v>1320</v>
      </c>
      <c r="BR429" t="s">
        <v>101</v>
      </c>
      <c r="BS429" s="3">
        <v>45740</v>
      </c>
      <c r="BT429" s="4">
        <v>0.46180555555555558</v>
      </c>
      <c r="BU429" t="s">
        <v>1321</v>
      </c>
      <c r="BV429" t="s">
        <v>109</v>
      </c>
      <c r="BY429">
        <v>163726.01999999999</v>
      </c>
      <c r="CA429" t="s">
        <v>1322</v>
      </c>
      <c r="CC429" t="s">
        <v>263</v>
      </c>
      <c r="CD429" s="5" t="s">
        <v>444</v>
      </c>
      <c r="CE429" t="s">
        <v>1323</v>
      </c>
      <c r="CF429" s="3">
        <v>45740</v>
      </c>
      <c r="CI429">
        <v>3</v>
      </c>
      <c r="CJ429">
        <v>2</v>
      </c>
      <c r="CK429">
        <v>41</v>
      </c>
      <c r="CL429" t="s">
        <v>87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"GAB2025036"</f>
        <v>GAB2025036</v>
      </c>
      <c r="F430" s="3">
        <v>45736</v>
      </c>
      <c r="G430">
        <v>202512</v>
      </c>
      <c r="H430" t="s">
        <v>97</v>
      </c>
      <c r="I430" t="s">
        <v>98</v>
      </c>
      <c r="J430" t="s">
        <v>99</v>
      </c>
      <c r="K430" t="s">
        <v>78</v>
      </c>
      <c r="L430" t="s">
        <v>75</v>
      </c>
      <c r="M430" t="s">
        <v>76</v>
      </c>
      <c r="N430" t="s">
        <v>565</v>
      </c>
      <c r="O430" t="s">
        <v>100</v>
      </c>
      <c r="P430" t="str">
        <f>"INV-00116317 CT093337         "</f>
        <v xml:space="preserve">INV-00116317 CT093337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69.569999999999993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2</v>
      </c>
      <c r="BI430">
        <v>7.7</v>
      </c>
      <c r="BJ430">
        <v>26.5</v>
      </c>
      <c r="BK430">
        <v>27</v>
      </c>
      <c r="BL430">
        <v>215.68</v>
      </c>
      <c r="BM430">
        <v>32.35</v>
      </c>
      <c r="BN430">
        <v>248.03</v>
      </c>
      <c r="BO430">
        <v>248.03</v>
      </c>
      <c r="BQ430" t="s">
        <v>659</v>
      </c>
      <c r="BR430" t="s">
        <v>101</v>
      </c>
      <c r="BS430" s="3">
        <v>45740</v>
      </c>
      <c r="BT430" s="4">
        <v>0.38958333333333334</v>
      </c>
      <c r="BU430" t="s">
        <v>1324</v>
      </c>
      <c r="BV430" t="s">
        <v>109</v>
      </c>
      <c r="BY430">
        <v>132598.75</v>
      </c>
      <c r="CA430" t="s">
        <v>1325</v>
      </c>
      <c r="CC430" t="s">
        <v>76</v>
      </c>
      <c r="CD430">
        <v>4001</v>
      </c>
      <c r="CE430" t="s">
        <v>118</v>
      </c>
      <c r="CF430" s="3">
        <v>45742</v>
      </c>
      <c r="CI430">
        <v>3</v>
      </c>
      <c r="CJ430">
        <v>2</v>
      </c>
      <c r="CK430">
        <v>41</v>
      </c>
      <c r="CL430" t="s">
        <v>87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"GAB2025037"</f>
        <v>GAB2025037</v>
      </c>
      <c r="F431" s="3">
        <v>45736</v>
      </c>
      <c r="G431">
        <v>202512</v>
      </c>
      <c r="H431" t="s">
        <v>97</v>
      </c>
      <c r="I431" t="s">
        <v>98</v>
      </c>
      <c r="J431" t="s">
        <v>99</v>
      </c>
      <c r="K431" t="s">
        <v>78</v>
      </c>
      <c r="L431" t="s">
        <v>79</v>
      </c>
      <c r="M431" t="s">
        <v>80</v>
      </c>
      <c r="N431" t="s">
        <v>119</v>
      </c>
      <c r="O431" t="s">
        <v>100</v>
      </c>
      <c r="P431" t="str">
        <f>"INV-00116318 295 312 MONIQUE C"</f>
        <v>INV-00116318 295 312 MONIQUE C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50.36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3</v>
      </c>
      <c r="BI431">
        <v>8</v>
      </c>
      <c r="BJ431">
        <v>16.8</v>
      </c>
      <c r="BK431">
        <v>17</v>
      </c>
      <c r="BL431">
        <v>157.66999999999999</v>
      </c>
      <c r="BM431">
        <v>23.65</v>
      </c>
      <c r="BN431">
        <v>181.32</v>
      </c>
      <c r="BO431">
        <v>181.32</v>
      </c>
      <c r="BQ431" t="s">
        <v>252</v>
      </c>
      <c r="BR431" t="s">
        <v>101</v>
      </c>
      <c r="BS431" s="3">
        <v>45740</v>
      </c>
      <c r="BT431" s="4">
        <v>0.37777777777777777</v>
      </c>
      <c r="BU431" t="s">
        <v>551</v>
      </c>
      <c r="BV431" t="s">
        <v>109</v>
      </c>
      <c r="BY431">
        <v>84107.91</v>
      </c>
      <c r="CA431" t="s">
        <v>91</v>
      </c>
      <c r="CC431" t="s">
        <v>80</v>
      </c>
      <c r="CD431" s="5" t="s">
        <v>92</v>
      </c>
      <c r="CE431" t="s">
        <v>584</v>
      </c>
      <c r="CF431" s="3">
        <v>45740</v>
      </c>
      <c r="CI431">
        <v>3</v>
      </c>
      <c r="CJ431">
        <v>2</v>
      </c>
      <c r="CK431">
        <v>41</v>
      </c>
      <c r="CL431" t="s">
        <v>87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"RGAB2024944"</f>
        <v>RGAB2024944</v>
      </c>
      <c r="F432" s="3">
        <v>45740</v>
      </c>
      <c r="G432">
        <v>202512</v>
      </c>
      <c r="H432" t="s">
        <v>299</v>
      </c>
      <c r="I432" t="s">
        <v>300</v>
      </c>
      <c r="J432" t="s">
        <v>1166</v>
      </c>
      <c r="K432" t="s">
        <v>78</v>
      </c>
      <c r="L432" t="s">
        <v>299</v>
      </c>
      <c r="M432" t="s">
        <v>300</v>
      </c>
      <c r="N432" t="s">
        <v>1166</v>
      </c>
      <c r="O432" t="s">
        <v>100</v>
      </c>
      <c r="P432" t="str">
        <f>"INV-00116180 CT092864         "</f>
        <v xml:space="preserve">INV-00116180 CT092864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35.9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0.1</v>
      </c>
      <c r="BJ432">
        <v>2.1</v>
      </c>
      <c r="BK432">
        <v>3</v>
      </c>
      <c r="BL432">
        <v>113.99</v>
      </c>
      <c r="BM432">
        <v>17.100000000000001</v>
      </c>
      <c r="BN432">
        <v>131.09</v>
      </c>
      <c r="BO432">
        <v>131.09</v>
      </c>
      <c r="BQ432" t="s">
        <v>302</v>
      </c>
      <c r="BR432" t="s">
        <v>302</v>
      </c>
      <c r="BS432" s="3">
        <v>45744</v>
      </c>
      <c r="BT432" s="4">
        <v>0.65416666666666667</v>
      </c>
      <c r="BU432" t="s">
        <v>784</v>
      </c>
      <c r="BV432" t="s">
        <v>87</v>
      </c>
      <c r="BY432">
        <v>10267.6</v>
      </c>
      <c r="CA432" t="s">
        <v>1326</v>
      </c>
      <c r="CC432" t="s">
        <v>300</v>
      </c>
      <c r="CD432">
        <v>2194</v>
      </c>
      <c r="CE432" t="s">
        <v>149</v>
      </c>
      <c r="CI432">
        <v>1</v>
      </c>
      <c r="CJ432">
        <v>4</v>
      </c>
      <c r="CK432">
        <v>42</v>
      </c>
      <c r="CL432" t="s">
        <v>87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"GAB2025040"</f>
        <v>GAB2025040</v>
      </c>
      <c r="F433" s="3">
        <v>45740</v>
      </c>
      <c r="G433">
        <v>202512</v>
      </c>
      <c r="H433" t="s">
        <v>97</v>
      </c>
      <c r="I433" t="s">
        <v>98</v>
      </c>
      <c r="J433" t="s">
        <v>99</v>
      </c>
      <c r="K433" t="s">
        <v>78</v>
      </c>
      <c r="L433" t="s">
        <v>1024</v>
      </c>
      <c r="M433" t="s">
        <v>1025</v>
      </c>
      <c r="N433" t="s">
        <v>1026</v>
      </c>
      <c r="O433" t="s">
        <v>82</v>
      </c>
      <c r="P433" t="str">
        <f>"ct093345                      "</f>
        <v xml:space="preserve">ct093345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46.61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0.7</v>
      </c>
      <c r="BJ433">
        <v>1.8</v>
      </c>
      <c r="BK433">
        <v>2</v>
      </c>
      <c r="BL433">
        <v>140.77000000000001</v>
      </c>
      <c r="BM433">
        <v>21.12</v>
      </c>
      <c r="BN433">
        <v>161.88999999999999</v>
      </c>
      <c r="BO433">
        <v>161.88999999999999</v>
      </c>
      <c r="BQ433" t="s">
        <v>1327</v>
      </c>
      <c r="BR433" t="s">
        <v>101</v>
      </c>
      <c r="BS433" s="3">
        <v>45742</v>
      </c>
      <c r="BT433" s="4">
        <v>0.65972222222222221</v>
      </c>
      <c r="BU433" t="s">
        <v>1328</v>
      </c>
      <c r="BV433" t="s">
        <v>109</v>
      </c>
      <c r="BY433">
        <v>9028.7999999999993</v>
      </c>
      <c r="BZ433" t="s">
        <v>90</v>
      </c>
      <c r="CA433" t="s">
        <v>1028</v>
      </c>
      <c r="CC433" t="s">
        <v>1025</v>
      </c>
      <c r="CD433">
        <v>3100</v>
      </c>
      <c r="CE433" t="s">
        <v>1329</v>
      </c>
      <c r="CF433" s="3">
        <v>45743</v>
      </c>
      <c r="CI433">
        <v>2</v>
      </c>
      <c r="CJ433">
        <v>2</v>
      </c>
      <c r="CK433">
        <v>23</v>
      </c>
      <c r="CL433" t="s">
        <v>87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"GAB2025041"</f>
        <v>GAB2025041</v>
      </c>
      <c r="F434" s="3">
        <v>45740</v>
      </c>
      <c r="G434">
        <v>202512</v>
      </c>
      <c r="H434" t="s">
        <v>97</v>
      </c>
      <c r="I434" t="s">
        <v>98</v>
      </c>
      <c r="J434" t="s">
        <v>99</v>
      </c>
      <c r="K434" t="s">
        <v>78</v>
      </c>
      <c r="L434" t="s">
        <v>491</v>
      </c>
      <c r="M434" t="s">
        <v>492</v>
      </c>
      <c r="N434" t="s">
        <v>1330</v>
      </c>
      <c r="O434" t="s">
        <v>82</v>
      </c>
      <c r="P434" t="str">
        <f>"INVOICE 00033853 ORDGS031237  "</f>
        <v xml:space="preserve">INVOICE 00033853 ORDGS031237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30.07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0.4</v>
      </c>
      <c r="BJ434">
        <v>2.5</v>
      </c>
      <c r="BK434">
        <v>2.5</v>
      </c>
      <c r="BL434">
        <v>90.81</v>
      </c>
      <c r="BM434">
        <v>13.62</v>
      </c>
      <c r="BN434">
        <v>104.43</v>
      </c>
      <c r="BO434">
        <v>104.43</v>
      </c>
      <c r="BQ434" t="s">
        <v>1327</v>
      </c>
      <c r="BR434" t="s">
        <v>101</v>
      </c>
      <c r="BS434" s="3">
        <v>45741</v>
      </c>
      <c r="BT434" s="4">
        <v>0.40972222222222221</v>
      </c>
      <c r="BU434" t="s">
        <v>1331</v>
      </c>
      <c r="BV434" t="s">
        <v>109</v>
      </c>
      <c r="BY434">
        <v>12558</v>
      </c>
      <c r="BZ434" t="s">
        <v>90</v>
      </c>
      <c r="CA434" t="s">
        <v>1332</v>
      </c>
      <c r="CC434" t="s">
        <v>492</v>
      </c>
      <c r="CD434">
        <v>1725</v>
      </c>
      <c r="CE434" t="s">
        <v>1333</v>
      </c>
      <c r="CF434" s="3">
        <v>45742</v>
      </c>
      <c r="CI434">
        <v>1</v>
      </c>
      <c r="CJ434">
        <v>1</v>
      </c>
      <c r="CK434">
        <v>21</v>
      </c>
      <c r="CL434" t="s">
        <v>87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"GAB2025043"</f>
        <v>GAB2025043</v>
      </c>
      <c r="F435" s="3">
        <v>45740</v>
      </c>
      <c r="G435">
        <v>202512</v>
      </c>
      <c r="H435" t="s">
        <v>97</v>
      </c>
      <c r="I435" t="s">
        <v>98</v>
      </c>
      <c r="J435" t="s">
        <v>99</v>
      </c>
      <c r="K435" t="s">
        <v>78</v>
      </c>
      <c r="L435" t="s">
        <v>75</v>
      </c>
      <c r="M435" t="s">
        <v>76</v>
      </c>
      <c r="N435" t="s">
        <v>663</v>
      </c>
      <c r="O435" t="s">
        <v>82</v>
      </c>
      <c r="P435" t="str">
        <f>"INVOICE 00116324 CT093352     "</f>
        <v xml:space="preserve">INVOICE 00116324 CT093352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24.06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0.2</v>
      </c>
      <c r="BJ435">
        <v>1.8</v>
      </c>
      <c r="BK435">
        <v>2</v>
      </c>
      <c r="BL435">
        <v>72.66</v>
      </c>
      <c r="BM435">
        <v>10.9</v>
      </c>
      <c r="BN435">
        <v>83.56</v>
      </c>
      <c r="BO435">
        <v>83.56</v>
      </c>
      <c r="BQ435" t="s">
        <v>1334</v>
      </c>
      <c r="BR435" t="s">
        <v>101</v>
      </c>
      <c r="BS435" s="3">
        <v>45742</v>
      </c>
      <c r="BT435" s="4">
        <v>0.54374999999999996</v>
      </c>
      <c r="BU435" t="s">
        <v>1335</v>
      </c>
      <c r="BV435" t="s">
        <v>87</v>
      </c>
      <c r="BW435" t="s">
        <v>187</v>
      </c>
      <c r="BX435" t="s">
        <v>278</v>
      </c>
      <c r="BY435">
        <v>9242.1</v>
      </c>
      <c r="BZ435" t="s">
        <v>90</v>
      </c>
      <c r="CA435" t="s">
        <v>279</v>
      </c>
      <c r="CC435" t="s">
        <v>76</v>
      </c>
      <c r="CD435">
        <v>4001</v>
      </c>
      <c r="CE435" t="s">
        <v>149</v>
      </c>
      <c r="CF435" s="3">
        <v>45743</v>
      </c>
      <c r="CI435">
        <v>2</v>
      </c>
      <c r="CJ435">
        <v>2</v>
      </c>
      <c r="CK435">
        <v>21</v>
      </c>
      <c r="CL435" t="s">
        <v>87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"GAB2025044"</f>
        <v>GAB2025044</v>
      </c>
      <c r="F436" s="3">
        <v>45740</v>
      </c>
      <c r="G436">
        <v>202512</v>
      </c>
      <c r="H436" t="s">
        <v>97</v>
      </c>
      <c r="I436" t="s">
        <v>98</v>
      </c>
      <c r="J436" t="s">
        <v>99</v>
      </c>
      <c r="K436" t="s">
        <v>78</v>
      </c>
      <c r="L436" t="s">
        <v>262</v>
      </c>
      <c r="M436" t="s">
        <v>263</v>
      </c>
      <c r="N436" t="s">
        <v>473</v>
      </c>
      <c r="O436" t="s">
        <v>82</v>
      </c>
      <c r="P436" t="str">
        <f>"INVOICE 00116325 CT093349     "</f>
        <v xml:space="preserve">INVOICE 00116325 CT093349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30.07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2.2000000000000002</v>
      </c>
      <c r="BK436">
        <v>2.5</v>
      </c>
      <c r="BL436">
        <v>90.81</v>
      </c>
      <c r="BM436">
        <v>13.62</v>
      </c>
      <c r="BN436">
        <v>104.43</v>
      </c>
      <c r="BO436">
        <v>104.43</v>
      </c>
      <c r="BQ436" t="s">
        <v>474</v>
      </c>
      <c r="BR436" t="s">
        <v>101</v>
      </c>
      <c r="BS436" s="3">
        <v>45741</v>
      </c>
      <c r="BT436" s="4">
        <v>0.32291666666666669</v>
      </c>
      <c r="BU436" t="s">
        <v>1336</v>
      </c>
      <c r="BV436" t="s">
        <v>109</v>
      </c>
      <c r="BY436">
        <v>10792</v>
      </c>
      <c r="BZ436" t="s">
        <v>90</v>
      </c>
      <c r="CA436" t="s">
        <v>645</v>
      </c>
      <c r="CC436" t="s">
        <v>263</v>
      </c>
      <c r="CD436" s="5" t="s">
        <v>444</v>
      </c>
      <c r="CE436" t="s">
        <v>149</v>
      </c>
      <c r="CF436" s="3">
        <v>45741</v>
      </c>
      <c r="CI436">
        <v>1</v>
      </c>
      <c r="CJ436">
        <v>1</v>
      </c>
      <c r="CK436">
        <v>21</v>
      </c>
      <c r="CL436" t="s">
        <v>87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"GAB2025045"</f>
        <v>GAB2025045</v>
      </c>
      <c r="F437" s="3">
        <v>45740</v>
      </c>
      <c r="G437">
        <v>202512</v>
      </c>
      <c r="H437" t="s">
        <v>97</v>
      </c>
      <c r="I437" t="s">
        <v>98</v>
      </c>
      <c r="J437" t="s">
        <v>99</v>
      </c>
      <c r="K437" t="s">
        <v>78</v>
      </c>
      <c r="L437" t="s">
        <v>502</v>
      </c>
      <c r="M437" t="s">
        <v>503</v>
      </c>
      <c r="N437" t="s">
        <v>660</v>
      </c>
      <c r="O437" t="s">
        <v>82</v>
      </c>
      <c r="P437" t="str">
        <f>"INVOICE 00116330 CT093348     "</f>
        <v xml:space="preserve">INVOICE 00116330 CT093348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42.08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3.5</v>
      </c>
      <c r="BK437">
        <v>3.5</v>
      </c>
      <c r="BL437">
        <v>127.1</v>
      </c>
      <c r="BM437">
        <v>19.07</v>
      </c>
      <c r="BN437">
        <v>146.16999999999999</v>
      </c>
      <c r="BO437">
        <v>146.16999999999999</v>
      </c>
      <c r="BR437" t="s">
        <v>101</v>
      </c>
      <c r="BS437" s="3">
        <v>45742</v>
      </c>
      <c r="BT437" s="4">
        <v>0.46875</v>
      </c>
      <c r="BU437" t="s">
        <v>1337</v>
      </c>
      <c r="BV437" t="s">
        <v>87</v>
      </c>
      <c r="BY437">
        <v>17528.13</v>
      </c>
      <c r="BZ437" t="s">
        <v>90</v>
      </c>
      <c r="CA437" t="s">
        <v>507</v>
      </c>
      <c r="CC437" t="s">
        <v>503</v>
      </c>
      <c r="CD437">
        <v>5200</v>
      </c>
      <c r="CE437" t="s">
        <v>137</v>
      </c>
      <c r="CF437" s="3">
        <v>45743</v>
      </c>
      <c r="CI437">
        <v>1</v>
      </c>
      <c r="CJ437">
        <v>2</v>
      </c>
      <c r="CK437">
        <v>21</v>
      </c>
      <c r="CL437" t="s">
        <v>87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"GAB2025046"</f>
        <v>GAB2025046</v>
      </c>
      <c r="F438" s="3">
        <v>45740</v>
      </c>
      <c r="G438">
        <v>202512</v>
      </c>
      <c r="H438" t="s">
        <v>97</v>
      </c>
      <c r="I438" t="s">
        <v>98</v>
      </c>
      <c r="J438" t="s">
        <v>99</v>
      </c>
      <c r="K438" t="s">
        <v>78</v>
      </c>
      <c r="L438" t="s">
        <v>502</v>
      </c>
      <c r="M438" t="s">
        <v>503</v>
      </c>
      <c r="N438" t="s">
        <v>1338</v>
      </c>
      <c r="O438" t="s">
        <v>82</v>
      </c>
      <c r="P438" t="str">
        <f>"INVOICE 00033854 ORDGS031193  "</f>
        <v xml:space="preserve">INVOICE 00033854 ORDGS031193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30.07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0.3</v>
      </c>
      <c r="BJ438">
        <v>2.1</v>
      </c>
      <c r="BK438">
        <v>2.5</v>
      </c>
      <c r="BL438">
        <v>90.81</v>
      </c>
      <c r="BM438">
        <v>13.62</v>
      </c>
      <c r="BN438">
        <v>104.43</v>
      </c>
      <c r="BO438">
        <v>104.43</v>
      </c>
      <c r="BQ438" t="s">
        <v>1339</v>
      </c>
      <c r="BR438" t="s">
        <v>101</v>
      </c>
      <c r="BS438" s="3">
        <v>45742</v>
      </c>
      <c r="BT438" s="4">
        <v>0.4375</v>
      </c>
      <c r="BU438" t="s">
        <v>1340</v>
      </c>
      <c r="BV438" t="s">
        <v>87</v>
      </c>
      <c r="BY438">
        <v>10688.7</v>
      </c>
      <c r="BZ438" t="s">
        <v>90</v>
      </c>
      <c r="CA438" t="s">
        <v>1341</v>
      </c>
      <c r="CC438" t="s">
        <v>503</v>
      </c>
      <c r="CD438">
        <v>5201</v>
      </c>
      <c r="CE438" t="s">
        <v>1342</v>
      </c>
      <c r="CF438" s="3">
        <v>45743</v>
      </c>
      <c r="CI438">
        <v>1</v>
      </c>
      <c r="CJ438">
        <v>2</v>
      </c>
      <c r="CK438">
        <v>21</v>
      </c>
      <c r="CL438" t="s">
        <v>87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"GAB2025047"</f>
        <v>GAB2025047</v>
      </c>
      <c r="F439" s="3">
        <v>45740</v>
      </c>
      <c r="G439">
        <v>202512</v>
      </c>
      <c r="H439" t="s">
        <v>97</v>
      </c>
      <c r="I439" t="s">
        <v>98</v>
      </c>
      <c r="J439" t="s">
        <v>99</v>
      </c>
      <c r="K439" t="s">
        <v>78</v>
      </c>
      <c r="L439" t="s">
        <v>502</v>
      </c>
      <c r="M439" t="s">
        <v>503</v>
      </c>
      <c r="N439" t="s">
        <v>504</v>
      </c>
      <c r="O439" t="s">
        <v>82</v>
      </c>
      <c r="P439" t="str">
        <f>"INVOICE 00033855 ORDGS031231  "</f>
        <v xml:space="preserve">INVOICE 00033855 ORDGS031231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36.08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0.3</v>
      </c>
      <c r="BJ439">
        <v>2.7</v>
      </c>
      <c r="BK439">
        <v>3</v>
      </c>
      <c r="BL439">
        <v>108.96</v>
      </c>
      <c r="BM439">
        <v>16.34</v>
      </c>
      <c r="BN439">
        <v>125.3</v>
      </c>
      <c r="BO439">
        <v>125.3</v>
      </c>
      <c r="BQ439" t="s">
        <v>505</v>
      </c>
      <c r="BR439" t="s">
        <v>101</v>
      </c>
      <c r="BS439" s="3">
        <v>45742</v>
      </c>
      <c r="BT439" s="4">
        <v>0.5083333333333333</v>
      </c>
      <c r="BU439" t="s">
        <v>1343</v>
      </c>
      <c r="BV439" t="s">
        <v>87</v>
      </c>
      <c r="BY439">
        <v>13741.88</v>
      </c>
      <c r="BZ439" t="s">
        <v>90</v>
      </c>
      <c r="CA439" t="s">
        <v>812</v>
      </c>
      <c r="CC439" t="s">
        <v>503</v>
      </c>
      <c r="CD439">
        <v>5201</v>
      </c>
      <c r="CE439" t="s">
        <v>149</v>
      </c>
      <c r="CF439" s="3">
        <v>45743</v>
      </c>
      <c r="CI439">
        <v>1</v>
      </c>
      <c r="CJ439">
        <v>2</v>
      </c>
      <c r="CK439">
        <v>21</v>
      </c>
      <c r="CL439" t="s">
        <v>87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"GAB2025048"</f>
        <v>GAB2025048</v>
      </c>
      <c r="F440" s="3">
        <v>45740</v>
      </c>
      <c r="G440">
        <v>202512</v>
      </c>
      <c r="H440" t="s">
        <v>97</v>
      </c>
      <c r="I440" t="s">
        <v>98</v>
      </c>
      <c r="J440" t="s">
        <v>99</v>
      </c>
      <c r="K440" t="s">
        <v>78</v>
      </c>
      <c r="L440" t="s">
        <v>75</v>
      </c>
      <c r="M440" t="s">
        <v>76</v>
      </c>
      <c r="N440" t="s">
        <v>1344</v>
      </c>
      <c r="O440" t="s">
        <v>82</v>
      </c>
      <c r="P440" t="str">
        <f>"INVOICE 00033856 ORDGS031314  "</f>
        <v xml:space="preserve">INVOICE 00033856 ORDGS031314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24.06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1.8</v>
      </c>
      <c r="BK440">
        <v>2</v>
      </c>
      <c r="BL440">
        <v>72.66</v>
      </c>
      <c r="BM440">
        <v>10.9</v>
      </c>
      <c r="BN440">
        <v>83.56</v>
      </c>
      <c r="BO440">
        <v>83.56</v>
      </c>
      <c r="BQ440" t="s">
        <v>1345</v>
      </c>
      <c r="BR440" t="s">
        <v>101</v>
      </c>
      <c r="BS440" s="3">
        <v>45742</v>
      </c>
      <c r="BT440" s="4">
        <v>0.41805555555555557</v>
      </c>
      <c r="BU440" t="s">
        <v>1346</v>
      </c>
      <c r="BV440" t="s">
        <v>109</v>
      </c>
      <c r="BY440">
        <v>9224.2800000000007</v>
      </c>
      <c r="BZ440" t="s">
        <v>90</v>
      </c>
      <c r="CA440" t="s">
        <v>192</v>
      </c>
      <c r="CC440" t="s">
        <v>76</v>
      </c>
      <c r="CD440">
        <v>4000</v>
      </c>
      <c r="CE440" t="s">
        <v>149</v>
      </c>
      <c r="CF440" s="3">
        <v>45743</v>
      </c>
      <c r="CI440">
        <v>2</v>
      </c>
      <c r="CJ440">
        <v>2</v>
      </c>
      <c r="CK440">
        <v>21</v>
      </c>
      <c r="CL440" t="s">
        <v>87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"GAB2025049"</f>
        <v>GAB2025049</v>
      </c>
      <c r="F441" s="3">
        <v>45740</v>
      </c>
      <c r="G441">
        <v>202512</v>
      </c>
      <c r="H441" t="s">
        <v>97</v>
      </c>
      <c r="I441" t="s">
        <v>98</v>
      </c>
      <c r="J441" t="s">
        <v>99</v>
      </c>
      <c r="K441" t="s">
        <v>78</v>
      </c>
      <c r="L441" t="s">
        <v>519</v>
      </c>
      <c r="M441" t="s">
        <v>520</v>
      </c>
      <c r="N441" t="s">
        <v>1347</v>
      </c>
      <c r="O441" t="s">
        <v>82</v>
      </c>
      <c r="P441" t="str">
        <f>"INVOICE 00033841 ORDGS031292  "</f>
        <v xml:space="preserve">INVOICE 00033841 ORDGS031292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24.06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1.9</v>
      </c>
      <c r="BK441">
        <v>2</v>
      </c>
      <c r="BL441">
        <v>72.66</v>
      </c>
      <c r="BM441">
        <v>10.9</v>
      </c>
      <c r="BN441">
        <v>83.56</v>
      </c>
      <c r="BO441">
        <v>83.56</v>
      </c>
      <c r="BQ441" t="s">
        <v>640</v>
      </c>
      <c r="BR441" t="s">
        <v>101</v>
      </c>
      <c r="BS441" s="3">
        <v>45742</v>
      </c>
      <c r="BT441" s="4">
        <v>0.40277777777777779</v>
      </c>
      <c r="BU441" t="s">
        <v>1348</v>
      </c>
      <c r="BV441" t="s">
        <v>109</v>
      </c>
      <c r="BY441">
        <v>9446.2199999999993</v>
      </c>
      <c r="BZ441" t="s">
        <v>90</v>
      </c>
      <c r="CA441" t="s">
        <v>1349</v>
      </c>
      <c r="CC441" t="s">
        <v>520</v>
      </c>
      <c r="CD441">
        <v>6001</v>
      </c>
      <c r="CE441" t="s">
        <v>149</v>
      </c>
      <c r="CF441" s="3">
        <v>45742</v>
      </c>
      <c r="CI441">
        <v>2</v>
      </c>
      <c r="CJ441">
        <v>2</v>
      </c>
      <c r="CK441">
        <v>21</v>
      </c>
      <c r="CL441" t="s">
        <v>87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"GAB2025051"</f>
        <v>GAB2025051</v>
      </c>
      <c r="F442" s="3">
        <v>45740</v>
      </c>
      <c r="G442">
        <v>202512</v>
      </c>
      <c r="H442" t="s">
        <v>97</v>
      </c>
      <c r="I442" t="s">
        <v>98</v>
      </c>
      <c r="J442" t="s">
        <v>99</v>
      </c>
      <c r="K442" t="s">
        <v>78</v>
      </c>
      <c r="L442" t="s">
        <v>408</v>
      </c>
      <c r="M442" t="s">
        <v>409</v>
      </c>
      <c r="N442" t="s">
        <v>410</v>
      </c>
      <c r="O442" t="s">
        <v>82</v>
      </c>
      <c r="P442" t="str">
        <f>"INVOICE 00116333 CT093359     "</f>
        <v xml:space="preserve">INVOICE 00116333 CT093359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36.08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0.2</v>
      </c>
      <c r="BJ442">
        <v>3</v>
      </c>
      <c r="BK442">
        <v>3</v>
      </c>
      <c r="BL442">
        <v>108.96</v>
      </c>
      <c r="BM442">
        <v>16.34</v>
      </c>
      <c r="BN442">
        <v>125.3</v>
      </c>
      <c r="BO442">
        <v>125.3</v>
      </c>
      <c r="BR442" t="s">
        <v>101</v>
      </c>
      <c r="BS442" s="3">
        <v>45742</v>
      </c>
      <c r="BT442" s="4">
        <v>0.42430555555555555</v>
      </c>
      <c r="BU442" t="s">
        <v>1141</v>
      </c>
      <c r="BV442" t="s">
        <v>87</v>
      </c>
      <c r="BW442" t="s">
        <v>88</v>
      </c>
      <c r="BX442" t="s">
        <v>1350</v>
      </c>
      <c r="BY442">
        <v>14965.44</v>
      </c>
      <c r="BZ442" t="s">
        <v>90</v>
      </c>
      <c r="CA442" t="s">
        <v>1351</v>
      </c>
      <c r="CC442" t="s">
        <v>409</v>
      </c>
      <c r="CD442">
        <v>1501</v>
      </c>
      <c r="CE442" t="s">
        <v>1352</v>
      </c>
      <c r="CF442" s="3">
        <v>45743</v>
      </c>
      <c r="CI442">
        <v>1</v>
      </c>
      <c r="CJ442">
        <v>2</v>
      </c>
      <c r="CK442">
        <v>21</v>
      </c>
      <c r="CL442" t="s">
        <v>87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"GAB2025052"</f>
        <v>GAB2025052</v>
      </c>
      <c r="F443" s="3">
        <v>45740</v>
      </c>
      <c r="G443">
        <v>202512</v>
      </c>
      <c r="H443" t="s">
        <v>97</v>
      </c>
      <c r="I443" t="s">
        <v>98</v>
      </c>
      <c r="J443" t="s">
        <v>99</v>
      </c>
      <c r="K443" t="s">
        <v>78</v>
      </c>
      <c r="L443" t="s">
        <v>163</v>
      </c>
      <c r="M443" t="s">
        <v>164</v>
      </c>
      <c r="N443" t="s">
        <v>165</v>
      </c>
      <c r="O443" t="s">
        <v>82</v>
      </c>
      <c r="P443" t="str">
        <f>"INVOICE 00116334 CT093360     "</f>
        <v xml:space="preserve">INVOICE 00116334 CT093360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46.61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0.3</v>
      </c>
      <c r="BJ443">
        <v>1.8</v>
      </c>
      <c r="BK443">
        <v>2</v>
      </c>
      <c r="BL443">
        <v>140.77000000000001</v>
      </c>
      <c r="BM443">
        <v>21.12</v>
      </c>
      <c r="BN443">
        <v>161.88999999999999</v>
      </c>
      <c r="BO443">
        <v>161.88999999999999</v>
      </c>
      <c r="BQ443" t="s">
        <v>166</v>
      </c>
      <c r="BR443" t="s">
        <v>101</v>
      </c>
      <c r="BS443" s="3">
        <v>45742</v>
      </c>
      <c r="BT443" s="4">
        <v>0.41180555555555554</v>
      </c>
      <c r="BU443" t="s">
        <v>1353</v>
      </c>
      <c r="BV443" t="s">
        <v>109</v>
      </c>
      <c r="BY443">
        <v>9187.2000000000007</v>
      </c>
      <c r="BZ443" t="s">
        <v>90</v>
      </c>
      <c r="CA443" t="s">
        <v>168</v>
      </c>
      <c r="CC443" t="s">
        <v>164</v>
      </c>
      <c r="CD443">
        <v>9459</v>
      </c>
      <c r="CE443" t="s">
        <v>169</v>
      </c>
      <c r="CF443" s="3">
        <v>45742</v>
      </c>
      <c r="CI443">
        <v>2</v>
      </c>
      <c r="CJ443">
        <v>2</v>
      </c>
      <c r="CK443">
        <v>23</v>
      </c>
      <c r="CL443" t="s">
        <v>87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"GAB2025053"</f>
        <v>GAB2025053</v>
      </c>
      <c r="F444" s="3">
        <v>45740</v>
      </c>
      <c r="G444">
        <v>202512</v>
      </c>
      <c r="H444" t="s">
        <v>97</v>
      </c>
      <c r="I444" t="s">
        <v>98</v>
      </c>
      <c r="J444" t="s">
        <v>99</v>
      </c>
      <c r="K444" t="s">
        <v>78</v>
      </c>
      <c r="L444" t="s">
        <v>401</v>
      </c>
      <c r="M444" t="s">
        <v>402</v>
      </c>
      <c r="N444" t="s">
        <v>758</v>
      </c>
      <c r="O444" t="s">
        <v>82</v>
      </c>
      <c r="P444" t="str">
        <f>"INVOICE 00116335 CT093361     "</f>
        <v xml:space="preserve">INVOICE 00116335 CT093361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46.61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0.7</v>
      </c>
      <c r="BJ444">
        <v>1.8</v>
      </c>
      <c r="BK444">
        <v>2</v>
      </c>
      <c r="BL444">
        <v>140.77000000000001</v>
      </c>
      <c r="BM444">
        <v>21.12</v>
      </c>
      <c r="BN444">
        <v>161.88999999999999</v>
      </c>
      <c r="BO444">
        <v>161.88999999999999</v>
      </c>
      <c r="BQ444" t="s">
        <v>759</v>
      </c>
      <c r="BR444" t="s">
        <v>101</v>
      </c>
      <c r="BS444" s="3">
        <v>45742</v>
      </c>
      <c r="BT444" s="4">
        <v>0.40972222222222221</v>
      </c>
      <c r="BU444" t="s">
        <v>1354</v>
      </c>
      <c r="BV444" t="s">
        <v>109</v>
      </c>
      <c r="BY444">
        <v>8935.2000000000007</v>
      </c>
      <c r="BZ444" t="s">
        <v>90</v>
      </c>
      <c r="CA444" t="s">
        <v>1355</v>
      </c>
      <c r="CC444" t="s">
        <v>402</v>
      </c>
      <c r="CD444" s="5" t="s">
        <v>407</v>
      </c>
      <c r="CE444" t="s">
        <v>662</v>
      </c>
      <c r="CF444" s="3">
        <v>45743</v>
      </c>
      <c r="CI444">
        <v>2</v>
      </c>
      <c r="CJ444">
        <v>2</v>
      </c>
      <c r="CK444">
        <v>23</v>
      </c>
      <c r="CL444" t="s">
        <v>87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"GAB2025054"</f>
        <v>GAB2025054</v>
      </c>
      <c r="F445" s="3">
        <v>45740</v>
      </c>
      <c r="G445">
        <v>202512</v>
      </c>
      <c r="H445" t="s">
        <v>97</v>
      </c>
      <c r="I445" t="s">
        <v>98</v>
      </c>
      <c r="J445" t="s">
        <v>99</v>
      </c>
      <c r="K445" t="s">
        <v>78</v>
      </c>
      <c r="L445" t="s">
        <v>339</v>
      </c>
      <c r="M445" t="s">
        <v>340</v>
      </c>
      <c r="N445" t="s">
        <v>935</v>
      </c>
      <c r="O445" t="s">
        <v>82</v>
      </c>
      <c r="P445" t="str">
        <f>"INVOICE 00116345 CT093371     "</f>
        <v xml:space="preserve">INVOICE 00116345 CT093371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18.79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2.4</v>
      </c>
      <c r="BK445">
        <v>3</v>
      </c>
      <c r="BL445">
        <v>56.75</v>
      </c>
      <c r="BM445">
        <v>8.51</v>
      </c>
      <c r="BN445">
        <v>65.260000000000005</v>
      </c>
      <c r="BO445">
        <v>65.260000000000005</v>
      </c>
      <c r="BQ445" t="s">
        <v>459</v>
      </c>
      <c r="BR445" t="s">
        <v>101</v>
      </c>
      <c r="BS445" s="3">
        <v>45741</v>
      </c>
      <c r="BT445" s="4">
        <v>0.35625000000000001</v>
      </c>
      <c r="BU445" t="s">
        <v>1356</v>
      </c>
      <c r="BV445" t="s">
        <v>109</v>
      </c>
      <c r="BY445">
        <v>11781</v>
      </c>
      <c r="BZ445" t="s">
        <v>90</v>
      </c>
      <c r="CA445" t="s">
        <v>380</v>
      </c>
      <c r="CC445" t="s">
        <v>340</v>
      </c>
      <c r="CD445">
        <v>7600</v>
      </c>
      <c r="CE445" t="s">
        <v>149</v>
      </c>
      <c r="CF445" s="3">
        <v>45742</v>
      </c>
      <c r="CI445">
        <v>1</v>
      </c>
      <c r="CJ445">
        <v>1</v>
      </c>
      <c r="CK445">
        <v>22</v>
      </c>
      <c r="CL445" t="s">
        <v>87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"GAB2025055"</f>
        <v>GAB2025055</v>
      </c>
      <c r="F446" s="3">
        <v>45740</v>
      </c>
      <c r="G446">
        <v>202512</v>
      </c>
      <c r="H446" t="s">
        <v>97</v>
      </c>
      <c r="I446" t="s">
        <v>98</v>
      </c>
      <c r="J446" t="s">
        <v>99</v>
      </c>
      <c r="K446" t="s">
        <v>78</v>
      </c>
      <c r="L446" t="s">
        <v>392</v>
      </c>
      <c r="M446" t="s">
        <v>393</v>
      </c>
      <c r="N446" t="s">
        <v>1357</v>
      </c>
      <c r="O446" t="s">
        <v>82</v>
      </c>
      <c r="P446" t="str">
        <f>"INVOICE 00116344 CT093368     "</f>
        <v xml:space="preserve">INVOICE 00116344 CT093368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46.61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0.3</v>
      </c>
      <c r="BJ446">
        <v>1.7</v>
      </c>
      <c r="BK446">
        <v>2</v>
      </c>
      <c r="BL446">
        <v>140.77000000000001</v>
      </c>
      <c r="BM446">
        <v>21.12</v>
      </c>
      <c r="BN446">
        <v>161.88999999999999</v>
      </c>
      <c r="BO446">
        <v>161.88999999999999</v>
      </c>
      <c r="BQ446" t="s">
        <v>1358</v>
      </c>
      <c r="BR446" t="s">
        <v>101</v>
      </c>
      <c r="BS446" s="3">
        <v>45742</v>
      </c>
      <c r="BT446" s="4">
        <v>0.51388888888888884</v>
      </c>
      <c r="BU446" t="s">
        <v>1359</v>
      </c>
      <c r="BV446" t="s">
        <v>109</v>
      </c>
      <c r="BY446">
        <v>8713.98</v>
      </c>
      <c r="BZ446" t="s">
        <v>90</v>
      </c>
      <c r="CC446" t="s">
        <v>393</v>
      </c>
      <c r="CD446">
        <v>4400</v>
      </c>
      <c r="CE446" t="s">
        <v>149</v>
      </c>
      <c r="CF446" s="3">
        <v>45743</v>
      </c>
      <c r="CI446">
        <v>2</v>
      </c>
      <c r="CJ446">
        <v>2</v>
      </c>
      <c r="CK446">
        <v>23</v>
      </c>
      <c r="CL446" t="s">
        <v>87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"GAB2025056"</f>
        <v>GAB2025056</v>
      </c>
      <c r="F447" s="3">
        <v>45740</v>
      </c>
      <c r="G447">
        <v>202512</v>
      </c>
      <c r="H447" t="s">
        <v>97</v>
      </c>
      <c r="I447" t="s">
        <v>98</v>
      </c>
      <c r="J447" t="s">
        <v>99</v>
      </c>
      <c r="K447" t="s">
        <v>78</v>
      </c>
      <c r="L447" t="s">
        <v>238</v>
      </c>
      <c r="M447" t="s">
        <v>239</v>
      </c>
      <c r="N447" t="s">
        <v>285</v>
      </c>
      <c r="O447" t="s">
        <v>82</v>
      </c>
      <c r="P447" t="str">
        <f>"INVOICE 00116343 CT093367     "</f>
        <v xml:space="preserve">INVOICE 00116343 CT093367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24.06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1.7</v>
      </c>
      <c r="BK447">
        <v>2</v>
      </c>
      <c r="BL447">
        <v>72.66</v>
      </c>
      <c r="BM447">
        <v>10.9</v>
      </c>
      <c r="BN447">
        <v>83.56</v>
      </c>
      <c r="BO447">
        <v>83.56</v>
      </c>
      <c r="BQ447" t="s">
        <v>286</v>
      </c>
      <c r="BR447" t="s">
        <v>101</v>
      </c>
      <c r="BS447" s="3">
        <v>45741</v>
      </c>
      <c r="BT447" s="4">
        <v>0.41597222222222224</v>
      </c>
      <c r="BU447" t="s">
        <v>1360</v>
      </c>
      <c r="BV447" t="s">
        <v>109</v>
      </c>
      <c r="BY447">
        <v>8462.7900000000009</v>
      </c>
      <c r="BZ447" t="s">
        <v>90</v>
      </c>
      <c r="CA447" t="s">
        <v>1195</v>
      </c>
      <c r="CC447" t="s">
        <v>239</v>
      </c>
      <c r="CD447">
        <v>2021</v>
      </c>
      <c r="CE447" t="s">
        <v>149</v>
      </c>
      <c r="CF447" s="3">
        <v>45742</v>
      </c>
      <c r="CI447">
        <v>1</v>
      </c>
      <c r="CJ447">
        <v>1</v>
      </c>
      <c r="CK447">
        <v>21</v>
      </c>
      <c r="CL447" t="s">
        <v>87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"GAB2025057"</f>
        <v>GAB2025057</v>
      </c>
      <c r="F448" s="3">
        <v>45740</v>
      </c>
      <c r="G448">
        <v>202512</v>
      </c>
      <c r="H448" t="s">
        <v>97</v>
      </c>
      <c r="I448" t="s">
        <v>98</v>
      </c>
      <c r="J448" t="s">
        <v>99</v>
      </c>
      <c r="K448" t="s">
        <v>78</v>
      </c>
      <c r="L448" t="s">
        <v>170</v>
      </c>
      <c r="M448" t="s">
        <v>171</v>
      </c>
      <c r="N448" t="s">
        <v>172</v>
      </c>
      <c r="O448" t="s">
        <v>82</v>
      </c>
      <c r="P448" t="str">
        <f>"INVOICE 00116351 CT093370     "</f>
        <v xml:space="preserve">INVOICE 00116351 CT093370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46.61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0.7</v>
      </c>
      <c r="BJ448">
        <v>1.7</v>
      </c>
      <c r="BK448">
        <v>2</v>
      </c>
      <c r="BL448">
        <v>140.77000000000001</v>
      </c>
      <c r="BM448">
        <v>21.12</v>
      </c>
      <c r="BN448">
        <v>161.88999999999999</v>
      </c>
      <c r="BO448">
        <v>161.88999999999999</v>
      </c>
      <c r="BQ448" t="s">
        <v>1361</v>
      </c>
      <c r="BR448" t="s">
        <v>101</v>
      </c>
      <c r="BS448" s="3">
        <v>45742</v>
      </c>
      <c r="BT448" s="4">
        <v>0.45277777777777778</v>
      </c>
      <c r="BU448" t="s">
        <v>324</v>
      </c>
      <c r="BV448" t="s">
        <v>87</v>
      </c>
      <c r="BW448" t="s">
        <v>1017</v>
      </c>
      <c r="BX448" t="s">
        <v>1362</v>
      </c>
      <c r="BY448">
        <v>8461.5300000000007</v>
      </c>
      <c r="BZ448" t="s">
        <v>90</v>
      </c>
      <c r="CA448" t="s">
        <v>1087</v>
      </c>
      <c r="CC448" t="s">
        <v>171</v>
      </c>
      <c r="CD448">
        <v>9700</v>
      </c>
      <c r="CE448" t="s">
        <v>662</v>
      </c>
      <c r="CF448" s="3">
        <v>45742</v>
      </c>
      <c r="CI448">
        <v>2</v>
      </c>
      <c r="CJ448">
        <v>2</v>
      </c>
      <c r="CK448">
        <v>23</v>
      </c>
      <c r="CL448" t="s">
        <v>87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"GAB2025058"</f>
        <v>GAB2025058</v>
      </c>
      <c r="F449" s="3">
        <v>45740</v>
      </c>
      <c r="G449">
        <v>202512</v>
      </c>
      <c r="H449" t="s">
        <v>97</v>
      </c>
      <c r="I449" t="s">
        <v>98</v>
      </c>
      <c r="J449" t="s">
        <v>99</v>
      </c>
      <c r="K449" t="s">
        <v>78</v>
      </c>
      <c r="L449" t="s">
        <v>401</v>
      </c>
      <c r="M449" t="s">
        <v>402</v>
      </c>
      <c r="N449" t="s">
        <v>1363</v>
      </c>
      <c r="O449" t="s">
        <v>82</v>
      </c>
      <c r="P449" t="str">
        <f>"INVOICE 00116352 CT093365     "</f>
        <v xml:space="preserve">INVOICE 00116352 CT093365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46.61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0.4</v>
      </c>
      <c r="BJ449">
        <v>2</v>
      </c>
      <c r="BK449">
        <v>2</v>
      </c>
      <c r="BL449">
        <v>140.77000000000001</v>
      </c>
      <c r="BM449">
        <v>21.12</v>
      </c>
      <c r="BN449">
        <v>161.88999999999999</v>
      </c>
      <c r="BO449">
        <v>161.88999999999999</v>
      </c>
      <c r="BR449" t="s">
        <v>101</v>
      </c>
      <c r="BS449" s="3">
        <v>45741</v>
      </c>
      <c r="BT449" s="4">
        <v>0.41041666666666665</v>
      </c>
      <c r="BU449" t="s">
        <v>1364</v>
      </c>
      <c r="BV449" t="s">
        <v>109</v>
      </c>
      <c r="BY449">
        <v>10245.41</v>
      </c>
      <c r="BZ449" t="s">
        <v>90</v>
      </c>
      <c r="CA449" t="s">
        <v>406</v>
      </c>
      <c r="CC449" t="s">
        <v>402</v>
      </c>
      <c r="CD449" s="5" t="s">
        <v>407</v>
      </c>
      <c r="CE449" t="s">
        <v>237</v>
      </c>
      <c r="CF449" s="3">
        <v>45742</v>
      </c>
      <c r="CI449">
        <v>2</v>
      </c>
      <c r="CJ449">
        <v>1</v>
      </c>
      <c r="CK449">
        <v>23</v>
      </c>
      <c r="CL449" t="s">
        <v>87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"GAB2025060"</f>
        <v>GAB2025060</v>
      </c>
      <c r="F450" s="3">
        <v>45740</v>
      </c>
      <c r="G450">
        <v>202512</v>
      </c>
      <c r="H450" t="s">
        <v>97</v>
      </c>
      <c r="I450" t="s">
        <v>98</v>
      </c>
      <c r="J450" t="s">
        <v>99</v>
      </c>
      <c r="K450" t="s">
        <v>78</v>
      </c>
      <c r="L450" t="s">
        <v>280</v>
      </c>
      <c r="M450" t="s">
        <v>281</v>
      </c>
      <c r="N450" t="s">
        <v>438</v>
      </c>
      <c r="O450" t="s">
        <v>82</v>
      </c>
      <c r="P450" t="str">
        <f>"INVOICE 00033886 ORDGS031245  "</f>
        <v xml:space="preserve">INVOICE 00033886 ORDGS031245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24.06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1.7</v>
      </c>
      <c r="BK450">
        <v>2</v>
      </c>
      <c r="BL450">
        <v>72.66</v>
      </c>
      <c r="BM450">
        <v>10.9</v>
      </c>
      <c r="BN450">
        <v>83.56</v>
      </c>
      <c r="BO450">
        <v>83.56</v>
      </c>
      <c r="BQ450" t="s">
        <v>210</v>
      </c>
      <c r="BR450" t="s">
        <v>101</v>
      </c>
      <c r="BS450" s="3">
        <v>45742</v>
      </c>
      <c r="BT450" s="4">
        <v>0.42708333333333331</v>
      </c>
      <c r="BU450" t="s">
        <v>1365</v>
      </c>
      <c r="BV450" t="s">
        <v>87</v>
      </c>
      <c r="BY450">
        <v>8635.0300000000007</v>
      </c>
      <c r="BZ450" t="s">
        <v>90</v>
      </c>
      <c r="CA450" t="s">
        <v>284</v>
      </c>
      <c r="CC450" t="s">
        <v>281</v>
      </c>
      <c r="CD450">
        <v>3201</v>
      </c>
      <c r="CE450" t="s">
        <v>149</v>
      </c>
      <c r="CF450" s="3">
        <v>45743</v>
      </c>
      <c r="CI450">
        <v>1</v>
      </c>
      <c r="CJ450">
        <v>2</v>
      </c>
      <c r="CK450">
        <v>21</v>
      </c>
      <c r="CL450" t="s">
        <v>87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"GAB2025061"</f>
        <v>GAB2025061</v>
      </c>
      <c r="F451" s="3">
        <v>45740</v>
      </c>
      <c r="G451">
        <v>202512</v>
      </c>
      <c r="H451" t="s">
        <v>97</v>
      </c>
      <c r="I451" t="s">
        <v>98</v>
      </c>
      <c r="J451" t="s">
        <v>99</v>
      </c>
      <c r="K451" t="s">
        <v>78</v>
      </c>
      <c r="L451" t="s">
        <v>238</v>
      </c>
      <c r="M451" t="s">
        <v>239</v>
      </c>
      <c r="N451" t="s">
        <v>1366</v>
      </c>
      <c r="O451" t="s">
        <v>82</v>
      </c>
      <c r="P451" t="str">
        <f>"INVOICE 00033887 ORDGS031270  "</f>
        <v xml:space="preserve">INVOICE 00033887 ORDGS031270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30.07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0.3</v>
      </c>
      <c r="BJ451">
        <v>2.4</v>
      </c>
      <c r="BK451">
        <v>2.5</v>
      </c>
      <c r="BL451">
        <v>90.81</v>
      </c>
      <c r="BM451">
        <v>13.62</v>
      </c>
      <c r="BN451">
        <v>104.43</v>
      </c>
      <c r="BO451">
        <v>104.43</v>
      </c>
      <c r="BQ451" t="s">
        <v>1367</v>
      </c>
      <c r="BR451" t="s">
        <v>101</v>
      </c>
      <c r="BS451" s="3">
        <v>45741</v>
      </c>
      <c r="BT451" s="4">
        <v>0.4152777777777778</v>
      </c>
      <c r="BU451" t="s">
        <v>1368</v>
      </c>
      <c r="BV451" t="s">
        <v>109</v>
      </c>
      <c r="BY451">
        <v>11869.8</v>
      </c>
      <c r="BZ451" t="s">
        <v>90</v>
      </c>
      <c r="CA451" t="s">
        <v>1369</v>
      </c>
      <c r="CC451" t="s">
        <v>239</v>
      </c>
      <c r="CD451">
        <v>2001</v>
      </c>
      <c r="CE451" t="s">
        <v>518</v>
      </c>
      <c r="CF451" s="3">
        <v>45741</v>
      </c>
      <c r="CI451">
        <v>1</v>
      </c>
      <c r="CJ451">
        <v>1</v>
      </c>
      <c r="CK451">
        <v>21</v>
      </c>
      <c r="CL451" t="s">
        <v>87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"GAB2025062"</f>
        <v>GAB2025062</v>
      </c>
      <c r="F452" s="3">
        <v>45740</v>
      </c>
      <c r="G452">
        <v>202512</v>
      </c>
      <c r="H452" t="s">
        <v>97</v>
      </c>
      <c r="I452" t="s">
        <v>98</v>
      </c>
      <c r="J452" t="s">
        <v>99</v>
      </c>
      <c r="K452" t="s">
        <v>78</v>
      </c>
      <c r="L452" t="s">
        <v>262</v>
      </c>
      <c r="M452" t="s">
        <v>263</v>
      </c>
      <c r="N452" t="s">
        <v>856</v>
      </c>
      <c r="O452" t="s">
        <v>82</v>
      </c>
      <c r="P452" t="str">
        <f>"INVOIUCE 00033888 ORDGS031351 "</f>
        <v xml:space="preserve">INVOIUCE 00033888 ORDGS031351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24.06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0.2</v>
      </c>
      <c r="BJ452">
        <v>2</v>
      </c>
      <c r="BK452">
        <v>2</v>
      </c>
      <c r="BL452">
        <v>72.66</v>
      </c>
      <c r="BM452">
        <v>10.9</v>
      </c>
      <c r="BN452">
        <v>83.56</v>
      </c>
      <c r="BO452">
        <v>83.56</v>
      </c>
      <c r="BQ452" t="s">
        <v>356</v>
      </c>
      <c r="BR452" t="s">
        <v>101</v>
      </c>
      <c r="BS452" s="3">
        <v>45741</v>
      </c>
      <c r="BT452" s="4">
        <v>0.3347222222222222</v>
      </c>
      <c r="BU452" t="s">
        <v>1370</v>
      </c>
      <c r="BV452" t="s">
        <v>109</v>
      </c>
      <c r="BY452">
        <v>10049.34</v>
      </c>
      <c r="BZ452" t="s">
        <v>90</v>
      </c>
      <c r="CA452" t="s">
        <v>645</v>
      </c>
      <c r="CC452" t="s">
        <v>263</v>
      </c>
      <c r="CD452" s="5" t="s">
        <v>444</v>
      </c>
      <c r="CE452" t="s">
        <v>518</v>
      </c>
      <c r="CF452" s="3">
        <v>45741</v>
      </c>
      <c r="CI452">
        <v>1</v>
      </c>
      <c r="CJ452">
        <v>1</v>
      </c>
      <c r="CK452">
        <v>21</v>
      </c>
      <c r="CL452" t="s">
        <v>87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"GAB2025063"</f>
        <v>GAB2025063</v>
      </c>
      <c r="F453" s="3">
        <v>45740</v>
      </c>
      <c r="G453">
        <v>202512</v>
      </c>
      <c r="H453" t="s">
        <v>97</v>
      </c>
      <c r="I453" t="s">
        <v>98</v>
      </c>
      <c r="J453" t="s">
        <v>99</v>
      </c>
      <c r="K453" t="s">
        <v>78</v>
      </c>
      <c r="L453" t="s">
        <v>262</v>
      </c>
      <c r="M453" t="s">
        <v>263</v>
      </c>
      <c r="N453" t="s">
        <v>1077</v>
      </c>
      <c r="O453" t="s">
        <v>82</v>
      </c>
      <c r="P453" t="str">
        <f>"INVOI CE 00033889 ORDGS031352 "</f>
        <v xml:space="preserve">INVOI CE 00033889 ORDGS031352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30.07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0.4</v>
      </c>
      <c r="BJ453">
        <v>2.5</v>
      </c>
      <c r="BK453">
        <v>2.5</v>
      </c>
      <c r="BL453">
        <v>90.81</v>
      </c>
      <c r="BM453">
        <v>13.62</v>
      </c>
      <c r="BN453">
        <v>104.43</v>
      </c>
      <c r="BO453">
        <v>104.43</v>
      </c>
      <c r="BQ453" t="s">
        <v>1371</v>
      </c>
      <c r="BR453" t="s">
        <v>101</v>
      </c>
      <c r="BS453" s="3">
        <v>45741</v>
      </c>
      <c r="BT453" s="4">
        <v>0.45208333333333334</v>
      </c>
      <c r="BU453" t="s">
        <v>527</v>
      </c>
      <c r="BV453" t="s">
        <v>87</v>
      </c>
      <c r="BW453" t="s">
        <v>88</v>
      </c>
      <c r="BX453" t="s">
        <v>499</v>
      </c>
      <c r="BY453">
        <v>12742.8</v>
      </c>
      <c r="BZ453" t="s">
        <v>90</v>
      </c>
      <c r="CA453" t="s">
        <v>1079</v>
      </c>
      <c r="CC453" t="s">
        <v>263</v>
      </c>
      <c r="CD453" s="5" t="s">
        <v>444</v>
      </c>
      <c r="CE453" t="s">
        <v>213</v>
      </c>
      <c r="CF453" s="3">
        <v>45741</v>
      </c>
      <c r="CI453">
        <v>1</v>
      </c>
      <c r="CJ453">
        <v>1</v>
      </c>
      <c r="CK453">
        <v>21</v>
      </c>
      <c r="CL453" t="s">
        <v>87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"GAB2025065"</f>
        <v>GAB2025065</v>
      </c>
      <c r="F454" s="3">
        <v>45740</v>
      </c>
      <c r="G454">
        <v>202512</v>
      </c>
      <c r="H454" t="s">
        <v>97</v>
      </c>
      <c r="I454" t="s">
        <v>98</v>
      </c>
      <c r="J454" t="s">
        <v>99</v>
      </c>
      <c r="K454" t="s">
        <v>78</v>
      </c>
      <c r="L454" t="s">
        <v>1223</v>
      </c>
      <c r="M454" t="s">
        <v>1224</v>
      </c>
      <c r="N454" t="s">
        <v>1372</v>
      </c>
      <c r="O454" t="s">
        <v>82</v>
      </c>
      <c r="P454" t="str">
        <f>"00033891 ORDGS031350          "</f>
        <v xml:space="preserve">00033891 ORDGS031350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46.61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0.2</v>
      </c>
      <c r="BJ454">
        <v>2</v>
      </c>
      <c r="BK454">
        <v>2</v>
      </c>
      <c r="BL454">
        <v>140.77000000000001</v>
      </c>
      <c r="BM454">
        <v>21.12</v>
      </c>
      <c r="BN454">
        <v>161.88999999999999</v>
      </c>
      <c r="BO454">
        <v>161.88999999999999</v>
      </c>
      <c r="BR454" t="s">
        <v>101</v>
      </c>
      <c r="BS454" s="3">
        <v>45741</v>
      </c>
      <c r="BT454" s="4">
        <v>0.44791666666666669</v>
      </c>
      <c r="BU454" t="s">
        <v>1373</v>
      </c>
      <c r="BV454" t="s">
        <v>109</v>
      </c>
      <c r="BY454">
        <v>10180.98</v>
      </c>
      <c r="BZ454" t="s">
        <v>90</v>
      </c>
      <c r="CA454" t="s">
        <v>1374</v>
      </c>
      <c r="CC454" t="s">
        <v>1224</v>
      </c>
      <c r="CD454">
        <v>1739</v>
      </c>
      <c r="CE454" t="s">
        <v>137</v>
      </c>
      <c r="CF454" s="3">
        <v>45742</v>
      </c>
      <c r="CI454">
        <v>1</v>
      </c>
      <c r="CJ454">
        <v>1</v>
      </c>
      <c r="CK454">
        <v>23</v>
      </c>
      <c r="CL454" t="s">
        <v>87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"GAB2025066"</f>
        <v>GAB2025066</v>
      </c>
      <c r="F455" s="3">
        <v>45740</v>
      </c>
      <c r="G455">
        <v>202512</v>
      </c>
      <c r="H455" t="s">
        <v>97</v>
      </c>
      <c r="I455" t="s">
        <v>98</v>
      </c>
      <c r="J455" t="s">
        <v>99</v>
      </c>
      <c r="K455" t="s">
        <v>78</v>
      </c>
      <c r="L455" t="s">
        <v>130</v>
      </c>
      <c r="M455" t="s">
        <v>131</v>
      </c>
      <c r="N455" t="s">
        <v>753</v>
      </c>
      <c r="O455" t="s">
        <v>82</v>
      </c>
      <c r="P455" t="str">
        <f>"INVOICE 00033893 ORDGS031303  "</f>
        <v xml:space="preserve">INVOICE 00033893 ORDGS031303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24.06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0.3</v>
      </c>
      <c r="BJ455">
        <v>1.9</v>
      </c>
      <c r="BK455">
        <v>2</v>
      </c>
      <c r="BL455">
        <v>72.66</v>
      </c>
      <c r="BM455">
        <v>10.9</v>
      </c>
      <c r="BN455">
        <v>83.56</v>
      </c>
      <c r="BO455">
        <v>83.56</v>
      </c>
      <c r="BQ455" t="s">
        <v>640</v>
      </c>
      <c r="BR455" t="s">
        <v>101</v>
      </c>
      <c r="BS455" s="3">
        <v>45742</v>
      </c>
      <c r="BT455" s="4">
        <v>0.43263888888888891</v>
      </c>
      <c r="BU455" t="s">
        <v>1375</v>
      </c>
      <c r="BV455" t="s">
        <v>109</v>
      </c>
      <c r="BY455">
        <v>9452.6299999999992</v>
      </c>
      <c r="BZ455" t="s">
        <v>90</v>
      </c>
      <c r="CA455" t="s">
        <v>1376</v>
      </c>
      <c r="CC455" t="s">
        <v>131</v>
      </c>
      <c r="CD455" s="5" t="s">
        <v>136</v>
      </c>
      <c r="CE455" t="s">
        <v>149</v>
      </c>
      <c r="CF455" s="3">
        <v>45742</v>
      </c>
      <c r="CI455">
        <v>2</v>
      </c>
      <c r="CJ455">
        <v>2</v>
      </c>
      <c r="CK455">
        <v>21</v>
      </c>
      <c r="CL455" t="s">
        <v>87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"GAB2025067"</f>
        <v>GAB2025067</v>
      </c>
      <c r="F456" s="3">
        <v>45740</v>
      </c>
      <c r="G456">
        <v>202512</v>
      </c>
      <c r="H456" t="s">
        <v>97</v>
      </c>
      <c r="I456" t="s">
        <v>98</v>
      </c>
      <c r="J456" t="s">
        <v>99</v>
      </c>
      <c r="K456" t="s">
        <v>78</v>
      </c>
      <c r="L456" t="s">
        <v>238</v>
      </c>
      <c r="M456" t="s">
        <v>239</v>
      </c>
      <c r="N456" t="s">
        <v>651</v>
      </c>
      <c r="O456" t="s">
        <v>82</v>
      </c>
      <c r="P456" t="str">
        <f>"INVOICE 00033894 ORDGS031312  "</f>
        <v xml:space="preserve">INVOICE 00033894 ORDGS031312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24.06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1.9</v>
      </c>
      <c r="BK456">
        <v>2</v>
      </c>
      <c r="BL456">
        <v>72.66</v>
      </c>
      <c r="BM456">
        <v>10.9</v>
      </c>
      <c r="BN456">
        <v>83.56</v>
      </c>
      <c r="BO456">
        <v>83.56</v>
      </c>
      <c r="BQ456" t="s">
        <v>367</v>
      </c>
      <c r="BR456" t="s">
        <v>101</v>
      </c>
      <c r="BS456" s="3">
        <v>45741</v>
      </c>
      <c r="BT456" s="4">
        <v>0.34652777777777777</v>
      </c>
      <c r="BU456" t="s">
        <v>1377</v>
      </c>
      <c r="BV456" t="s">
        <v>109</v>
      </c>
      <c r="BY456">
        <v>9321.48</v>
      </c>
      <c r="BZ456" t="s">
        <v>90</v>
      </c>
      <c r="CA456" t="s">
        <v>653</v>
      </c>
      <c r="CC456" t="s">
        <v>239</v>
      </c>
      <c r="CD456">
        <v>2001</v>
      </c>
      <c r="CE456" t="s">
        <v>137</v>
      </c>
      <c r="CF456" s="3">
        <v>45742</v>
      </c>
      <c r="CI456">
        <v>1</v>
      </c>
      <c r="CJ456">
        <v>1</v>
      </c>
      <c r="CK456">
        <v>21</v>
      </c>
      <c r="CL456" t="s">
        <v>87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"GAB2025070"</f>
        <v>GAB2025070</v>
      </c>
      <c r="F457" s="3">
        <v>45740</v>
      </c>
      <c r="G457">
        <v>202512</v>
      </c>
      <c r="H457" t="s">
        <v>97</v>
      </c>
      <c r="I457" t="s">
        <v>98</v>
      </c>
      <c r="J457" t="s">
        <v>99</v>
      </c>
      <c r="K457" t="s">
        <v>78</v>
      </c>
      <c r="L457" t="s">
        <v>401</v>
      </c>
      <c r="M457" t="s">
        <v>402</v>
      </c>
      <c r="N457" t="s">
        <v>403</v>
      </c>
      <c r="O457" t="s">
        <v>82</v>
      </c>
      <c r="P457" t="str">
        <f>"INVOICES 00033885   00033862 O"</f>
        <v>INVOICES 00033885   00033862 O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57.13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0.6</v>
      </c>
      <c r="BJ457">
        <v>2.2000000000000002</v>
      </c>
      <c r="BK457">
        <v>2.5</v>
      </c>
      <c r="BL457">
        <v>172.55</v>
      </c>
      <c r="BM457">
        <v>25.88</v>
      </c>
      <c r="BN457">
        <v>198.43</v>
      </c>
      <c r="BO457">
        <v>198.43</v>
      </c>
      <c r="BQ457" t="s">
        <v>1378</v>
      </c>
      <c r="BR457" t="s">
        <v>101</v>
      </c>
      <c r="BS457" s="3">
        <v>45741</v>
      </c>
      <c r="BT457" s="4">
        <v>0.43263888888888891</v>
      </c>
      <c r="BU457" t="s">
        <v>1284</v>
      </c>
      <c r="BV457" t="s">
        <v>109</v>
      </c>
      <c r="BY457">
        <v>11051.36</v>
      </c>
      <c r="BZ457" t="s">
        <v>90</v>
      </c>
      <c r="CA457" t="s">
        <v>406</v>
      </c>
      <c r="CC457" t="s">
        <v>402</v>
      </c>
      <c r="CD457" s="5" t="s">
        <v>407</v>
      </c>
      <c r="CE457" t="s">
        <v>352</v>
      </c>
      <c r="CF457" s="3">
        <v>45742</v>
      </c>
      <c r="CI457">
        <v>2</v>
      </c>
      <c r="CJ457">
        <v>1</v>
      </c>
      <c r="CK457">
        <v>23</v>
      </c>
      <c r="CL457" t="s">
        <v>87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"RGAB2024948"</f>
        <v>RGAB2024948</v>
      </c>
      <c r="F458" s="3">
        <v>45736</v>
      </c>
      <c r="G458">
        <v>202512</v>
      </c>
      <c r="H458" t="s">
        <v>262</v>
      </c>
      <c r="I458" t="s">
        <v>263</v>
      </c>
      <c r="J458" t="s">
        <v>917</v>
      </c>
      <c r="K458" t="s">
        <v>78</v>
      </c>
      <c r="L458" t="s">
        <v>97</v>
      </c>
      <c r="M458" t="s">
        <v>98</v>
      </c>
      <c r="N458" t="s">
        <v>99</v>
      </c>
      <c r="O458" t="s">
        <v>100</v>
      </c>
      <c r="P458" t="str">
        <f>"INV-00033684 031165           "</f>
        <v xml:space="preserve">INV-00033684 031165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16.739999999999998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63.81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7.4</v>
      </c>
      <c r="BJ458">
        <v>23.5</v>
      </c>
      <c r="BK458">
        <v>24</v>
      </c>
      <c r="BL458">
        <v>215.02</v>
      </c>
      <c r="BM458">
        <v>32.25</v>
      </c>
      <c r="BN458">
        <v>247.27</v>
      </c>
      <c r="BO458">
        <v>247.27</v>
      </c>
      <c r="BQ458" t="s">
        <v>101</v>
      </c>
      <c r="BS458" s="3">
        <v>45747</v>
      </c>
      <c r="BT458" s="4">
        <v>0.35208333333333336</v>
      </c>
      <c r="BU458" t="s">
        <v>1115</v>
      </c>
      <c r="BV458" t="s">
        <v>87</v>
      </c>
      <c r="BY458">
        <v>117662.22</v>
      </c>
      <c r="BZ458" t="s">
        <v>21</v>
      </c>
      <c r="CA458" t="s">
        <v>1379</v>
      </c>
      <c r="CC458" t="s">
        <v>98</v>
      </c>
      <c r="CD458">
        <v>8001</v>
      </c>
      <c r="CE458" t="s">
        <v>1380</v>
      </c>
      <c r="CI458">
        <v>3</v>
      </c>
      <c r="CJ458">
        <v>7</v>
      </c>
      <c r="CK458">
        <v>41</v>
      </c>
      <c r="CL458" t="s">
        <v>87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"GAB2025068"</f>
        <v>GAB2025068</v>
      </c>
      <c r="F459" s="3">
        <v>45740</v>
      </c>
      <c r="G459">
        <v>202512</v>
      </c>
      <c r="H459" t="s">
        <v>97</v>
      </c>
      <c r="I459" t="s">
        <v>98</v>
      </c>
      <c r="J459" t="s">
        <v>99</v>
      </c>
      <c r="K459" t="s">
        <v>78</v>
      </c>
      <c r="L459" t="s">
        <v>519</v>
      </c>
      <c r="M459" t="s">
        <v>520</v>
      </c>
      <c r="N459" t="s">
        <v>1347</v>
      </c>
      <c r="O459" t="s">
        <v>100</v>
      </c>
      <c r="P459" t="str">
        <f>"INVOICE 00116360 CT093366     "</f>
        <v xml:space="preserve">INVOICE 00116360 CT093366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46.52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0.9</v>
      </c>
      <c r="BJ459">
        <v>2.4</v>
      </c>
      <c r="BK459">
        <v>3</v>
      </c>
      <c r="BL459">
        <v>146.07</v>
      </c>
      <c r="BM459">
        <v>21.91</v>
      </c>
      <c r="BN459">
        <v>167.98</v>
      </c>
      <c r="BO459">
        <v>167.98</v>
      </c>
      <c r="BQ459" t="s">
        <v>1381</v>
      </c>
      <c r="BR459" t="s">
        <v>101</v>
      </c>
      <c r="BS459" s="3">
        <v>45742</v>
      </c>
      <c r="BT459" s="4">
        <v>0.40277777777777779</v>
      </c>
      <c r="BU459" t="s">
        <v>1348</v>
      </c>
      <c r="BV459" t="s">
        <v>109</v>
      </c>
      <c r="BY459">
        <v>11877.76</v>
      </c>
      <c r="CA459" t="s">
        <v>1349</v>
      </c>
      <c r="CC459" t="s">
        <v>520</v>
      </c>
      <c r="CD459">
        <v>6001</v>
      </c>
      <c r="CE459" t="s">
        <v>118</v>
      </c>
      <c r="CF459" s="3">
        <v>45742</v>
      </c>
      <c r="CI459">
        <v>3</v>
      </c>
      <c r="CJ459">
        <v>2</v>
      </c>
      <c r="CK459">
        <v>41</v>
      </c>
      <c r="CL459" t="s">
        <v>87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"GAB2025069"</f>
        <v>GAB2025069</v>
      </c>
      <c r="F460" s="3">
        <v>45740</v>
      </c>
      <c r="G460">
        <v>202512</v>
      </c>
      <c r="H460" t="s">
        <v>97</v>
      </c>
      <c r="I460" t="s">
        <v>98</v>
      </c>
      <c r="J460" t="s">
        <v>99</v>
      </c>
      <c r="K460" t="s">
        <v>78</v>
      </c>
      <c r="L460" t="s">
        <v>79</v>
      </c>
      <c r="M460" t="s">
        <v>80</v>
      </c>
      <c r="N460" t="s">
        <v>119</v>
      </c>
      <c r="O460" t="s">
        <v>100</v>
      </c>
      <c r="P460" t="str">
        <f>"INVOICE 00033907 ORDGS031374  "</f>
        <v xml:space="preserve">INVOICE 00033907 ORDGS031374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46.52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2.4</v>
      </c>
      <c r="BJ460">
        <v>5.9</v>
      </c>
      <c r="BK460">
        <v>6</v>
      </c>
      <c r="BL460">
        <v>146.07</v>
      </c>
      <c r="BM460">
        <v>21.91</v>
      </c>
      <c r="BN460">
        <v>167.98</v>
      </c>
      <c r="BO460">
        <v>167.98</v>
      </c>
      <c r="BQ460" t="s">
        <v>120</v>
      </c>
      <c r="BR460" t="s">
        <v>101</v>
      </c>
      <c r="BS460" s="3">
        <v>45743</v>
      </c>
      <c r="BT460" s="4">
        <v>0.37777777777777777</v>
      </c>
      <c r="BU460" t="s">
        <v>1382</v>
      </c>
      <c r="BV460" t="s">
        <v>109</v>
      </c>
      <c r="BY460">
        <v>29497.119999999999</v>
      </c>
      <c r="CA460" t="s">
        <v>91</v>
      </c>
      <c r="CC460" t="s">
        <v>80</v>
      </c>
      <c r="CD460" s="5" t="s">
        <v>92</v>
      </c>
      <c r="CE460" t="s">
        <v>111</v>
      </c>
      <c r="CF460" s="3">
        <v>45743</v>
      </c>
      <c r="CI460">
        <v>3</v>
      </c>
      <c r="CJ460">
        <v>3</v>
      </c>
      <c r="CK460">
        <v>41</v>
      </c>
      <c r="CL460" t="s">
        <v>87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"009944125775"</f>
        <v>009944125775</v>
      </c>
      <c r="F461" s="3">
        <v>45740</v>
      </c>
      <c r="G461">
        <v>202512</v>
      </c>
      <c r="H461" t="s">
        <v>112</v>
      </c>
      <c r="I461" t="s">
        <v>113</v>
      </c>
      <c r="J461" t="s">
        <v>119</v>
      </c>
      <c r="K461" t="s">
        <v>78</v>
      </c>
      <c r="L461" t="s">
        <v>262</v>
      </c>
      <c r="M461" t="s">
        <v>263</v>
      </c>
      <c r="N461" t="s">
        <v>119</v>
      </c>
      <c r="O461" t="s">
        <v>100</v>
      </c>
      <c r="P461" t="str">
        <f>"                              "</f>
        <v xml:space="preserve">      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46.52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2</v>
      </c>
      <c r="BJ461">
        <v>2.4</v>
      </c>
      <c r="BK461">
        <v>3</v>
      </c>
      <c r="BL461">
        <v>146.07</v>
      </c>
      <c r="BM461">
        <v>21.91</v>
      </c>
      <c r="BN461">
        <v>167.98</v>
      </c>
      <c r="BO461">
        <v>167.98</v>
      </c>
      <c r="BQ461" t="s">
        <v>1383</v>
      </c>
      <c r="BR461" t="s">
        <v>814</v>
      </c>
      <c r="BS461" s="3">
        <v>45741</v>
      </c>
      <c r="BT461" s="4">
        <v>0.35972222222222222</v>
      </c>
      <c r="BU461" t="s">
        <v>1384</v>
      </c>
      <c r="BV461" t="s">
        <v>109</v>
      </c>
      <c r="BY461">
        <v>12000</v>
      </c>
      <c r="BZ461" t="s">
        <v>260</v>
      </c>
      <c r="CA461" t="s">
        <v>91</v>
      </c>
      <c r="CC461" t="s">
        <v>263</v>
      </c>
      <c r="CD461" s="5" t="s">
        <v>1385</v>
      </c>
      <c r="CE461" t="s">
        <v>265</v>
      </c>
      <c r="CF461" s="3">
        <v>45741</v>
      </c>
      <c r="CI461">
        <v>1</v>
      </c>
      <c r="CJ461">
        <v>1</v>
      </c>
      <c r="CK461">
        <v>41</v>
      </c>
      <c r="CL461" t="s">
        <v>87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"080011473298"</f>
        <v>080011473298</v>
      </c>
      <c r="F462" s="3">
        <v>45741</v>
      </c>
      <c r="G462">
        <v>202512</v>
      </c>
      <c r="H462" t="s">
        <v>150</v>
      </c>
      <c r="I462" t="s">
        <v>151</v>
      </c>
      <c r="J462" t="s">
        <v>1386</v>
      </c>
      <c r="K462" t="s">
        <v>78</v>
      </c>
      <c r="L462" t="s">
        <v>262</v>
      </c>
      <c r="M462" t="s">
        <v>263</v>
      </c>
      <c r="N462" t="s">
        <v>119</v>
      </c>
      <c r="O462" t="s">
        <v>82</v>
      </c>
      <c r="P462" t="str">
        <f>"-                             "</f>
        <v xml:space="preserve">-     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67.66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3</v>
      </c>
      <c r="BJ462">
        <v>2.4</v>
      </c>
      <c r="BK462">
        <v>3</v>
      </c>
      <c r="BL462">
        <v>204.34</v>
      </c>
      <c r="BM462">
        <v>30.65</v>
      </c>
      <c r="BN462">
        <v>234.99</v>
      </c>
      <c r="BO462">
        <v>234.99</v>
      </c>
      <c r="BP462" t="s">
        <v>83</v>
      </c>
      <c r="BQ462" t="s">
        <v>84</v>
      </c>
      <c r="BR462" t="s">
        <v>1387</v>
      </c>
      <c r="BS462" s="3">
        <v>45742</v>
      </c>
      <c r="BT462" s="4">
        <v>0.34513888888888888</v>
      </c>
      <c r="BU462" t="s">
        <v>1384</v>
      </c>
      <c r="BV462" t="s">
        <v>109</v>
      </c>
      <c r="BY462">
        <v>12000</v>
      </c>
      <c r="BZ462" t="s">
        <v>90</v>
      </c>
      <c r="CA462" t="s">
        <v>91</v>
      </c>
      <c r="CC462" t="s">
        <v>263</v>
      </c>
      <c r="CD462" s="5" t="s">
        <v>1385</v>
      </c>
      <c r="CE462" t="s">
        <v>93</v>
      </c>
      <c r="CF462" s="3">
        <v>45742</v>
      </c>
      <c r="CI462">
        <v>1</v>
      </c>
      <c r="CJ462">
        <v>1</v>
      </c>
      <c r="CK462">
        <v>23</v>
      </c>
      <c r="CL462" t="s">
        <v>87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"GAB2024983"</f>
        <v>GAB2024983</v>
      </c>
      <c r="F463" s="3">
        <v>45735</v>
      </c>
      <c r="G463">
        <v>202512</v>
      </c>
      <c r="H463" t="s">
        <v>97</v>
      </c>
      <c r="I463" t="s">
        <v>98</v>
      </c>
      <c r="J463" t="s">
        <v>99</v>
      </c>
      <c r="K463" t="s">
        <v>78</v>
      </c>
      <c r="L463" t="s">
        <v>262</v>
      </c>
      <c r="M463" t="s">
        <v>263</v>
      </c>
      <c r="N463" t="s">
        <v>573</v>
      </c>
      <c r="O463" t="s">
        <v>100</v>
      </c>
      <c r="P463" t="str">
        <f>"INV-00033739 00033737 031219 0"</f>
        <v>INV-00033739 00033737 031219 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98.38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4</v>
      </c>
      <c r="BI463">
        <v>27.2</v>
      </c>
      <c r="BJ463">
        <v>41.5</v>
      </c>
      <c r="BK463">
        <v>42</v>
      </c>
      <c r="BL463">
        <v>302.69</v>
      </c>
      <c r="BM463">
        <v>45.4</v>
      </c>
      <c r="BN463">
        <v>348.09</v>
      </c>
      <c r="BO463">
        <v>348.09</v>
      </c>
      <c r="BQ463" t="s">
        <v>107</v>
      </c>
      <c r="BR463" t="s">
        <v>101</v>
      </c>
      <c r="BS463" s="3">
        <v>45741</v>
      </c>
      <c r="BT463" s="4">
        <v>0.47499999999999998</v>
      </c>
      <c r="BU463" t="s">
        <v>1388</v>
      </c>
      <c r="BV463" t="s">
        <v>109</v>
      </c>
      <c r="BY463">
        <v>207559.38</v>
      </c>
      <c r="CA463" t="s">
        <v>575</v>
      </c>
      <c r="CC463" t="s">
        <v>263</v>
      </c>
      <c r="CD463" s="5" t="s">
        <v>444</v>
      </c>
      <c r="CE463" t="s">
        <v>111</v>
      </c>
      <c r="CF463" s="3">
        <v>45741</v>
      </c>
      <c r="CI463">
        <v>3</v>
      </c>
      <c r="CJ463">
        <v>4</v>
      </c>
      <c r="CK463">
        <v>41</v>
      </c>
      <c r="CL463" t="s">
        <v>87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"080011472776"</f>
        <v>080011472776</v>
      </c>
      <c r="F464" s="3">
        <v>45741</v>
      </c>
      <c r="G464">
        <v>202512</v>
      </c>
      <c r="H464" t="s">
        <v>79</v>
      </c>
      <c r="I464" t="s">
        <v>80</v>
      </c>
      <c r="J464" t="s">
        <v>81</v>
      </c>
      <c r="K464" t="s">
        <v>78</v>
      </c>
      <c r="L464" t="s">
        <v>401</v>
      </c>
      <c r="M464" t="s">
        <v>402</v>
      </c>
      <c r="N464" t="s">
        <v>1389</v>
      </c>
      <c r="O464" t="s">
        <v>82</v>
      </c>
      <c r="P464" t="str">
        <f>"-                             "</f>
        <v xml:space="preserve">-     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46.61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</v>
      </c>
      <c r="BJ464">
        <v>0.2</v>
      </c>
      <c r="BK464">
        <v>1</v>
      </c>
      <c r="BL464">
        <v>140.77000000000001</v>
      </c>
      <c r="BM464">
        <v>21.12</v>
      </c>
      <c r="BN464">
        <v>161.88999999999999</v>
      </c>
      <c r="BO464">
        <v>161.88999999999999</v>
      </c>
      <c r="BP464" t="s">
        <v>83</v>
      </c>
      <c r="BQ464" t="s">
        <v>636</v>
      </c>
      <c r="BR464" t="s">
        <v>84</v>
      </c>
      <c r="BS464" s="3">
        <v>45742</v>
      </c>
      <c r="BT464" s="4">
        <v>0.40694444444444444</v>
      </c>
      <c r="BU464" t="s">
        <v>1390</v>
      </c>
      <c r="BV464" t="s">
        <v>109</v>
      </c>
      <c r="BY464">
        <v>1200</v>
      </c>
      <c r="BZ464" t="s">
        <v>90</v>
      </c>
      <c r="CA464" t="s">
        <v>406</v>
      </c>
      <c r="CC464" t="s">
        <v>402</v>
      </c>
      <c r="CD464" s="5" t="s">
        <v>1391</v>
      </c>
      <c r="CE464" t="s">
        <v>93</v>
      </c>
      <c r="CF464" s="3">
        <v>45743</v>
      </c>
      <c r="CI464">
        <v>1</v>
      </c>
      <c r="CJ464">
        <v>1</v>
      </c>
      <c r="CK464">
        <v>23</v>
      </c>
      <c r="CL464" t="s">
        <v>87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"080011472794"</f>
        <v>080011472794</v>
      </c>
      <c r="F465" s="3">
        <v>45741</v>
      </c>
      <c r="G465">
        <v>202512</v>
      </c>
      <c r="H465" t="s">
        <v>79</v>
      </c>
      <c r="I465" t="s">
        <v>80</v>
      </c>
      <c r="J465" t="s">
        <v>81</v>
      </c>
      <c r="K465" t="s">
        <v>78</v>
      </c>
      <c r="L465" t="s">
        <v>519</v>
      </c>
      <c r="M465" t="s">
        <v>520</v>
      </c>
      <c r="N465" t="s">
        <v>994</v>
      </c>
      <c r="O465" t="s">
        <v>82</v>
      </c>
      <c r="P465" t="str">
        <f>"-                             "</f>
        <v xml:space="preserve">-       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24.06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2</v>
      </c>
      <c r="BJ465">
        <v>0</v>
      </c>
      <c r="BK465">
        <v>2</v>
      </c>
      <c r="BL465">
        <v>72.66</v>
      </c>
      <c r="BM465">
        <v>10.9</v>
      </c>
      <c r="BN465">
        <v>83.56</v>
      </c>
      <c r="BO465">
        <v>83.56</v>
      </c>
      <c r="BP465" t="s">
        <v>83</v>
      </c>
      <c r="BQ465" t="s">
        <v>995</v>
      </c>
      <c r="BR465" t="s">
        <v>84</v>
      </c>
      <c r="BS465" s="3">
        <v>45743</v>
      </c>
      <c r="BT465" s="4">
        <v>0.66666666666666663</v>
      </c>
      <c r="BU465" t="s">
        <v>1392</v>
      </c>
      <c r="BV465" t="s">
        <v>87</v>
      </c>
      <c r="BW465" t="s">
        <v>633</v>
      </c>
      <c r="BX465" t="s">
        <v>1393</v>
      </c>
      <c r="BY465">
        <v>180</v>
      </c>
      <c r="BZ465" t="s">
        <v>90</v>
      </c>
      <c r="CC465" t="s">
        <v>520</v>
      </c>
      <c r="CD465">
        <v>6000</v>
      </c>
      <c r="CE465" t="s">
        <v>93</v>
      </c>
      <c r="CF465" s="3">
        <v>45744</v>
      </c>
      <c r="CI465">
        <v>1</v>
      </c>
      <c r="CJ465">
        <v>2</v>
      </c>
      <c r="CK465">
        <v>21</v>
      </c>
      <c r="CL465" t="s">
        <v>87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"080011473561"</f>
        <v>080011473561</v>
      </c>
      <c r="F466" s="3">
        <v>45741</v>
      </c>
      <c r="G466">
        <v>202512</v>
      </c>
      <c r="H466" t="s">
        <v>79</v>
      </c>
      <c r="I466" t="s">
        <v>80</v>
      </c>
      <c r="J466" t="s">
        <v>81</v>
      </c>
      <c r="K466" t="s">
        <v>78</v>
      </c>
      <c r="L466" t="s">
        <v>1394</v>
      </c>
      <c r="M466" t="s">
        <v>1395</v>
      </c>
      <c r="N466" t="s">
        <v>1396</v>
      </c>
      <c r="O466" t="s">
        <v>82</v>
      </c>
      <c r="P466" t="str">
        <f>"-                             "</f>
        <v xml:space="preserve">-       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46.61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1</v>
      </c>
      <c r="BJ466">
        <v>0.2</v>
      </c>
      <c r="BK466">
        <v>1</v>
      </c>
      <c r="BL466">
        <v>140.77000000000001</v>
      </c>
      <c r="BM466">
        <v>21.12</v>
      </c>
      <c r="BN466">
        <v>161.88999999999999</v>
      </c>
      <c r="BO466">
        <v>161.88999999999999</v>
      </c>
      <c r="BP466" t="s">
        <v>83</v>
      </c>
      <c r="BQ466" t="s">
        <v>1397</v>
      </c>
      <c r="BR466" t="s">
        <v>84</v>
      </c>
      <c r="BS466" s="3">
        <v>45744</v>
      </c>
      <c r="BT466" s="4">
        <v>0.47222222222222221</v>
      </c>
      <c r="BU466" t="s">
        <v>1398</v>
      </c>
      <c r="BV466" t="s">
        <v>87</v>
      </c>
      <c r="BY466">
        <v>1200</v>
      </c>
      <c r="BZ466" t="s">
        <v>90</v>
      </c>
      <c r="CA466" t="s">
        <v>1399</v>
      </c>
      <c r="CC466" t="s">
        <v>1395</v>
      </c>
      <c r="CD466">
        <v>2330</v>
      </c>
      <c r="CE466" t="s">
        <v>93</v>
      </c>
      <c r="CF466" s="3">
        <v>45744</v>
      </c>
      <c r="CI466">
        <v>1</v>
      </c>
      <c r="CJ466">
        <v>3</v>
      </c>
      <c r="CK466">
        <v>23</v>
      </c>
      <c r="CL466" t="s">
        <v>87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"GAB2025071"</f>
        <v>GAB2025071</v>
      </c>
      <c r="F467" s="3">
        <v>45741</v>
      </c>
      <c r="G467">
        <v>202512</v>
      </c>
      <c r="H467" t="s">
        <v>97</v>
      </c>
      <c r="I467" t="s">
        <v>98</v>
      </c>
      <c r="J467" t="s">
        <v>99</v>
      </c>
      <c r="K467" t="s">
        <v>78</v>
      </c>
      <c r="L467" t="s">
        <v>1400</v>
      </c>
      <c r="M467" t="s">
        <v>1401</v>
      </c>
      <c r="N467" t="s">
        <v>1402</v>
      </c>
      <c r="O467" t="s">
        <v>100</v>
      </c>
      <c r="P467" t="str">
        <f>"invoice 00033928 ORDGS031079  "</f>
        <v xml:space="preserve">invoice 00033928 ORDGS031079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65.61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0.6</v>
      </c>
      <c r="BJ467">
        <v>1.7</v>
      </c>
      <c r="BK467">
        <v>2</v>
      </c>
      <c r="BL467">
        <v>203.73</v>
      </c>
      <c r="BM467">
        <v>30.56</v>
      </c>
      <c r="BN467">
        <v>234.29</v>
      </c>
      <c r="BO467">
        <v>234.29</v>
      </c>
      <c r="BQ467" t="s">
        <v>1403</v>
      </c>
      <c r="BR467" t="s">
        <v>101</v>
      </c>
      <c r="BS467" s="3">
        <v>45742</v>
      </c>
      <c r="BT467" s="4">
        <v>0.53472222222222221</v>
      </c>
      <c r="BU467" t="s">
        <v>1404</v>
      </c>
      <c r="BV467" t="s">
        <v>109</v>
      </c>
      <c r="BY467">
        <v>8336.6299999999992</v>
      </c>
      <c r="CC467" t="s">
        <v>1401</v>
      </c>
      <c r="CD467">
        <v>6570</v>
      </c>
      <c r="CE467" t="s">
        <v>726</v>
      </c>
      <c r="CF467" s="3">
        <v>45743</v>
      </c>
      <c r="CI467">
        <v>2</v>
      </c>
      <c r="CJ467">
        <v>1</v>
      </c>
      <c r="CK467">
        <v>43</v>
      </c>
      <c r="CL467" t="s">
        <v>87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"GAB2025072"</f>
        <v>GAB2025072</v>
      </c>
      <c r="F468" s="3">
        <v>45741</v>
      </c>
      <c r="G468">
        <v>202512</v>
      </c>
      <c r="H468" t="s">
        <v>97</v>
      </c>
      <c r="I468" t="s">
        <v>98</v>
      </c>
      <c r="J468" t="s">
        <v>99</v>
      </c>
      <c r="K468" t="s">
        <v>78</v>
      </c>
      <c r="L468" t="s">
        <v>262</v>
      </c>
      <c r="M468" t="s">
        <v>263</v>
      </c>
      <c r="N468" t="s">
        <v>917</v>
      </c>
      <c r="O468" t="s">
        <v>100</v>
      </c>
      <c r="P468" t="str">
        <f>"INVOICE 00033929 ORGS031032   "</f>
        <v xml:space="preserve">INVOICE 00033929 ORGS031032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46.52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0.4</v>
      </c>
      <c r="BJ468">
        <v>1.9</v>
      </c>
      <c r="BK468">
        <v>2</v>
      </c>
      <c r="BL468">
        <v>146.07</v>
      </c>
      <c r="BM468">
        <v>21.91</v>
      </c>
      <c r="BN468">
        <v>167.98</v>
      </c>
      <c r="BO468">
        <v>167.98</v>
      </c>
      <c r="BR468" t="s">
        <v>101</v>
      </c>
      <c r="BS468" s="3">
        <v>45743</v>
      </c>
      <c r="BT468" s="4">
        <v>0.60277777777777775</v>
      </c>
      <c r="BU468" t="s">
        <v>1405</v>
      </c>
      <c r="BV468" t="s">
        <v>109</v>
      </c>
      <c r="BY468">
        <v>9378.6</v>
      </c>
      <c r="CA468" t="s">
        <v>919</v>
      </c>
      <c r="CC468" t="s">
        <v>263</v>
      </c>
      <c r="CD468" s="5" t="s">
        <v>920</v>
      </c>
      <c r="CE468" t="s">
        <v>111</v>
      </c>
      <c r="CF468" s="3">
        <v>45744</v>
      </c>
      <c r="CI468">
        <v>3</v>
      </c>
      <c r="CJ468">
        <v>2</v>
      </c>
      <c r="CK468">
        <v>41</v>
      </c>
      <c r="CL468" t="s">
        <v>87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"GAB2025078"</f>
        <v>GAB2025078</v>
      </c>
      <c r="F469" s="3">
        <v>45741</v>
      </c>
      <c r="G469">
        <v>202512</v>
      </c>
      <c r="H469" t="s">
        <v>97</v>
      </c>
      <c r="I469" t="s">
        <v>98</v>
      </c>
      <c r="J469" t="s">
        <v>99</v>
      </c>
      <c r="K469" t="s">
        <v>78</v>
      </c>
      <c r="L469" t="s">
        <v>262</v>
      </c>
      <c r="M469" t="s">
        <v>263</v>
      </c>
      <c r="N469" t="s">
        <v>1406</v>
      </c>
      <c r="O469" t="s">
        <v>100</v>
      </c>
      <c r="P469" t="str">
        <f>"INVOICE 00033890 ORDGS031353  "</f>
        <v xml:space="preserve">INVOICE 00033890 ORDGS031353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67.650000000000006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10.199999999999999</v>
      </c>
      <c r="BJ469">
        <v>25.1</v>
      </c>
      <c r="BK469">
        <v>26</v>
      </c>
      <c r="BL469">
        <v>209.88</v>
      </c>
      <c r="BM469">
        <v>31.48</v>
      </c>
      <c r="BN469">
        <v>241.36</v>
      </c>
      <c r="BO469">
        <v>241.36</v>
      </c>
      <c r="BR469" t="s">
        <v>101</v>
      </c>
      <c r="BS469" s="3">
        <v>45743</v>
      </c>
      <c r="BT469" s="4">
        <v>0.33958333333333335</v>
      </c>
      <c r="BU469" t="s">
        <v>1407</v>
      </c>
      <c r="BV469" t="s">
        <v>109</v>
      </c>
      <c r="BY469">
        <v>125733.79</v>
      </c>
      <c r="CA469" t="s">
        <v>1408</v>
      </c>
      <c r="CC469" t="s">
        <v>263</v>
      </c>
      <c r="CD469" s="5" t="s">
        <v>1409</v>
      </c>
      <c r="CE469" t="s">
        <v>111</v>
      </c>
      <c r="CF469" s="3">
        <v>45743</v>
      </c>
      <c r="CI469">
        <v>3</v>
      </c>
      <c r="CJ469">
        <v>2</v>
      </c>
      <c r="CK469">
        <v>41</v>
      </c>
      <c r="CL469" t="s">
        <v>87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"GAB2025086"</f>
        <v>GAB2025086</v>
      </c>
      <c r="F470" s="3">
        <v>45741</v>
      </c>
      <c r="G470">
        <v>202512</v>
      </c>
      <c r="H470" t="s">
        <v>97</v>
      </c>
      <c r="I470" t="s">
        <v>98</v>
      </c>
      <c r="J470" t="s">
        <v>99</v>
      </c>
      <c r="K470" t="s">
        <v>78</v>
      </c>
      <c r="L470" t="s">
        <v>262</v>
      </c>
      <c r="M470" t="s">
        <v>263</v>
      </c>
      <c r="N470" t="s">
        <v>1410</v>
      </c>
      <c r="O470" t="s">
        <v>100</v>
      </c>
      <c r="P470" t="str">
        <f>"invoice 00115693 CT087200     "</f>
        <v xml:space="preserve">invoice 00115693 CT087200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171.36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42</v>
      </c>
      <c r="BJ470">
        <v>79.400000000000006</v>
      </c>
      <c r="BK470">
        <v>80</v>
      </c>
      <c r="BL470">
        <v>523.11</v>
      </c>
      <c r="BM470">
        <v>78.47</v>
      </c>
      <c r="BN470">
        <v>601.58000000000004</v>
      </c>
      <c r="BO470">
        <v>601.58000000000004</v>
      </c>
      <c r="BQ470" t="s">
        <v>1411</v>
      </c>
      <c r="BR470" t="s">
        <v>101</v>
      </c>
      <c r="BS470" s="3">
        <v>45744</v>
      </c>
      <c r="BT470" s="4">
        <v>0.39583333333333331</v>
      </c>
      <c r="BU470" t="s">
        <v>1412</v>
      </c>
      <c r="BV470" t="s">
        <v>109</v>
      </c>
      <c r="BY470">
        <v>396900</v>
      </c>
      <c r="CA470" t="s">
        <v>514</v>
      </c>
      <c r="CC470" t="s">
        <v>263</v>
      </c>
      <c r="CD470" s="5" t="s">
        <v>1413</v>
      </c>
      <c r="CE470" t="s">
        <v>1414</v>
      </c>
      <c r="CF470" s="3">
        <v>45744</v>
      </c>
      <c r="CI470">
        <v>3</v>
      </c>
      <c r="CJ470">
        <v>3</v>
      </c>
      <c r="CK470">
        <v>41</v>
      </c>
      <c r="CL470" t="s">
        <v>87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"GAB2025089"</f>
        <v>GAB2025089</v>
      </c>
      <c r="F471" s="3">
        <v>45741</v>
      </c>
      <c r="G471">
        <v>202512</v>
      </c>
      <c r="H471" t="s">
        <v>97</v>
      </c>
      <c r="I471" t="s">
        <v>98</v>
      </c>
      <c r="J471" t="s">
        <v>99</v>
      </c>
      <c r="K471" t="s">
        <v>78</v>
      </c>
      <c r="L471" t="s">
        <v>697</v>
      </c>
      <c r="M471" t="s">
        <v>698</v>
      </c>
      <c r="N471" t="s">
        <v>904</v>
      </c>
      <c r="O471" t="s">
        <v>100</v>
      </c>
      <c r="P471" t="str">
        <f>"INVOICE 00033940 ORDGS028613  "</f>
        <v xml:space="preserve">INVOICE 00033940 ORDGS028613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65.61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0.1</v>
      </c>
      <c r="BJ471">
        <v>1.9</v>
      </c>
      <c r="BK471">
        <v>2</v>
      </c>
      <c r="BL471">
        <v>203.73</v>
      </c>
      <c r="BM471">
        <v>30.56</v>
      </c>
      <c r="BN471">
        <v>234.29</v>
      </c>
      <c r="BO471">
        <v>234.29</v>
      </c>
      <c r="BR471" t="s">
        <v>101</v>
      </c>
      <c r="BS471" t="s">
        <v>83</v>
      </c>
      <c r="BY471">
        <v>9341.64</v>
      </c>
      <c r="CC471" t="s">
        <v>698</v>
      </c>
      <c r="CD471">
        <v>8801</v>
      </c>
      <c r="CE471" t="s">
        <v>911</v>
      </c>
      <c r="CI471">
        <v>5</v>
      </c>
      <c r="CJ471" t="s">
        <v>83</v>
      </c>
      <c r="CK471">
        <v>43</v>
      </c>
      <c r="CL471" t="s">
        <v>87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"GAB2025091"</f>
        <v>GAB2025091</v>
      </c>
      <c r="F472" s="3">
        <v>45741</v>
      </c>
      <c r="G472">
        <v>202512</v>
      </c>
      <c r="H472" t="s">
        <v>97</v>
      </c>
      <c r="I472" t="s">
        <v>98</v>
      </c>
      <c r="J472" t="s">
        <v>99</v>
      </c>
      <c r="K472" t="s">
        <v>78</v>
      </c>
      <c r="L472" t="s">
        <v>79</v>
      </c>
      <c r="M472" t="s">
        <v>80</v>
      </c>
      <c r="N472" t="s">
        <v>106</v>
      </c>
      <c r="O472" t="s">
        <v>100</v>
      </c>
      <c r="P472" t="str">
        <f>"INVOICES-00116323 00116346 001"</f>
        <v>INVOICES-00116323 00116346 001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46.52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3.6</v>
      </c>
      <c r="BJ472">
        <v>12.6</v>
      </c>
      <c r="BK472">
        <v>13</v>
      </c>
      <c r="BL472">
        <v>146.07</v>
      </c>
      <c r="BM472">
        <v>21.91</v>
      </c>
      <c r="BN472">
        <v>167.98</v>
      </c>
      <c r="BO472">
        <v>167.98</v>
      </c>
      <c r="BQ472" t="s">
        <v>107</v>
      </c>
      <c r="BR472" t="s">
        <v>101</v>
      </c>
      <c r="BS472" s="3">
        <v>45743</v>
      </c>
      <c r="BT472" s="4">
        <v>0.36527777777777776</v>
      </c>
      <c r="BU472" t="s">
        <v>605</v>
      </c>
      <c r="BV472" t="s">
        <v>109</v>
      </c>
      <c r="BY472">
        <v>63043.199999999997</v>
      </c>
      <c r="CA472" t="s">
        <v>110</v>
      </c>
      <c r="CC472" t="s">
        <v>80</v>
      </c>
      <c r="CD472" s="5" t="s">
        <v>92</v>
      </c>
      <c r="CE472" t="s">
        <v>111</v>
      </c>
      <c r="CF472" s="3">
        <v>45743</v>
      </c>
      <c r="CI472">
        <v>3</v>
      </c>
      <c r="CJ472">
        <v>2</v>
      </c>
      <c r="CK472">
        <v>41</v>
      </c>
      <c r="CL472" t="s">
        <v>87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"GAB2025095"</f>
        <v>GAB2025095</v>
      </c>
      <c r="F473" s="3">
        <v>45741</v>
      </c>
      <c r="G473">
        <v>202512</v>
      </c>
      <c r="H473" t="s">
        <v>97</v>
      </c>
      <c r="I473" t="s">
        <v>98</v>
      </c>
      <c r="J473" t="s">
        <v>99</v>
      </c>
      <c r="K473" t="s">
        <v>78</v>
      </c>
      <c r="L473" t="s">
        <v>262</v>
      </c>
      <c r="M473" t="s">
        <v>263</v>
      </c>
      <c r="N473" t="s">
        <v>1120</v>
      </c>
      <c r="O473" t="s">
        <v>100</v>
      </c>
      <c r="P473" t="str">
        <f>"INVOICE 00033941 ORDGS031381  "</f>
        <v xml:space="preserve">INVOICE 00033941 ORDGS031381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92.61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3</v>
      </c>
      <c r="BI473">
        <v>22.5</v>
      </c>
      <c r="BJ473">
        <v>38.700000000000003</v>
      </c>
      <c r="BK473">
        <v>39</v>
      </c>
      <c r="BL473">
        <v>285.27999999999997</v>
      </c>
      <c r="BM473">
        <v>42.79</v>
      </c>
      <c r="BN473">
        <v>328.07</v>
      </c>
      <c r="BO473">
        <v>328.07</v>
      </c>
      <c r="BR473" t="s">
        <v>101</v>
      </c>
      <c r="BS473" t="s">
        <v>83</v>
      </c>
      <c r="BY473">
        <v>193390.74</v>
      </c>
      <c r="CC473" t="s">
        <v>263</v>
      </c>
      <c r="CD473" s="5" t="s">
        <v>444</v>
      </c>
      <c r="CE473" t="s">
        <v>111</v>
      </c>
      <c r="CI473">
        <v>3</v>
      </c>
      <c r="CJ473" t="s">
        <v>83</v>
      </c>
      <c r="CK473">
        <v>41</v>
      </c>
      <c r="CL473" t="s">
        <v>87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"GAB2025097"</f>
        <v>GAB2025097</v>
      </c>
      <c r="F474" s="3">
        <v>45741</v>
      </c>
      <c r="G474">
        <v>202512</v>
      </c>
      <c r="H474" t="s">
        <v>97</v>
      </c>
      <c r="I474" t="s">
        <v>98</v>
      </c>
      <c r="J474" t="s">
        <v>99</v>
      </c>
      <c r="K474" t="s">
        <v>78</v>
      </c>
      <c r="L474" t="s">
        <v>75</v>
      </c>
      <c r="M474" t="s">
        <v>76</v>
      </c>
      <c r="N474" t="s">
        <v>1415</v>
      </c>
      <c r="O474" t="s">
        <v>100</v>
      </c>
      <c r="P474" t="str">
        <f>"DEL NOTE - 18425 CT092540     "</f>
        <v xml:space="preserve">DEL NOTE - 18425 CT092540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71.489999999999995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11.8</v>
      </c>
      <c r="BJ474">
        <v>27.4</v>
      </c>
      <c r="BK474">
        <v>28</v>
      </c>
      <c r="BL474">
        <v>221.48</v>
      </c>
      <c r="BM474">
        <v>33.22</v>
      </c>
      <c r="BN474">
        <v>254.7</v>
      </c>
      <c r="BO474">
        <v>254.7</v>
      </c>
      <c r="BQ474" t="s">
        <v>1416</v>
      </c>
      <c r="BR474" t="s">
        <v>101</v>
      </c>
      <c r="BS474" s="3">
        <v>45744</v>
      </c>
      <c r="BT474" s="4">
        <v>0.58333333333333337</v>
      </c>
      <c r="BU474" t="s">
        <v>1417</v>
      </c>
      <c r="BV474" t="s">
        <v>109</v>
      </c>
      <c r="BY474">
        <v>137061</v>
      </c>
      <c r="CA474" t="s">
        <v>1418</v>
      </c>
      <c r="CC474" t="s">
        <v>76</v>
      </c>
      <c r="CD474">
        <v>4001</v>
      </c>
      <c r="CE474" t="s">
        <v>428</v>
      </c>
      <c r="CI474">
        <v>3</v>
      </c>
      <c r="CJ474">
        <v>3</v>
      </c>
      <c r="CK474">
        <v>41</v>
      </c>
      <c r="CL474" t="s">
        <v>87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"GAB2025098"</f>
        <v>GAB2025098</v>
      </c>
      <c r="F475" s="3">
        <v>45741</v>
      </c>
      <c r="G475">
        <v>202512</v>
      </c>
      <c r="H475" t="s">
        <v>97</v>
      </c>
      <c r="I475" t="s">
        <v>98</v>
      </c>
      <c r="J475" t="s">
        <v>99</v>
      </c>
      <c r="K475" t="s">
        <v>78</v>
      </c>
      <c r="L475" t="s">
        <v>75</v>
      </c>
      <c r="M475" t="s">
        <v>76</v>
      </c>
      <c r="N475" t="s">
        <v>1419</v>
      </c>
      <c r="O475" t="s">
        <v>100</v>
      </c>
      <c r="P475" t="str">
        <f>"INVOICE 00116381 CT093395     "</f>
        <v xml:space="preserve">INVOICE 00116381 CT093395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46.52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4.3</v>
      </c>
      <c r="BJ475">
        <v>13.5</v>
      </c>
      <c r="BK475">
        <v>14</v>
      </c>
      <c r="BL475">
        <v>146.07</v>
      </c>
      <c r="BM475">
        <v>21.91</v>
      </c>
      <c r="BN475">
        <v>167.98</v>
      </c>
      <c r="BO475">
        <v>167.98</v>
      </c>
      <c r="BR475" t="s">
        <v>101</v>
      </c>
      <c r="BS475" s="3">
        <v>45744</v>
      </c>
      <c r="BT475" s="4">
        <v>0.52708333333333335</v>
      </c>
      <c r="BU475" t="s">
        <v>1134</v>
      </c>
      <c r="BV475" t="s">
        <v>109</v>
      </c>
      <c r="BY475">
        <v>67642.5</v>
      </c>
      <c r="CA475" t="s">
        <v>1135</v>
      </c>
      <c r="CC475" t="s">
        <v>76</v>
      </c>
      <c r="CD475">
        <v>4001</v>
      </c>
      <c r="CE475" t="s">
        <v>118</v>
      </c>
      <c r="CF475" s="3">
        <v>45747</v>
      </c>
      <c r="CI475">
        <v>3</v>
      </c>
      <c r="CJ475">
        <v>3</v>
      </c>
      <c r="CK475">
        <v>41</v>
      </c>
      <c r="CL475" t="s">
        <v>87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"GAB2025103"</f>
        <v>GAB2025103</v>
      </c>
      <c r="F476" s="3">
        <v>45741</v>
      </c>
      <c r="G476">
        <v>202512</v>
      </c>
      <c r="H476" t="s">
        <v>97</v>
      </c>
      <c r="I476" t="s">
        <v>98</v>
      </c>
      <c r="J476" t="s">
        <v>99</v>
      </c>
      <c r="K476" t="s">
        <v>78</v>
      </c>
      <c r="L476" t="s">
        <v>262</v>
      </c>
      <c r="M476" t="s">
        <v>263</v>
      </c>
      <c r="N476" t="s">
        <v>473</v>
      </c>
      <c r="O476" t="s">
        <v>100</v>
      </c>
      <c r="P476" t="str">
        <f>"INVOICE 00116382 CT093396     "</f>
        <v xml:space="preserve">INVOICE 00116382 CT093396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46.52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3.8</v>
      </c>
      <c r="BJ476">
        <v>12.8</v>
      </c>
      <c r="BK476">
        <v>13</v>
      </c>
      <c r="BL476">
        <v>146.07</v>
      </c>
      <c r="BM476">
        <v>21.91</v>
      </c>
      <c r="BN476">
        <v>167.98</v>
      </c>
      <c r="BO476">
        <v>167.98</v>
      </c>
      <c r="BR476" t="s">
        <v>101</v>
      </c>
      <c r="BS476" s="3">
        <v>45743</v>
      </c>
      <c r="BT476" s="4">
        <v>0.34027777777777779</v>
      </c>
      <c r="BU476" t="s">
        <v>1420</v>
      </c>
      <c r="BV476" t="s">
        <v>109</v>
      </c>
      <c r="BY476">
        <v>63902.7</v>
      </c>
      <c r="CA476" t="s">
        <v>645</v>
      </c>
      <c r="CC476" t="s">
        <v>263</v>
      </c>
      <c r="CD476" s="5" t="s">
        <v>444</v>
      </c>
      <c r="CE476" t="s">
        <v>118</v>
      </c>
      <c r="CF476" s="3">
        <v>45743</v>
      </c>
      <c r="CI476">
        <v>3</v>
      </c>
      <c r="CJ476">
        <v>2</v>
      </c>
      <c r="CK476">
        <v>41</v>
      </c>
      <c r="CL476" t="s">
        <v>87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"GAB2025105"</f>
        <v>GAB2025105</v>
      </c>
      <c r="F477" s="3">
        <v>45741</v>
      </c>
      <c r="G477">
        <v>202512</v>
      </c>
      <c r="H477" t="s">
        <v>97</v>
      </c>
      <c r="I477" t="s">
        <v>98</v>
      </c>
      <c r="J477" t="s">
        <v>99</v>
      </c>
      <c r="K477" t="s">
        <v>78</v>
      </c>
      <c r="L477" t="s">
        <v>931</v>
      </c>
      <c r="M477" t="s">
        <v>932</v>
      </c>
      <c r="N477" t="s">
        <v>1421</v>
      </c>
      <c r="O477" t="s">
        <v>100</v>
      </c>
      <c r="P477" t="str">
        <f>"INVOICE 00116402 CT091607     "</f>
        <v xml:space="preserve">INVOICE 00116402 CT091607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65.61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3.5</v>
      </c>
      <c r="BJ477">
        <v>12.4</v>
      </c>
      <c r="BK477">
        <v>13</v>
      </c>
      <c r="BL477">
        <v>203.73</v>
      </c>
      <c r="BM477">
        <v>30.56</v>
      </c>
      <c r="BN477">
        <v>234.29</v>
      </c>
      <c r="BO477">
        <v>234.29</v>
      </c>
      <c r="BR477" t="s">
        <v>101</v>
      </c>
      <c r="BS477" t="s">
        <v>83</v>
      </c>
      <c r="BY477">
        <v>62058.15</v>
      </c>
      <c r="CC477" t="s">
        <v>932</v>
      </c>
      <c r="CD477">
        <v>5100</v>
      </c>
      <c r="CE477" t="s">
        <v>111</v>
      </c>
      <c r="CI477">
        <v>4</v>
      </c>
      <c r="CJ477" t="s">
        <v>83</v>
      </c>
      <c r="CK477">
        <v>43</v>
      </c>
      <c r="CL477" t="s">
        <v>87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"GAB2025107"</f>
        <v>GAB2025107</v>
      </c>
      <c r="F478" s="3">
        <v>45741</v>
      </c>
      <c r="G478">
        <v>202512</v>
      </c>
      <c r="H478" t="s">
        <v>97</v>
      </c>
      <c r="I478" t="s">
        <v>98</v>
      </c>
      <c r="J478" t="s">
        <v>99</v>
      </c>
      <c r="K478" t="s">
        <v>78</v>
      </c>
      <c r="L478" t="s">
        <v>75</v>
      </c>
      <c r="M478" t="s">
        <v>76</v>
      </c>
      <c r="N478" t="s">
        <v>663</v>
      </c>
      <c r="O478" t="s">
        <v>100</v>
      </c>
      <c r="P478" t="str">
        <f>"INVOICE 00116400 CT093407     "</f>
        <v xml:space="preserve">INVOICE 00116400 CT093407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94.54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3</v>
      </c>
      <c r="BI478">
        <v>13</v>
      </c>
      <c r="BJ478">
        <v>39.6</v>
      </c>
      <c r="BK478">
        <v>40</v>
      </c>
      <c r="BL478">
        <v>291.08999999999997</v>
      </c>
      <c r="BM478">
        <v>43.66</v>
      </c>
      <c r="BN478">
        <v>334.75</v>
      </c>
      <c r="BO478">
        <v>334.75</v>
      </c>
      <c r="BQ478" t="s">
        <v>1422</v>
      </c>
      <c r="BR478" t="s">
        <v>101</v>
      </c>
      <c r="BS478" s="3">
        <v>45743</v>
      </c>
      <c r="BT478" s="4">
        <v>0.71180555555555558</v>
      </c>
      <c r="BU478" t="s">
        <v>1423</v>
      </c>
      <c r="BV478" t="s">
        <v>109</v>
      </c>
      <c r="BY478">
        <v>197855.77</v>
      </c>
      <c r="CA478" t="s">
        <v>1424</v>
      </c>
      <c r="CC478" t="s">
        <v>76</v>
      </c>
      <c r="CD478">
        <v>4001</v>
      </c>
      <c r="CE478" t="s">
        <v>1425</v>
      </c>
      <c r="CF478" s="3">
        <v>45745</v>
      </c>
      <c r="CI478">
        <v>3</v>
      </c>
      <c r="CJ478">
        <v>2</v>
      </c>
      <c r="CK478">
        <v>41</v>
      </c>
      <c r="CL478" t="s">
        <v>87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"GAB2025108"</f>
        <v>GAB2025108</v>
      </c>
      <c r="F479" s="3">
        <v>45741</v>
      </c>
      <c r="G479">
        <v>202512</v>
      </c>
      <c r="H479" t="s">
        <v>97</v>
      </c>
      <c r="I479" t="s">
        <v>98</v>
      </c>
      <c r="J479" t="s">
        <v>99</v>
      </c>
      <c r="K479" t="s">
        <v>78</v>
      </c>
      <c r="L479" t="s">
        <v>738</v>
      </c>
      <c r="M479" t="s">
        <v>739</v>
      </c>
      <c r="N479" t="s">
        <v>740</v>
      </c>
      <c r="O479" t="s">
        <v>100</v>
      </c>
      <c r="P479" t="str">
        <f>"INVOICE 00116405 CT092641     "</f>
        <v xml:space="preserve">INVOICE 00116405 CT092641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46.52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2.6</v>
      </c>
      <c r="BJ479">
        <v>6.5</v>
      </c>
      <c r="BK479">
        <v>7</v>
      </c>
      <c r="BL479">
        <v>146.07</v>
      </c>
      <c r="BM479">
        <v>21.91</v>
      </c>
      <c r="BN479">
        <v>167.98</v>
      </c>
      <c r="BO479">
        <v>167.98</v>
      </c>
      <c r="BQ479" t="s">
        <v>1426</v>
      </c>
      <c r="BR479" t="s">
        <v>101</v>
      </c>
      <c r="BS479" s="3">
        <v>45743</v>
      </c>
      <c r="BT479" s="4">
        <v>0.36249999999999999</v>
      </c>
      <c r="BU479" t="s">
        <v>1427</v>
      </c>
      <c r="BV479" t="s">
        <v>109</v>
      </c>
      <c r="BY479">
        <v>32319</v>
      </c>
      <c r="CA479" t="s">
        <v>1428</v>
      </c>
      <c r="CC479" t="s">
        <v>739</v>
      </c>
      <c r="CD479">
        <v>1449</v>
      </c>
      <c r="CE479" t="s">
        <v>428</v>
      </c>
      <c r="CF479" s="3">
        <v>45743</v>
      </c>
      <c r="CI479">
        <v>2</v>
      </c>
      <c r="CJ479">
        <v>2</v>
      </c>
      <c r="CK479">
        <v>41</v>
      </c>
      <c r="CL479" t="s">
        <v>87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"GAB2025109"</f>
        <v>GAB2025109</v>
      </c>
      <c r="F480" s="3">
        <v>45741</v>
      </c>
      <c r="G480">
        <v>202512</v>
      </c>
      <c r="H480" t="s">
        <v>97</v>
      </c>
      <c r="I480" t="s">
        <v>98</v>
      </c>
      <c r="J480" t="s">
        <v>99</v>
      </c>
      <c r="K480" t="s">
        <v>78</v>
      </c>
      <c r="L480" t="s">
        <v>1429</v>
      </c>
      <c r="M480" t="s">
        <v>1430</v>
      </c>
      <c r="N480" t="s">
        <v>1431</v>
      </c>
      <c r="O480" t="s">
        <v>100</v>
      </c>
      <c r="P480" t="str">
        <f>"INVOICE 00116409   00116401 CT"</f>
        <v>INVOICE 00116409   00116401 CT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65.61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3.7</v>
      </c>
      <c r="BJ480">
        <v>12.6</v>
      </c>
      <c r="BK480">
        <v>13</v>
      </c>
      <c r="BL480">
        <v>203.73</v>
      </c>
      <c r="BM480">
        <v>30.56</v>
      </c>
      <c r="BN480">
        <v>234.29</v>
      </c>
      <c r="BO480">
        <v>234.29</v>
      </c>
      <c r="BR480" t="s">
        <v>101</v>
      </c>
      <c r="BS480" t="s">
        <v>83</v>
      </c>
      <c r="BY480">
        <v>63043.199999999997</v>
      </c>
      <c r="CC480" t="s">
        <v>1430</v>
      </c>
      <c r="CD480">
        <v>4800</v>
      </c>
      <c r="CE480" t="s">
        <v>111</v>
      </c>
      <c r="CI480">
        <v>7</v>
      </c>
      <c r="CJ480" t="s">
        <v>83</v>
      </c>
      <c r="CK480">
        <v>43</v>
      </c>
      <c r="CL480" t="s">
        <v>87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"GAB2025073"</f>
        <v>GAB2025073</v>
      </c>
      <c r="F481" s="3">
        <v>45741</v>
      </c>
      <c r="G481">
        <v>202512</v>
      </c>
      <c r="H481" t="s">
        <v>97</v>
      </c>
      <c r="I481" t="s">
        <v>98</v>
      </c>
      <c r="J481" t="s">
        <v>99</v>
      </c>
      <c r="K481" t="s">
        <v>78</v>
      </c>
      <c r="L481" t="s">
        <v>97</v>
      </c>
      <c r="M481" t="s">
        <v>98</v>
      </c>
      <c r="N481" t="s">
        <v>967</v>
      </c>
      <c r="O481" t="s">
        <v>82</v>
      </c>
      <c r="P481" t="str">
        <f>"INVOICE 00116354 CT093124     "</f>
        <v xml:space="preserve">INVOICE 00116354 CT093124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18.79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0.1</v>
      </c>
      <c r="BJ481">
        <v>2.1</v>
      </c>
      <c r="BK481">
        <v>3</v>
      </c>
      <c r="BL481">
        <v>56.75</v>
      </c>
      <c r="BM481">
        <v>8.51</v>
      </c>
      <c r="BN481">
        <v>65.260000000000005</v>
      </c>
      <c r="BO481">
        <v>65.260000000000005</v>
      </c>
      <c r="BQ481" t="s">
        <v>968</v>
      </c>
      <c r="BR481" t="s">
        <v>101</v>
      </c>
      <c r="BS481" s="3">
        <v>45742</v>
      </c>
      <c r="BT481" s="4">
        <v>0.38611111111111113</v>
      </c>
      <c r="BU481" t="s">
        <v>1432</v>
      </c>
      <c r="BV481" t="s">
        <v>109</v>
      </c>
      <c r="BY481">
        <v>10744.8</v>
      </c>
      <c r="BZ481" t="s">
        <v>90</v>
      </c>
      <c r="CA481" t="s">
        <v>970</v>
      </c>
      <c r="CC481" t="s">
        <v>98</v>
      </c>
      <c r="CD481">
        <v>7441</v>
      </c>
      <c r="CE481" t="s">
        <v>149</v>
      </c>
      <c r="CF481" s="3">
        <v>45743</v>
      </c>
      <c r="CI481">
        <v>1</v>
      </c>
      <c r="CJ481">
        <v>1</v>
      </c>
      <c r="CK481">
        <v>22</v>
      </c>
      <c r="CL481" t="s">
        <v>87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"GAB2025074"</f>
        <v>GAB2025074</v>
      </c>
      <c r="F482" s="3">
        <v>45741</v>
      </c>
      <c r="G482">
        <v>202512</v>
      </c>
      <c r="H482" t="s">
        <v>97</v>
      </c>
      <c r="I482" t="s">
        <v>98</v>
      </c>
      <c r="J482" t="s">
        <v>99</v>
      </c>
      <c r="K482" t="s">
        <v>78</v>
      </c>
      <c r="L482" t="s">
        <v>381</v>
      </c>
      <c r="M482" t="s">
        <v>381</v>
      </c>
      <c r="N482" t="s">
        <v>528</v>
      </c>
      <c r="O482" t="s">
        <v>82</v>
      </c>
      <c r="P482" t="str">
        <f>"INVOICE 00116358 CT093376     "</f>
        <v xml:space="preserve">INVOICE 00116358 CT093376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33.83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0.5</v>
      </c>
      <c r="BJ482">
        <v>1.7</v>
      </c>
      <c r="BK482">
        <v>2</v>
      </c>
      <c r="BL482">
        <v>102.18</v>
      </c>
      <c r="BM482">
        <v>15.33</v>
      </c>
      <c r="BN482">
        <v>117.51</v>
      </c>
      <c r="BO482">
        <v>117.51</v>
      </c>
      <c r="BQ482" t="s">
        <v>529</v>
      </c>
      <c r="BR482" t="s">
        <v>101</v>
      </c>
      <c r="BS482" s="3">
        <v>45742</v>
      </c>
      <c r="BT482" s="4">
        <v>0.54861111111111116</v>
      </c>
      <c r="BU482" t="s">
        <v>1433</v>
      </c>
      <c r="BV482" t="s">
        <v>87</v>
      </c>
      <c r="BW482" t="s">
        <v>204</v>
      </c>
      <c r="BX482" t="s">
        <v>1434</v>
      </c>
      <c r="BY482">
        <v>8489.7999999999993</v>
      </c>
      <c r="BZ482" t="s">
        <v>90</v>
      </c>
      <c r="CA482" t="s">
        <v>532</v>
      </c>
      <c r="CC482" t="s">
        <v>381</v>
      </c>
      <c r="CD482">
        <v>7646</v>
      </c>
      <c r="CE482" t="s">
        <v>662</v>
      </c>
      <c r="CF482" s="3">
        <v>45743</v>
      </c>
      <c r="CI482">
        <v>1</v>
      </c>
      <c r="CJ482">
        <v>1</v>
      </c>
      <c r="CK482">
        <v>24</v>
      </c>
      <c r="CL482" t="s">
        <v>87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"GAB2025075"</f>
        <v>GAB2025075</v>
      </c>
      <c r="F483" s="3">
        <v>45741</v>
      </c>
      <c r="G483">
        <v>202512</v>
      </c>
      <c r="H483" t="s">
        <v>97</v>
      </c>
      <c r="I483" t="s">
        <v>98</v>
      </c>
      <c r="J483" t="s">
        <v>99</v>
      </c>
      <c r="K483" t="s">
        <v>78</v>
      </c>
      <c r="L483" t="s">
        <v>97</v>
      </c>
      <c r="M483" t="s">
        <v>98</v>
      </c>
      <c r="N483" t="s">
        <v>220</v>
      </c>
      <c r="O483" t="s">
        <v>82</v>
      </c>
      <c r="P483" t="str">
        <f>"INVOICE 00116361 CT093373     "</f>
        <v xml:space="preserve">INVOICE 00116361 CT093373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18.79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0.4</v>
      </c>
      <c r="BJ483">
        <v>2.9</v>
      </c>
      <c r="BK483">
        <v>3</v>
      </c>
      <c r="BL483">
        <v>56.75</v>
      </c>
      <c r="BM483">
        <v>8.51</v>
      </c>
      <c r="BN483">
        <v>65.260000000000005</v>
      </c>
      <c r="BO483">
        <v>65.260000000000005</v>
      </c>
      <c r="BQ483" t="s">
        <v>221</v>
      </c>
      <c r="BR483" t="s">
        <v>101</v>
      </c>
      <c r="BS483" s="3">
        <v>45742</v>
      </c>
      <c r="BT483" s="4">
        <v>0.43333333333333335</v>
      </c>
      <c r="BU483" t="s">
        <v>990</v>
      </c>
      <c r="BV483" t="s">
        <v>109</v>
      </c>
      <c r="BY483">
        <v>14549.54</v>
      </c>
      <c r="BZ483" t="s">
        <v>90</v>
      </c>
      <c r="CA483" t="s">
        <v>962</v>
      </c>
      <c r="CC483" t="s">
        <v>98</v>
      </c>
      <c r="CD483">
        <v>7800</v>
      </c>
      <c r="CE483" t="s">
        <v>352</v>
      </c>
      <c r="CF483" s="3">
        <v>45743</v>
      </c>
      <c r="CI483">
        <v>1</v>
      </c>
      <c r="CJ483">
        <v>1</v>
      </c>
      <c r="CK483">
        <v>22</v>
      </c>
      <c r="CL483" t="s">
        <v>87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"GAB2025076"</f>
        <v>GAB2025076</v>
      </c>
      <c r="F484" s="3">
        <v>45741</v>
      </c>
      <c r="G484">
        <v>202512</v>
      </c>
      <c r="H484" t="s">
        <v>97</v>
      </c>
      <c r="I484" t="s">
        <v>98</v>
      </c>
      <c r="J484" t="s">
        <v>99</v>
      </c>
      <c r="K484" t="s">
        <v>78</v>
      </c>
      <c r="L484" t="s">
        <v>369</v>
      </c>
      <c r="M484" t="s">
        <v>370</v>
      </c>
      <c r="N484" t="s">
        <v>371</v>
      </c>
      <c r="O484" t="s">
        <v>82</v>
      </c>
      <c r="P484" t="str">
        <f>"INVOICE 00033905 ORDGS030605  "</f>
        <v xml:space="preserve">INVOICE 00033905 ORDGS030605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58.54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0.2</v>
      </c>
      <c r="BJ484">
        <v>3.4</v>
      </c>
      <c r="BK484">
        <v>3.5</v>
      </c>
      <c r="BL484">
        <v>176.81</v>
      </c>
      <c r="BM484">
        <v>26.52</v>
      </c>
      <c r="BN484">
        <v>203.33</v>
      </c>
      <c r="BO484">
        <v>203.33</v>
      </c>
      <c r="BQ484" t="s">
        <v>372</v>
      </c>
      <c r="BR484" t="s">
        <v>101</v>
      </c>
      <c r="BS484" s="3">
        <v>45743</v>
      </c>
      <c r="BT484" s="4">
        <v>0.61458333333333337</v>
      </c>
      <c r="BU484" t="s">
        <v>1435</v>
      </c>
      <c r="BV484" t="s">
        <v>109</v>
      </c>
      <c r="BY484">
        <v>17244.13</v>
      </c>
      <c r="BZ484" t="s">
        <v>90</v>
      </c>
      <c r="CA484" t="s">
        <v>1436</v>
      </c>
      <c r="CC484" t="s">
        <v>370</v>
      </c>
      <c r="CD484">
        <v>6850</v>
      </c>
      <c r="CE484" t="s">
        <v>129</v>
      </c>
      <c r="CF484" s="3">
        <v>45744</v>
      </c>
      <c r="CI484">
        <v>2</v>
      </c>
      <c r="CJ484">
        <v>2</v>
      </c>
      <c r="CK484">
        <v>24</v>
      </c>
      <c r="CL484" t="s">
        <v>87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"GAB2025077"</f>
        <v>GAB2025077</v>
      </c>
      <c r="F485" s="3">
        <v>45741</v>
      </c>
      <c r="G485">
        <v>202512</v>
      </c>
      <c r="H485" t="s">
        <v>97</v>
      </c>
      <c r="I485" t="s">
        <v>98</v>
      </c>
      <c r="J485" t="s">
        <v>99</v>
      </c>
      <c r="K485" t="s">
        <v>78</v>
      </c>
      <c r="L485" t="s">
        <v>1275</v>
      </c>
      <c r="M485" t="s">
        <v>1276</v>
      </c>
      <c r="N485" t="s">
        <v>1277</v>
      </c>
      <c r="O485" t="s">
        <v>82</v>
      </c>
      <c r="P485" t="str">
        <f>"INVOICE 00033904 ORDGS031280  "</f>
        <v xml:space="preserve">INVOICE 00033904 ORDGS031280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50.31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0.9</v>
      </c>
      <c r="BJ485">
        <v>2.6</v>
      </c>
      <c r="BK485">
        <v>3</v>
      </c>
      <c r="BL485">
        <v>151.94</v>
      </c>
      <c r="BM485">
        <v>22.79</v>
      </c>
      <c r="BN485">
        <v>174.73</v>
      </c>
      <c r="BO485">
        <v>174.73</v>
      </c>
      <c r="BQ485" t="s">
        <v>372</v>
      </c>
      <c r="BR485" t="s">
        <v>101</v>
      </c>
      <c r="BS485" s="3">
        <v>45742</v>
      </c>
      <c r="BT485" s="4">
        <v>0.51249999999999996</v>
      </c>
      <c r="BU485" t="s">
        <v>1437</v>
      </c>
      <c r="BV485" t="s">
        <v>109</v>
      </c>
      <c r="BY485">
        <v>13047.9</v>
      </c>
      <c r="BZ485" t="s">
        <v>90</v>
      </c>
      <c r="CA485" t="s">
        <v>1438</v>
      </c>
      <c r="CC485" t="s">
        <v>1276</v>
      </c>
      <c r="CD485">
        <v>7230</v>
      </c>
      <c r="CE485" t="s">
        <v>1439</v>
      </c>
      <c r="CF485" s="3">
        <v>45743</v>
      </c>
      <c r="CI485">
        <v>2</v>
      </c>
      <c r="CJ485">
        <v>1</v>
      </c>
      <c r="CK485">
        <v>24</v>
      </c>
      <c r="CL485" t="s">
        <v>87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"GAB2025079"</f>
        <v>GAB2025079</v>
      </c>
      <c r="F486" s="3">
        <v>45741</v>
      </c>
      <c r="G486">
        <v>202512</v>
      </c>
      <c r="H486" t="s">
        <v>97</v>
      </c>
      <c r="I486" t="s">
        <v>98</v>
      </c>
      <c r="J486" t="s">
        <v>99</v>
      </c>
      <c r="K486" t="s">
        <v>78</v>
      </c>
      <c r="L486" t="s">
        <v>502</v>
      </c>
      <c r="M486" t="s">
        <v>503</v>
      </c>
      <c r="N486" t="s">
        <v>1440</v>
      </c>
      <c r="O486" t="s">
        <v>82</v>
      </c>
      <c r="P486" t="str">
        <f>"INVOICE 00033892 ORDGS031349  "</f>
        <v xml:space="preserve">INVOICE 00033892 ORDGS031349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36.08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2.7</v>
      </c>
      <c r="BK486">
        <v>3</v>
      </c>
      <c r="BL486">
        <v>108.96</v>
      </c>
      <c r="BM486">
        <v>16.34</v>
      </c>
      <c r="BN486">
        <v>125.3</v>
      </c>
      <c r="BO486">
        <v>125.3</v>
      </c>
      <c r="BQ486" t="s">
        <v>1339</v>
      </c>
      <c r="BR486" t="s">
        <v>101</v>
      </c>
      <c r="BS486" s="3">
        <v>45742</v>
      </c>
      <c r="BT486" s="4">
        <v>0.64930555555555558</v>
      </c>
      <c r="BU486" t="s">
        <v>1441</v>
      </c>
      <c r="BV486" t="s">
        <v>87</v>
      </c>
      <c r="BY486">
        <v>13320.9</v>
      </c>
      <c r="BZ486" t="s">
        <v>90</v>
      </c>
      <c r="CA486" t="s">
        <v>1341</v>
      </c>
      <c r="CC486" t="s">
        <v>503</v>
      </c>
      <c r="CD486">
        <v>5201</v>
      </c>
      <c r="CE486" t="s">
        <v>1442</v>
      </c>
      <c r="CF486" s="3">
        <v>45743</v>
      </c>
      <c r="CI486">
        <v>1</v>
      </c>
      <c r="CJ486">
        <v>1</v>
      </c>
      <c r="CK486">
        <v>21</v>
      </c>
      <c r="CL486" t="s">
        <v>87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"GAB2025080"</f>
        <v>GAB2025080</v>
      </c>
      <c r="F487" s="3">
        <v>45741</v>
      </c>
      <c r="G487">
        <v>202512</v>
      </c>
      <c r="H487" t="s">
        <v>97</v>
      </c>
      <c r="I487" t="s">
        <v>98</v>
      </c>
      <c r="J487" t="s">
        <v>99</v>
      </c>
      <c r="K487" t="s">
        <v>78</v>
      </c>
      <c r="L487" t="s">
        <v>97</v>
      </c>
      <c r="M487" t="s">
        <v>98</v>
      </c>
      <c r="N487" t="s">
        <v>1443</v>
      </c>
      <c r="O487" t="s">
        <v>82</v>
      </c>
      <c r="P487" t="str">
        <f>"INVOICE 00116341 CT093358     "</f>
        <v xml:space="preserve">INVOICE 00116341 CT093358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18.79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0.1</v>
      </c>
      <c r="BJ487">
        <v>2</v>
      </c>
      <c r="BK487">
        <v>2</v>
      </c>
      <c r="BL487">
        <v>56.75</v>
      </c>
      <c r="BM487">
        <v>8.51</v>
      </c>
      <c r="BN487">
        <v>65.260000000000005</v>
      </c>
      <c r="BO487">
        <v>65.260000000000005</v>
      </c>
      <c r="BR487" t="s">
        <v>101</v>
      </c>
      <c r="BS487" s="3">
        <v>45742</v>
      </c>
      <c r="BT487" s="4">
        <v>0.41666666666666669</v>
      </c>
      <c r="BU487" t="s">
        <v>1444</v>
      </c>
      <c r="BV487" t="s">
        <v>109</v>
      </c>
      <c r="BY487">
        <v>9907.2000000000007</v>
      </c>
      <c r="BZ487" t="s">
        <v>90</v>
      </c>
      <c r="CC487" t="s">
        <v>98</v>
      </c>
      <c r="CD487">
        <v>7700</v>
      </c>
      <c r="CE487" t="s">
        <v>137</v>
      </c>
      <c r="CF487" s="3">
        <v>45743</v>
      </c>
      <c r="CI487">
        <v>1</v>
      </c>
      <c r="CJ487">
        <v>1</v>
      </c>
      <c r="CK487">
        <v>22</v>
      </c>
      <c r="CL487" t="s">
        <v>87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"GAB2025081"</f>
        <v>GAB2025081</v>
      </c>
      <c r="F488" s="3">
        <v>45741</v>
      </c>
      <c r="G488">
        <v>202512</v>
      </c>
      <c r="H488" t="s">
        <v>97</v>
      </c>
      <c r="I488" t="s">
        <v>98</v>
      </c>
      <c r="J488" t="s">
        <v>99</v>
      </c>
      <c r="K488" t="s">
        <v>78</v>
      </c>
      <c r="L488" t="s">
        <v>413</v>
      </c>
      <c r="M488" t="s">
        <v>414</v>
      </c>
      <c r="N488" t="s">
        <v>1445</v>
      </c>
      <c r="O488" t="s">
        <v>82</v>
      </c>
      <c r="P488" t="str">
        <f>"INVOICE 00116368 CT093378     "</f>
        <v xml:space="preserve">INVOICE 00116368 CT093378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30.07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0.1</v>
      </c>
      <c r="BJ488">
        <v>2.1</v>
      </c>
      <c r="BK488">
        <v>2.5</v>
      </c>
      <c r="BL488">
        <v>90.81</v>
      </c>
      <c r="BM488">
        <v>13.62</v>
      </c>
      <c r="BN488">
        <v>104.43</v>
      </c>
      <c r="BO488">
        <v>104.43</v>
      </c>
      <c r="BQ488" t="s">
        <v>1446</v>
      </c>
      <c r="BR488" t="s">
        <v>101</v>
      </c>
      <c r="BS488" s="3">
        <v>45743</v>
      </c>
      <c r="BT488" s="4">
        <v>0.3611111111111111</v>
      </c>
      <c r="BU488" t="s">
        <v>1447</v>
      </c>
      <c r="BV488" t="s">
        <v>109</v>
      </c>
      <c r="BY488">
        <v>10690.83</v>
      </c>
      <c r="BZ488" t="s">
        <v>90</v>
      </c>
      <c r="CA488" t="s">
        <v>417</v>
      </c>
      <c r="CC488" t="s">
        <v>414</v>
      </c>
      <c r="CD488">
        <v>1200</v>
      </c>
      <c r="CE488" t="s">
        <v>149</v>
      </c>
      <c r="CF488" s="3">
        <v>45743</v>
      </c>
      <c r="CI488">
        <v>2</v>
      </c>
      <c r="CJ488">
        <v>2</v>
      </c>
      <c r="CK488">
        <v>21</v>
      </c>
      <c r="CL488" t="s">
        <v>87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"GAB2025082"</f>
        <v>GAB2025082</v>
      </c>
      <c r="F489" s="3">
        <v>45741</v>
      </c>
      <c r="G489">
        <v>202512</v>
      </c>
      <c r="H489" t="s">
        <v>97</v>
      </c>
      <c r="I489" t="s">
        <v>98</v>
      </c>
      <c r="J489" t="s">
        <v>99</v>
      </c>
      <c r="K489" t="s">
        <v>78</v>
      </c>
      <c r="L489" t="s">
        <v>786</v>
      </c>
      <c r="M489" t="s">
        <v>787</v>
      </c>
      <c r="N489" t="s">
        <v>788</v>
      </c>
      <c r="O489" t="s">
        <v>82</v>
      </c>
      <c r="P489" t="str">
        <f>"INVOICE 00033930 ORDGS031342  "</f>
        <v xml:space="preserve">INVOICE 00033930 ORDGS031342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46.61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0.1</v>
      </c>
      <c r="BJ489">
        <v>2</v>
      </c>
      <c r="BK489">
        <v>2</v>
      </c>
      <c r="BL489">
        <v>140.77000000000001</v>
      </c>
      <c r="BM489">
        <v>21.12</v>
      </c>
      <c r="BN489">
        <v>161.88999999999999</v>
      </c>
      <c r="BO489">
        <v>161.88999999999999</v>
      </c>
      <c r="BQ489" t="s">
        <v>1448</v>
      </c>
      <c r="BR489" t="s">
        <v>101</v>
      </c>
      <c r="BS489" s="3">
        <v>45742</v>
      </c>
      <c r="BT489" s="4">
        <v>0.40347222222222223</v>
      </c>
      <c r="BU489" t="s">
        <v>790</v>
      </c>
      <c r="BV489" t="s">
        <v>109</v>
      </c>
      <c r="BY489">
        <v>10137.799999999999</v>
      </c>
      <c r="BZ489" t="s">
        <v>90</v>
      </c>
      <c r="CA489" t="s">
        <v>791</v>
      </c>
      <c r="CC489" t="s">
        <v>787</v>
      </c>
      <c r="CD489">
        <v>2570</v>
      </c>
      <c r="CE489" t="s">
        <v>149</v>
      </c>
      <c r="CF489" s="3">
        <v>45744</v>
      </c>
      <c r="CI489">
        <v>2</v>
      </c>
      <c r="CJ489">
        <v>1</v>
      </c>
      <c r="CK489">
        <v>23</v>
      </c>
      <c r="CL489" t="s">
        <v>87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"GAB2025083"</f>
        <v>GAB2025083</v>
      </c>
      <c r="F490" s="3">
        <v>45741</v>
      </c>
      <c r="G490">
        <v>202512</v>
      </c>
      <c r="H490" t="s">
        <v>97</v>
      </c>
      <c r="I490" t="s">
        <v>98</v>
      </c>
      <c r="J490" t="s">
        <v>99</v>
      </c>
      <c r="K490" t="s">
        <v>78</v>
      </c>
      <c r="L490" t="s">
        <v>262</v>
      </c>
      <c r="M490" t="s">
        <v>263</v>
      </c>
      <c r="N490" t="s">
        <v>773</v>
      </c>
      <c r="O490" t="s">
        <v>82</v>
      </c>
      <c r="P490" t="str">
        <f>"INVOICE 00033931 ORDGS031379  "</f>
        <v xml:space="preserve">INVOICE 00033931 ORDGS031379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30.07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0.2</v>
      </c>
      <c r="BJ490">
        <v>2.2000000000000002</v>
      </c>
      <c r="BK490">
        <v>2.5</v>
      </c>
      <c r="BL490">
        <v>90.81</v>
      </c>
      <c r="BM490">
        <v>13.62</v>
      </c>
      <c r="BN490">
        <v>104.43</v>
      </c>
      <c r="BO490">
        <v>104.43</v>
      </c>
      <c r="BQ490" t="s">
        <v>356</v>
      </c>
      <c r="BR490" t="s">
        <v>101</v>
      </c>
      <c r="BS490" s="3">
        <v>45742</v>
      </c>
      <c r="BT490" s="4">
        <v>0.35972222222222222</v>
      </c>
      <c r="BU490" t="s">
        <v>774</v>
      </c>
      <c r="BV490" t="s">
        <v>109</v>
      </c>
      <c r="BY490">
        <v>10855.35</v>
      </c>
      <c r="BZ490" t="s">
        <v>90</v>
      </c>
      <c r="CA490" t="s">
        <v>775</v>
      </c>
      <c r="CC490" t="s">
        <v>263</v>
      </c>
      <c r="CD490" s="5" t="s">
        <v>776</v>
      </c>
      <c r="CE490" t="s">
        <v>137</v>
      </c>
      <c r="CF490" s="3">
        <v>45742</v>
      </c>
      <c r="CI490">
        <v>1</v>
      </c>
      <c r="CJ490">
        <v>1</v>
      </c>
      <c r="CK490">
        <v>21</v>
      </c>
      <c r="CL490" t="s">
        <v>87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"GAB2025084"</f>
        <v>GAB2025084</v>
      </c>
      <c r="F491" s="3">
        <v>45741</v>
      </c>
      <c r="G491">
        <v>202512</v>
      </c>
      <c r="H491" t="s">
        <v>97</v>
      </c>
      <c r="I491" t="s">
        <v>98</v>
      </c>
      <c r="J491" t="s">
        <v>99</v>
      </c>
      <c r="K491" t="s">
        <v>78</v>
      </c>
      <c r="L491" t="s">
        <v>697</v>
      </c>
      <c r="M491" t="s">
        <v>698</v>
      </c>
      <c r="N491" t="s">
        <v>699</v>
      </c>
      <c r="O491" t="s">
        <v>82</v>
      </c>
      <c r="P491" t="str">
        <f>"INVOICE 00116374 CT093387     "</f>
        <v xml:space="preserve">INVOICE 00116374 CT093387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78.180000000000007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0.1</v>
      </c>
      <c r="BJ491">
        <v>3.3</v>
      </c>
      <c r="BK491">
        <v>3.5</v>
      </c>
      <c r="BL491">
        <v>236.12</v>
      </c>
      <c r="BM491">
        <v>35.42</v>
      </c>
      <c r="BN491">
        <v>271.54000000000002</v>
      </c>
      <c r="BO491">
        <v>271.54000000000002</v>
      </c>
      <c r="BQ491" t="s">
        <v>700</v>
      </c>
      <c r="BR491" t="s">
        <v>101</v>
      </c>
      <c r="BS491" s="3">
        <v>45744</v>
      </c>
      <c r="BT491" s="4">
        <v>0.45902777777777776</v>
      </c>
      <c r="BU491" t="s">
        <v>1167</v>
      </c>
      <c r="BV491" t="s">
        <v>109</v>
      </c>
      <c r="BY491">
        <v>16418.75</v>
      </c>
      <c r="BZ491" t="s">
        <v>90</v>
      </c>
      <c r="CA491" t="s">
        <v>1168</v>
      </c>
      <c r="CC491" t="s">
        <v>698</v>
      </c>
      <c r="CD491">
        <v>8800</v>
      </c>
      <c r="CE491" t="s">
        <v>137</v>
      </c>
      <c r="CI491">
        <v>3</v>
      </c>
      <c r="CJ491">
        <v>3</v>
      </c>
      <c r="CK491">
        <v>23</v>
      </c>
      <c r="CL491" t="s">
        <v>87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"GAB2025087"</f>
        <v>GAB2025087</v>
      </c>
      <c r="F492" s="3">
        <v>45741</v>
      </c>
      <c r="G492">
        <v>202512</v>
      </c>
      <c r="H492" t="s">
        <v>97</v>
      </c>
      <c r="I492" t="s">
        <v>98</v>
      </c>
      <c r="J492" t="s">
        <v>99</v>
      </c>
      <c r="K492" t="s">
        <v>78</v>
      </c>
      <c r="L492" t="s">
        <v>262</v>
      </c>
      <c r="M492" t="s">
        <v>263</v>
      </c>
      <c r="N492" t="s">
        <v>496</v>
      </c>
      <c r="O492" t="s">
        <v>82</v>
      </c>
      <c r="P492" t="str">
        <f>"INVOICE 00033937 ORDGS031320  "</f>
        <v xml:space="preserve">INVOICE 00033937 ORDGS031320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30.07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0.3</v>
      </c>
      <c r="BJ492">
        <v>2.2000000000000002</v>
      </c>
      <c r="BK492">
        <v>2.5</v>
      </c>
      <c r="BL492">
        <v>90.81</v>
      </c>
      <c r="BM492">
        <v>13.62</v>
      </c>
      <c r="BN492">
        <v>104.43</v>
      </c>
      <c r="BO492">
        <v>104.43</v>
      </c>
      <c r="BQ492" t="s">
        <v>1449</v>
      </c>
      <c r="BR492" t="s">
        <v>101</v>
      </c>
      <c r="BS492" s="3">
        <v>45742</v>
      </c>
      <c r="BT492" s="4">
        <v>0.43055555555555558</v>
      </c>
      <c r="BU492" t="s">
        <v>648</v>
      </c>
      <c r="BV492" t="s">
        <v>109</v>
      </c>
      <c r="BY492">
        <v>11212.85</v>
      </c>
      <c r="BZ492" t="s">
        <v>90</v>
      </c>
      <c r="CA492" t="s">
        <v>649</v>
      </c>
      <c r="CC492" t="s">
        <v>263</v>
      </c>
      <c r="CD492" s="5" t="s">
        <v>501</v>
      </c>
      <c r="CE492" t="s">
        <v>213</v>
      </c>
      <c r="CF492" s="3">
        <v>45742</v>
      </c>
      <c r="CI492">
        <v>1</v>
      </c>
      <c r="CJ492">
        <v>1</v>
      </c>
      <c r="CK492">
        <v>21</v>
      </c>
      <c r="CL492" t="s">
        <v>87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"GAB2025088"</f>
        <v>GAB2025088</v>
      </c>
      <c r="F493" s="3">
        <v>45741</v>
      </c>
      <c r="G493">
        <v>202512</v>
      </c>
      <c r="H493" t="s">
        <v>97</v>
      </c>
      <c r="I493" t="s">
        <v>98</v>
      </c>
      <c r="J493" t="s">
        <v>99</v>
      </c>
      <c r="K493" t="s">
        <v>78</v>
      </c>
      <c r="L493" t="s">
        <v>75</v>
      </c>
      <c r="M493" t="s">
        <v>76</v>
      </c>
      <c r="N493" t="s">
        <v>1037</v>
      </c>
      <c r="O493" t="s">
        <v>82</v>
      </c>
      <c r="P493" t="str">
        <f>"INVOICE 00033939 ORDGS031368  "</f>
        <v xml:space="preserve">INVOICE 00033939 ORDGS031368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36.08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0.2</v>
      </c>
      <c r="BJ493">
        <v>3</v>
      </c>
      <c r="BK493">
        <v>3</v>
      </c>
      <c r="BL493">
        <v>108.96</v>
      </c>
      <c r="BM493">
        <v>16.34</v>
      </c>
      <c r="BN493">
        <v>125.3</v>
      </c>
      <c r="BO493">
        <v>125.3</v>
      </c>
      <c r="BR493" t="s">
        <v>101</v>
      </c>
      <c r="BS493" s="3">
        <v>45743</v>
      </c>
      <c r="BT493" s="4">
        <v>0.41666666666666669</v>
      </c>
      <c r="BU493" t="s">
        <v>1450</v>
      </c>
      <c r="BV493" t="s">
        <v>109</v>
      </c>
      <c r="BY493">
        <v>14834.88</v>
      </c>
      <c r="BZ493" t="s">
        <v>90</v>
      </c>
      <c r="CA493" t="s">
        <v>192</v>
      </c>
      <c r="CC493" t="s">
        <v>76</v>
      </c>
      <c r="CD493">
        <v>4001</v>
      </c>
      <c r="CE493" t="s">
        <v>129</v>
      </c>
      <c r="CF493" s="3">
        <v>45744</v>
      </c>
      <c r="CI493">
        <v>2</v>
      </c>
      <c r="CJ493">
        <v>2</v>
      </c>
      <c r="CK493">
        <v>21</v>
      </c>
      <c r="CL493" t="s">
        <v>87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"GAB2025090"</f>
        <v>GAB2025090</v>
      </c>
      <c r="F494" s="3">
        <v>45741</v>
      </c>
      <c r="G494">
        <v>202512</v>
      </c>
      <c r="H494" t="s">
        <v>97</v>
      </c>
      <c r="I494" t="s">
        <v>98</v>
      </c>
      <c r="J494" t="s">
        <v>99</v>
      </c>
      <c r="K494" t="s">
        <v>78</v>
      </c>
      <c r="L494" t="s">
        <v>182</v>
      </c>
      <c r="M494" t="s">
        <v>183</v>
      </c>
      <c r="N494" t="s">
        <v>1451</v>
      </c>
      <c r="O494" t="s">
        <v>82</v>
      </c>
      <c r="P494" t="str">
        <f>"INVOICES - 00033935 ORDGS03132"</f>
        <v>INVOICES - 00033935 ORDGS03132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30.07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0.1</v>
      </c>
      <c r="BJ494">
        <v>2.2000000000000002</v>
      </c>
      <c r="BK494">
        <v>2.5</v>
      </c>
      <c r="BL494">
        <v>90.81</v>
      </c>
      <c r="BM494">
        <v>13.62</v>
      </c>
      <c r="BN494">
        <v>104.43</v>
      </c>
      <c r="BO494">
        <v>104.43</v>
      </c>
      <c r="BQ494" t="s">
        <v>1452</v>
      </c>
      <c r="BR494" t="s">
        <v>101</v>
      </c>
      <c r="BS494" s="3">
        <v>45743</v>
      </c>
      <c r="BT494" s="4">
        <v>0.39930555555555558</v>
      </c>
      <c r="BU494" t="s">
        <v>1453</v>
      </c>
      <c r="BV494" t="s">
        <v>109</v>
      </c>
      <c r="BY494">
        <v>11213.37</v>
      </c>
      <c r="BZ494" t="s">
        <v>90</v>
      </c>
      <c r="CA494" t="s">
        <v>1454</v>
      </c>
      <c r="CC494" t="s">
        <v>183</v>
      </c>
      <c r="CD494">
        <v>3610</v>
      </c>
      <c r="CE494" t="s">
        <v>149</v>
      </c>
      <c r="CF494" s="3">
        <v>45745</v>
      </c>
      <c r="CI494">
        <v>2</v>
      </c>
      <c r="CJ494">
        <v>2</v>
      </c>
      <c r="CK494">
        <v>21</v>
      </c>
      <c r="CL494" t="s">
        <v>87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"GAB2025092"</f>
        <v>GAB2025092</v>
      </c>
      <c r="F495" s="3">
        <v>45741</v>
      </c>
      <c r="G495">
        <v>202512</v>
      </c>
      <c r="H495" t="s">
        <v>97</v>
      </c>
      <c r="I495" t="s">
        <v>98</v>
      </c>
      <c r="J495" t="s">
        <v>99</v>
      </c>
      <c r="K495" t="s">
        <v>78</v>
      </c>
      <c r="L495" t="s">
        <v>502</v>
      </c>
      <c r="M495" t="s">
        <v>503</v>
      </c>
      <c r="N495" t="s">
        <v>660</v>
      </c>
      <c r="O495" t="s">
        <v>82</v>
      </c>
      <c r="P495" t="str">
        <f>"INVOICE 00116365 CT093160     "</f>
        <v xml:space="preserve">INVOICE 00116365 CT093160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36.08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0.3</v>
      </c>
      <c r="BJ495">
        <v>2.6</v>
      </c>
      <c r="BK495">
        <v>3</v>
      </c>
      <c r="BL495">
        <v>108.96</v>
      </c>
      <c r="BM495">
        <v>16.34</v>
      </c>
      <c r="BN495">
        <v>125.3</v>
      </c>
      <c r="BO495">
        <v>125.3</v>
      </c>
      <c r="BR495" t="s">
        <v>101</v>
      </c>
      <c r="BS495" s="3">
        <v>45742</v>
      </c>
      <c r="BT495" s="4">
        <v>0.46875</v>
      </c>
      <c r="BU495" t="s">
        <v>1337</v>
      </c>
      <c r="BV495" t="s">
        <v>87</v>
      </c>
      <c r="BY495">
        <v>12839.75</v>
      </c>
      <c r="BZ495" t="s">
        <v>90</v>
      </c>
      <c r="CA495" t="s">
        <v>507</v>
      </c>
      <c r="CC495" t="s">
        <v>503</v>
      </c>
      <c r="CD495">
        <v>5200</v>
      </c>
      <c r="CE495" t="s">
        <v>213</v>
      </c>
      <c r="CF495" s="3">
        <v>45743</v>
      </c>
      <c r="CI495">
        <v>1</v>
      </c>
      <c r="CJ495">
        <v>1</v>
      </c>
      <c r="CK495">
        <v>21</v>
      </c>
      <c r="CL495" t="s">
        <v>87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"GAB2025093"</f>
        <v>GAB2025093</v>
      </c>
      <c r="F496" s="3">
        <v>45741</v>
      </c>
      <c r="G496">
        <v>202512</v>
      </c>
      <c r="H496" t="s">
        <v>97</v>
      </c>
      <c r="I496" t="s">
        <v>98</v>
      </c>
      <c r="J496" t="s">
        <v>99</v>
      </c>
      <c r="K496" t="s">
        <v>78</v>
      </c>
      <c r="L496" t="s">
        <v>381</v>
      </c>
      <c r="M496" t="s">
        <v>381</v>
      </c>
      <c r="N496" t="s">
        <v>576</v>
      </c>
      <c r="O496" t="s">
        <v>82</v>
      </c>
      <c r="P496" t="str">
        <f>"INVOICE 00033942 ORDGS031380  "</f>
        <v xml:space="preserve">INVOICE 00033942 ORDGS031380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50.31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0.3</v>
      </c>
      <c r="BJ496">
        <v>2.6</v>
      </c>
      <c r="BK496">
        <v>3</v>
      </c>
      <c r="BL496">
        <v>151.94</v>
      </c>
      <c r="BM496">
        <v>22.79</v>
      </c>
      <c r="BN496">
        <v>174.73</v>
      </c>
      <c r="BO496">
        <v>174.73</v>
      </c>
      <c r="BQ496" t="s">
        <v>577</v>
      </c>
      <c r="BR496" t="s">
        <v>101</v>
      </c>
      <c r="BS496" s="3">
        <v>45742</v>
      </c>
      <c r="BT496" s="4">
        <v>0.49583333333333335</v>
      </c>
      <c r="BU496" t="s">
        <v>1455</v>
      </c>
      <c r="BV496" t="s">
        <v>109</v>
      </c>
      <c r="BY496">
        <v>12927.6</v>
      </c>
      <c r="BZ496" t="s">
        <v>90</v>
      </c>
      <c r="CA496" t="s">
        <v>1456</v>
      </c>
      <c r="CC496" t="s">
        <v>381</v>
      </c>
      <c r="CD496">
        <v>7646</v>
      </c>
      <c r="CE496" t="s">
        <v>213</v>
      </c>
      <c r="CF496" s="3">
        <v>45743</v>
      </c>
      <c r="CI496">
        <v>1</v>
      </c>
      <c r="CJ496">
        <v>1</v>
      </c>
      <c r="CK496">
        <v>24</v>
      </c>
      <c r="CL496" t="s">
        <v>87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"GAB2025094"</f>
        <v>GAB2025094</v>
      </c>
      <c r="F497" s="3">
        <v>45741</v>
      </c>
      <c r="G497">
        <v>202512</v>
      </c>
      <c r="H497" t="s">
        <v>97</v>
      </c>
      <c r="I497" t="s">
        <v>98</v>
      </c>
      <c r="J497" t="s">
        <v>99</v>
      </c>
      <c r="K497" t="s">
        <v>78</v>
      </c>
      <c r="L497" t="s">
        <v>280</v>
      </c>
      <c r="M497" t="s">
        <v>281</v>
      </c>
      <c r="N497" t="s">
        <v>1457</v>
      </c>
      <c r="O497" t="s">
        <v>82</v>
      </c>
      <c r="P497" t="str">
        <f>"INVOICES - 00116387 CT093323  "</f>
        <v xml:space="preserve">INVOICES - 00116387 CT093323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24.06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0.2</v>
      </c>
      <c r="BJ497">
        <v>1.9</v>
      </c>
      <c r="BK497">
        <v>2</v>
      </c>
      <c r="BL497">
        <v>72.66</v>
      </c>
      <c r="BM497">
        <v>10.9</v>
      </c>
      <c r="BN497">
        <v>83.56</v>
      </c>
      <c r="BO497">
        <v>83.56</v>
      </c>
      <c r="BQ497" t="s">
        <v>1458</v>
      </c>
      <c r="BR497" t="s">
        <v>101</v>
      </c>
      <c r="BS497" s="3">
        <v>45744</v>
      </c>
      <c r="BT497" s="4">
        <v>0.52638888888888891</v>
      </c>
      <c r="BU497" t="s">
        <v>1459</v>
      </c>
      <c r="BV497" t="s">
        <v>87</v>
      </c>
      <c r="BY497">
        <v>9697.0300000000007</v>
      </c>
      <c r="BZ497" t="s">
        <v>90</v>
      </c>
      <c r="CA497" t="s">
        <v>1460</v>
      </c>
      <c r="CC497" t="s">
        <v>281</v>
      </c>
      <c r="CD497">
        <v>3200</v>
      </c>
      <c r="CE497" t="s">
        <v>1442</v>
      </c>
      <c r="CF497" s="3">
        <v>45745</v>
      </c>
      <c r="CI497">
        <v>1</v>
      </c>
      <c r="CJ497">
        <v>3</v>
      </c>
      <c r="CK497">
        <v>21</v>
      </c>
      <c r="CL497" t="s">
        <v>87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"GAB2025096"</f>
        <v>GAB2025096</v>
      </c>
      <c r="F498" s="3">
        <v>45741</v>
      </c>
      <c r="G498">
        <v>202512</v>
      </c>
      <c r="H498" t="s">
        <v>97</v>
      </c>
      <c r="I498" t="s">
        <v>98</v>
      </c>
      <c r="J498" t="s">
        <v>99</v>
      </c>
      <c r="K498" t="s">
        <v>78</v>
      </c>
      <c r="L498" t="s">
        <v>533</v>
      </c>
      <c r="M498" t="s">
        <v>534</v>
      </c>
      <c r="N498" t="s">
        <v>535</v>
      </c>
      <c r="O498" t="s">
        <v>82</v>
      </c>
      <c r="P498" t="str">
        <f>"INVOICE 00116384 CT093388     "</f>
        <v xml:space="preserve">INVOICE 00116384 CT093388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57.13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0.2</v>
      </c>
      <c r="BJ498">
        <v>2.5</v>
      </c>
      <c r="BK498">
        <v>2.5</v>
      </c>
      <c r="BL498">
        <v>172.55</v>
      </c>
      <c r="BM498">
        <v>25.88</v>
      </c>
      <c r="BN498">
        <v>198.43</v>
      </c>
      <c r="BO498">
        <v>198.43</v>
      </c>
      <c r="BQ498" t="s">
        <v>536</v>
      </c>
      <c r="BR498" t="s">
        <v>101</v>
      </c>
      <c r="BS498" s="3">
        <v>45742</v>
      </c>
      <c r="BT498" s="4">
        <v>0.4375</v>
      </c>
      <c r="BU498" t="s">
        <v>568</v>
      </c>
      <c r="BV498" t="s">
        <v>109</v>
      </c>
      <c r="BY498">
        <v>12295.08</v>
      </c>
      <c r="BZ498" t="s">
        <v>90</v>
      </c>
      <c r="CA498" t="s">
        <v>569</v>
      </c>
      <c r="CC498" t="s">
        <v>534</v>
      </c>
      <c r="CD498">
        <v>2515</v>
      </c>
      <c r="CE498" t="s">
        <v>1461</v>
      </c>
      <c r="CF498" s="3">
        <v>45743</v>
      </c>
      <c r="CI498">
        <v>1</v>
      </c>
      <c r="CJ498">
        <v>1</v>
      </c>
      <c r="CK498">
        <v>23</v>
      </c>
      <c r="CL498" t="s">
        <v>87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"GAB2025099"</f>
        <v>GAB2025099</v>
      </c>
      <c r="F499" s="3">
        <v>45741</v>
      </c>
      <c r="G499">
        <v>202512</v>
      </c>
      <c r="H499" t="s">
        <v>97</v>
      </c>
      <c r="I499" t="s">
        <v>98</v>
      </c>
      <c r="J499" t="s">
        <v>99</v>
      </c>
      <c r="K499" t="s">
        <v>78</v>
      </c>
      <c r="L499" t="s">
        <v>339</v>
      </c>
      <c r="M499" t="s">
        <v>340</v>
      </c>
      <c r="N499" t="s">
        <v>935</v>
      </c>
      <c r="O499" t="s">
        <v>82</v>
      </c>
      <c r="P499" t="str">
        <f>"INVOICE 00116383 CT093399     "</f>
        <v xml:space="preserve">INVOICE 00116383 CT093399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18.79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0.1</v>
      </c>
      <c r="BJ499">
        <v>2</v>
      </c>
      <c r="BK499">
        <v>2</v>
      </c>
      <c r="BL499">
        <v>56.75</v>
      </c>
      <c r="BM499">
        <v>8.51</v>
      </c>
      <c r="BN499">
        <v>65.260000000000005</v>
      </c>
      <c r="BO499">
        <v>65.260000000000005</v>
      </c>
      <c r="BQ499" t="s">
        <v>459</v>
      </c>
      <c r="BR499" t="s">
        <v>101</v>
      </c>
      <c r="BS499" s="3">
        <v>45742</v>
      </c>
      <c r="BT499" s="4">
        <v>0.38750000000000001</v>
      </c>
      <c r="BU499" t="s">
        <v>936</v>
      </c>
      <c r="BV499" t="s">
        <v>109</v>
      </c>
      <c r="BY499">
        <v>10183.049999999999</v>
      </c>
      <c r="BZ499" t="s">
        <v>90</v>
      </c>
      <c r="CA499" t="s">
        <v>380</v>
      </c>
      <c r="CC499" t="s">
        <v>340</v>
      </c>
      <c r="CD499">
        <v>7600</v>
      </c>
      <c r="CE499" t="s">
        <v>1462</v>
      </c>
      <c r="CF499" s="3">
        <v>45743</v>
      </c>
      <c r="CI499">
        <v>1</v>
      </c>
      <c r="CJ499">
        <v>1</v>
      </c>
      <c r="CK499">
        <v>22</v>
      </c>
      <c r="CL499" t="s">
        <v>87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"GAB2025100"</f>
        <v>GAB2025100</v>
      </c>
      <c r="F500" s="3">
        <v>45741</v>
      </c>
      <c r="G500">
        <v>202512</v>
      </c>
      <c r="H500" t="s">
        <v>97</v>
      </c>
      <c r="I500" t="s">
        <v>98</v>
      </c>
      <c r="J500" t="s">
        <v>99</v>
      </c>
      <c r="K500" t="s">
        <v>78</v>
      </c>
      <c r="L500" t="s">
        <v>97</v>
      </c>
      <c r="M500" t="s">
        <v>98</v>
      </c>
      <c r="N500" t="s">
        <v>451</v>
      </c>
      <c r="O500" t="s">
        <v>82</v>
      </c>
      <c r="P500" t="str">
        <f>"INVOICE 00116394 CT093404     "</f>
        <v xml:space="preserve">INVOICE 00116394 CT093404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18.79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0.2</v>
      </c>
      <c r="BJ500">
        <v>2.9</v>
      </c>
      <c r="BK500">
        <v>3</v>
      </c>
      <c r="BL500">
        <v>56.75</v>
      </c>
      <c r="BM500">
        <v>8.51</v>
      </c>
      <c r="BN500">
        <v>65.260000000000005</v>
      </c>
      <c r="BO500">
        <v>65.260000000000005</v>
      </c>
      <c r="BQ500" t="s">
        <v>452</v>
      </c>
      <c r="BR500" t="s">
        <v>101</v>
      </c>
      <c r="BS500" s="3">
        <v>45742</v>
      </c>
      <c r="BT500" s="4">
        <v>0.60416666666666663</v>
      </c>
      <c r="BU500" t="s">
        <v>1463</v>
      </c>
      <c r="BV500" t="s">
        <v>87</v>
      </c>
      <c r="BW500" t="s">
        <v>204</v>
      </c>
      <c r="BX500" t="s">
        <v>1464</v>
      </c>
      <c r="BY500">
        <v>14731.2</v>
      </c>
      <c r="BZ500" t="s">
        <v>90</v>
      </c>
      <c r="CC500" t="s">
        <v>98</v>
      </c>
      <c r="CD500">
        <v>7700</v>
      </c>
      <c r="CE500" t="s">
        <v>137</v>
      </c>
      <c r="CF500" s="3">
        <v>45743</v>
      </c>
      <c r="CI500">
        <v>1</v>
      </c>
      <c r="CJ500">
        <v>1</v>
      </c>
      <c r="CK500">
        <v>22</v>
      </c>
      <c r="CL500" t="s">
        <v>87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"GAB2025101"</f>
        <v>GAB2025101</v>
      </c>
      <c r="F501" s="3">
        <v>45741</v>
      </c>
      <c r="G501">
        <v>202512</v>
      </c>
      <c r="H501" t="s">
        <v>97</v>
      </c>
      <c r="I501" t="s">
        <v>98</v>
      </c>
      <c r="J501" t="s">
        <v>99</v>
      </c>
      <c r="K501" t="s">
        <v>78</v>
      </c>
      <c r="L501" t="s">
        <v>79</v>
      </c>
      <c r="M501" t="s">
        <v>80</v>
      </c>
      <c r="N501" t="s">
        <v>1465</v>
      </c>
      <c r="O501" t="s">
        <v>82</v>
      </c>
      <c r="P501" t="str">
        <f>"INVOICE 00116396 CT093393     "</f>
        <v xml:space="preserve">INVOICE 00116396 CT093393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24.06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0.6</v>
      </c>
      <c r="BJ501">
        <v>1.9</v>
      </c>
      <c r="BK501">
        <v>2</v>
      </c>
      <c r="BL501">
        <v>72.66</v>
      </c>
      <c r="BM501">
        <v>10.9</v>
      </c>
      <c r="BN501">
        <v>83.56</v>
      </c>
      <c r="BO501">
        <v>83.56</v>
      </c>
      <c r="BR501" t="s">
        <v>101</v>
      </c>
      <c r="BS501" s="3">
        <v>45742</v>
      </c>
      <c r="BT501" s="4">
        <v>0.40555555555555556</v>
      </c>
      <c r="BU501" t="s">
        <v>1466</v>
      </c>
      <c r="BV501" t="s">
        <v>109</v>
      </c>
      <c r="BY501">
        <v>9543.6</v>
      </c>
      <c r="BZ501" t="s">
        <v>90</v>
      </c>
      <c r="CA501" t="s">
        <v>1467</v>
      </c>
      <c r="CC501" t="s">
        <v>80</v>
      </c>
      <c r="CD501" s="5" t="s">
        <v>92</v>
      </c>
      <c r="CE501" t="s">
        <v>1468</v>
      </c>
      <c r="CF501" s="3">
        <v>45742</v>
      </c>
      <c r="CI501">
        <v>1</v>
      </c>
      <c r="CJ501">
        <v>1</v>
      </c>
      <c r="CK501">
        <v>21</v>
      </c>
      <c r="CL501" t="s">
        <v>87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"GAB2025102"</f>
        <v>GAB2025102</v>
      </c>
      <c r="F502" s="3">
        <v>45741</v>
      </c>
      <c r="G502">
        <v>202512</v>
      </c>
      <c r="H502" t="s">
        <v>97</v>
      </c>
      <c r="I502" t="s">
        <v>98</v>
      </c>
      <c r="J502" t="s">
        <v>99</v>
      </c>
      <c r="K502" t="s">
        <v>78</v>
      </c>
      <c r="L502" t="s">
        <v>316</v>
      </c>
      <c r="M502" t="s">
        <v>317</v>
      </c>
      <c r="N502" t="s">
        <v>318</v>
      </c>
      <c r="O502" t="s">
        <v>82</v>
      </c>
      <c r="P502" t="str">
        <f>"INVOICE 00116382 CT093397     "</f>
        <v xml:space="preserve">INVOICE 00116382 CT093397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46.61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0.2</v>
      </c>
      <c r="BJ502">
        <v>1.9</v>
      </c>
      <c r="BK502">
        <v>2</v>
      </c>
      <c r="BL502">
        <v>140.77000000000001</v>
      </c>
      <c r="BM502">
        <v>21.12</v>
      </c>
      <c r="BN502">
        <v>161.88999999999999</v>
      </c>
      <c r="BO502">
        <v>161.88999999999999</v>
      </c>
      <c r="BQ502" t="s">
        <v>1469</v>
      </c>
      <c r="BR502" t="s">
        <v>101</v>
      </c>
      <c r="BS502" s="3">
        <v>45743</v>
      </c>
      <c r="BT502" s="4">
        <v>0.4513888888888889</v>
      </c>
      <c r="BU502" t="s">
        <v>320</v>
      </c>
      <c r="BV502" t="s">
        <v>109</v>
      </c>
      <c r="BY502">
        <v>9261</v>
      </c>
      <c r="BZ502" t="s">
        <v>90</v>
      </c>
      <c r="CA502" t="s">
        <v>321</v>
      </c>
      <c r="CC502" t="s">
        <v>317</v>
      </c>
      <c r="CD502" s="5" t="s">
        <v>322</v>
      </c>
      <c r="CE502" t="s">
        <v>149</v>
      </c>
      <c r="CF502" s="3">
        <v>45743</v>
      </c>
      <c r="CI502">
        <v>2</v>
      </c>
      <c r="CJ502">
        <v>2</v>
      </c>
      <c r="CK502">
        <v>23</v>
      </c>
      <c r="CL502" t="s">
        <v>87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"GAB2025104"</f>
        <v>GAB2025104</v>
      </c>
      <c r="F503" s="3">
        <v>45741</v>
      </c>
      <c r="G503">
        <v>202512</v>
      </c>
      <c r="H503" t="s">
        <v>97</v>
      </c>
      <c r="I503" t="s">
        <v>98</v>
      </c>
      <c r="J503" t="s">
        <v>99</v>
      </c>
      <c r="K503" t="s">
        <v>78</v>
      </c>
      <c r="L503" t="s">
        <v>97</v>
      </c>
      <c r="M503" t="s">
        <v>98</v>
      </c>
      <c r="N503" t="s">
        <v>836</v>
      </c>
      <c r="O503" t="s">
        <v>82</v>
      </c>
      <c r="P503" t="str">
        <f>"INVOICE 00116397 CT093406     "</f>
        <v xml:space="preserve">INVOICE 00116397 CT093406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18.79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0.1</v>
      </c>
      <c r="BJ503">
        <v>2</v>
      </c>
      <c r="BK503">
        <v>2</v>
      </c>
      <c r="BL503">
        <v>56.75</v>
      </c>
      <c r="BM503">
        <v>8.51</v>
      </c>
      <c r="BN503">
        <v>65.260000000000005</v>
      </c>
      <c r="BO503">
        <v>65.260000000000005</v>
      </c>
      <c r="BR503" t="s">
        <v>101</v>
      </c>
      <c r="BS503" s="3">
        <v>45742</v>
      </c>
      <c r="BT503" s="4">
        <v>0.39374999999999999</v>
      </c>
      <c r="BU503" t="s">
        <v>1470</v>
      </c>
      <c r="BV503" t="s">
        <v>109</v>
      </c>
      <c r="BY503">
        <v>9864.59</v>
      </c>
      <c r="BZ503" t="s">
        <v>90</v>
      </c>
      <c r="CA503" t="s">
        <v>838</v>
      </c>
      <c r="CC503" t="s">
        <v>98</v>
      </c>
      <c r="CD503">
        <v>8001</v>
      </c>
      <c r="CE503" t="s">
        <v>149</v>
      </c>
      <c r="CF503" s="3">
        <v>45743</v>
      </c>
      <c r="CI503">
        <v>1</v>
      </c>
      <c r="CJ503">
        <v>1</v>
      </c>
      <c r="CK503">
        <v>22</v>
      </c>
      <c r="CL503" t="s">
        <v>87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"GAB2025110"</f>
        <v>GAB2025110</v>
      </c>
      <c r="F504" s="3">
        <v>45741</v>
      </c>
      <c r="G504">
        <v>202512</v>
      </c>
      <c r="H504" t="s">
        <v>97</v>
      </c>
      <c r="I504" t="s">
        <v>98</v>
      </c>
      <c r="J504" t="s">
        <v>99</v>
      </c>
      <c r="K504" t="s">
        <v>78</v>
      </c>
      <c r="L504" t="s">
        <v>124</v>
      </c>
      <c r="M504" t="s">
        <v>125</v>
      </c>
      <c r="N504" t="s">
        <v>126</v>
      </c>
      <c r="O504" t="s">
        <v>82</v>
      </c>
      <c r="P504" t="str">
        <f>"INVOICE 00116412 CT093398     "</f>
        <v xml:space="preserve">INVOICE 00116412 CT093398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24.06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0.1</v>
      </c>
      <c r="BJ504">
        <v>1.9</v>
      </c>
      <c r="BK504">
        <v>2</v>
      </c>
      <c r="BL504">
        <v>72.66</v>
      </c>
      <c r="BM504">
        <v>10.9</v>
      </c>
      <c r="BN504">
        <v>83.56</v>
      </c>
      <c r="BO504">
        <v>83.56</v>
      </c>
      <c r="BR504" t="s">
        <v>101</v>
      </c>
      <c r="BS504" s="3">
        <v>45742</v>
      </c>
      <c r="BT504" s="4">
        <v>0.42708333333333331</v>
      </c>
      <c r="BU504" t="s">
        <v>1471</v>
      </c>
      <c r="BV504" t="s">
        <v>109</v>
      </c>
      <c r="BY504">
        <v>9387.9</v>
      </c>
      <c r="BZ504" t="s">
        <v>90</v>
      </c>
      <c r="CA504" t="s">
        <v>1472</v>
      </c>
      <c r="CC504" t="s">
        <v>125</v>
      </c>
      <c r="CD504">
        <v>2146</v>
      </c>
      <c r="CE504" t="s">
        <v>149</v>
      </c>
      <c r="CF504" s="3">
        <v>45743</v>
      </c>
      <c r="CI504">
        <v>1</v>
      </c>
      <c r="CJ504">
        <v>1</v>
      </c>
      <c r="CK504">
        <v>21</v>
      </c>
      <c r="CL504" t="s">
        <v>87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"GAB2025111"</f>
        <v>GAB2025111</v>
      </c>
      <c r="F505" s="3">
        <v>45741</v>
      </c>
      <c r="G505">
        <v>202512</v>
      </c>
      <c r="H505" t="s">
        <v>97</v>
      </c>
      <c r="I505" t="s">
        <v>98</v>
      </c>
      <c r="J505" t="s">
        <v>99</v>
      </c>
      <c r="K505" t="s">
        <v>78</v>
      </c>
      <c r="L505" t="s">
        <v>1473</v>
      </c>
      <c r="M505" t="s">
        <v>1474</v>
      </c>
      <c r="N505" t="s">
        <v>1475</v>
      </c>
      <c r="O505" t="s">
        <v>82</v>
      </c>
      <c r="P505" t="str">
        <f>"INVOICE 00116415 CT093392     "</f>
        <v xml:space="preserve">INVOICE 00116415 CT093392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57.13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0.4</v>
      </c>
      <c r="BJ505">
        <v>2.4</v>
      </c>
      <c r="BK505">
        <v>2.5</v>
      </c>
      <c r="BL505">
        <v>172.55</v>
      </c>
      <c r="BM505">
        <v>25.88</v>
      </c>
      <c r="BN505">
        <v>198.43</v>
      </c>
      <c r="BO505">
        <v>198.43</v>
      </c>
      <c r="BR505" t="s">
        <v>101</v>
      </c>
      <c r="BS505" s="3">
        <v>45743</v>
      </c>
      <c r="BT505" s="4">
        <v>0.67361111111111116</v>
      </c>
      <c r="BU505" t="s">
        <v>1476</v>
      </c>
      <c r="BV505" t="s">
        <v>109</v>
      </c>
      <c r="BY505">
        <v>12197.55</v>
      </c>
      <c r="BZ505" t="s">
        <v>90</v>
      </c>
      <c r="CA505" t="s">
        <v>1477</v>
      </c>
      <c r="CC505" t="s">
        <v>1474</v>
      </c>
      <c r="CD505">
        <v>4450</v>
      </c>
      <c r="CE505" t="s">
        <v>352</v>
      </c>
      <c r="CF505" s="3">
        <v>45744</v>
      </c>
      <c r="CI505">
        <v>2</v>
      </c>
      <c r="CJ505">
        <v>2</v>
      </c>
      <c r="CK505">
        <v>23</v>
      </c>
      <c r="CL505" t="s">
        <v>87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"GAB2025112"</f>
        <v>GAB2025112</v>
      </c>
      <c r="F506" s="3">
        <v>45741</v>
      </c>
      <c r="G506">
        <v>202512</v>
      </c>
      <c r="H506" t="s">
        <v>97</v>
      </c>
      <c r="I506" t="s">
        <v>98</v>
      </c>
      <c r="J506" t="s">
        <v>99</v>
      </c>
      <c r="K506" t="s">
        <v>78</v>
      </c>
      <c r="L506" t="s">
        <v>262</v>
      </c>
      <c r="M506" t="s">
        <v>263</v>
      </c>
      <c r="N506" t="s">
        <v>1478</v>
      </c>
      <c r="O506" t="s">
        <v>82</v>
      </c>
      <c r="P506" t="str">
        <f>"INVOICE 00116411 CT093394     "</f>
        <v xml:space="preserve">INVOICE 00116411 CT093394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24.06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0.7</v>
      </c>
      <c r="BJ506">
        <v>1.7</v>
      </c>
      <c r="BK506">
        <v>2</v>
      </c>
      <c r="BL506">
        <v>72.66</v>
      </c>
      <c r="BM506">
        <v>10.9</v>
      </c>
      <c r="BN506">
        <v>83.56</v>
      </c>
      <c r="BO506">
        <v>83.56</v>
      </c>
      <c r="BR506" t="s">
        <v>101</v>
      </c>
      <c r="BS506" s="3">
        <v>45742</v>
      </c>
      <c r="BT506" s="4">
        <v>0.40833333333333333</v>
      </c>
      <c r="BU506" t="s">
        <v>1479</v>
      </c>
      <c r="BV506" t="s">
        <v>109</v>
      </c>
      <c r="BY506">
        <v>8603.5300000000007</v>
      </c>
      <c r="BZ506" t="s">
        <v>90</v>
      </c>
      <c r="CA506" t="s">
        <v>1480</v>
      </c>
      <c r="CC506" t="s">
        <v>263</v>
      </c>
      <c r="CD506" s="5" t="s">
        <v>444</v>
      </c>
      <c r="CE506" t="s">
        <v>229</v>
      </c>
      <c r="CF506" s="3">
        <v>45742</v>
      </c>
      <c r="CI506">
        <v>1</v>
      </c>
      <c r="CJ506">
        <v>1</v>
      </c>
      <c r="CK506">
        <v>21</v>
      </c>
      <c r="CL506" t="s">
        <v>87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"009945101811"</f>
        <v>009945101811</v>
      </c>
      <c r="F507" s="3">
        <v>45741</v>
      </c>
      <c r="G507">
        <v>202512</v>
      </c>
      <c r="H507" t="s">
        <v>262</v>
      </c>
      <c r="I507" t="s">
        <v>263</v>
      </c>
      <c r="J507" t="s">
        <v>194</v>
      </c>
      <c r="K507" t="s">
        <v>78</v>
      </c>
      <c r="L507" t="s">
        <v>97</v>
      </c>
      <c r="M507" t="s">
        <v>98</v>
      </c>
      <c r="N507" t="s">
        <v>119</v>
      </c>
      <c r="O507" t="s">
        <v>100</v>
      </c>
      <c r="P507" t="str">
        <f>"NA                            "</f>
        <v xml:space="preserve">NA    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75.33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3</v>
      </c>
      <c r="BI507">
        <v>22.8</v>
      </c>
      <c r="BJ507">
        <v>29.2</v>
      </c>
      <c r="BK507">
        <v>30</v>
      </c>
      <c r="BL507">
        <v>233.08</v>
      </c>
      <c r="BM507">
        <v>34.96</v>
      </c>
      <c r="BN507">
        <v>268.04000000000002</v>
      </c>
      <c r="BO507">
        <v>268.04000000000002</v>
      </c>
      <c r="BQ507" t="s">
        <v>202</v>
      </c>
      <c r="BR507" t="s">
        <v>1481</v>
      </c>
      <c r="BS507" s="3">
        <v>45743</v>
      </c>
      <c r="BT507" s="4">
        <v>0.53472222222222221</v>
      </c>
      <c r="BU507" t="s">
        <v>817</v>
      </c>
      <c r="BV507" t="s">
        <v>109</v>
      </c>
      <c r="BY507">
        <v>146148</v>
      </c>
      <c r="BZ507" t="s">
        <v>260</v>
      </c>
      <c r="CA507" t="s">
        <v>104</v>
      </c>
      <c r="CC507" t="s">
        <v>98</v>
      </c>
      <c r="CD507">
        <v>7460</v>
      </c>
      <c r="CE507" t="s">
        <v>265</v>
      </c>
      <c r="CF507" s="3">
        <v>45744</v>
      </c>
      <c r="CI507">
        <v>3</v>
      </c>
      <c r="CJ507">
        <v>2</v>
      </c>
      <c r="CK507">
        <v>41</v>
      </c>
      <c r="CL507" t="s">
        <v>87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"RGAB2024505"</f>
        <v>RGAB2024505</v>
      </c>
      <c r="F508" s="3">
        <v>45726</v>
      </c>
      <c r="G508">
        <v>202512</v>
      </c>
      <c r="H508" t="s">
        <v>519</v>
      </c>
      <c r="I508" t="s">
        <v>520</v>
      </c>
      <c r="J508" t="s">
        <v>630</v>
      </c>
      <c r="K508" t="s">
        <v>78</v>
      </c>
      <c r="L508" t="s">
        <v>97</v>
      </c>
      <c r="M508" t="s">
        <v>98</v>
      </c>
      <c r="N508" t="s">
        <v>99</v>
      </c>
      <c r="O508" t="s">
        <v>100</v>
      </c>
      <c r="P508" t="str">
        <f>"ATT:ANDREW                    "</f>
        <v xml:space="preserve">ATT:ANDREW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0.2</v>
      </c>
      <c r="BJ508">
        <v>0</v>
      </c>
      <c r="BK508">
        <v>0.2</v>
      </c>
      <c r="BL508">
        <v>0</v>
      </c>
      <c r="BM508">
        <v>0</v>
      </c>
      <c r="BN508">
        <v>0</v>
      </c>
      <c r="BO508">
        <v>0</v>
      </c>
      <c r="BQ508" t="s">
        <v>101</v>
      </c>
      <c r="BR508" t="s">
        <v>631</v>
      </c>
      <c r="BS508" t="s">
        <v>83</v>
      </c>
      <c r="BY508">
        <v>14981.12</v>
      </c>
      <c r="BZ508" t="s">
        <v>260</v>
      </c>
      <c r="CC508" t="s">
        <v>98</v>
      </c>
      <c r="CD508">
        <v>8001</v>
      </c>
      <c r="CE508" t="s">
        <v>123</v>
      </c>
      <c r="CI508">
        <v>3</v>
      </c>
      <c r="CJ508" t="s">
        <v>83</v>
      </c>
      <c r="CK508">
        <v>-1</v>
      </c>
      <c r="CL508" t="s">
        <v>87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"GAB2025114"</f>
        <v>GAB2025114</v>
      </c>
      <c r="F509" s="3">
        <v>45742</v>
      </c>
      <c r="G509">
        <v>202512</v>
      </c>
      <c r="H509" t="s">
        <v>97</v>
      </c>
      <c r="I509" t="s">
        <v>98</v>
      </c>
      <c r="J509" t="s">
        <v>99</v>
      </c>
      <c r="K509" t="s">
        <v>78</v>
      </c>
      <c r="L509" t="s">
        <v>75</v>
      </c>
      <c r="M509" t="s">
        <v>76</v>
      </c>
      <c r="N509" t="s">
        <v>1344</v>
      </c>
      <c r="O509" t="s">
        <v>82</v>
      </c>
      <c r="P509" t="str">
        <f>"INVOICE 00033981 ORDGS031345  "</f>
        <v xml:space="preserve">INVOICE 00033981 ORDGS031345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30.07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</v>
      </c>
      <c r="BJ509">
        <v>2.4</v>
      </c>
      <c r="BK509">
        <v>2.5</v>
      </c>
      <c r="BL509">
        <v>90.81</v>
      </c>
      <c r="BM509">
        <v>13.62</v>
      </c>
      <c r="BN509">
        <v>104.43</v>
      </c>
      <c r="BO509">
        <v>104.43</v>
      </c>
      <c r="BQ509" t="s">
        <v>1345</v>
      </c>
      <c r="BR509" t="s">
        <v>101</v>
      </c>
      <c r="BS509" t="s">
        <v>83</v>
      </c>
      <c r="BY509">
        <v>12000</v>
      </c>
      <c r="CC509" t="s">
        <v>76</v>
      </c>
      <c r="CD509">
        <v>4000</v>
      </c>
      <c r="CE509" t="s">
        <v>137</v>
      </c>
      <c r="CI509">
        <v>2</v>
      </c>
      <c r="CJ509" t="s">
        <v>83</v>
      </c>
      <c r="CK509">
        <v>21</v>
      </c>
      <c r="CL509" t="s">
        <v>87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"GAB2025115"</f>
        <v>GAB2025115</v>
      </c>
      <c r="F510" s="3">
        <v>45742</v>
      </c>
      <c r="G510">
        <v>202512</v>
      </c>
      <c r="H510" t="s">
        <v>97</v>
      </c>
      <c r="I510" t="s">
        <v>98</v>
      </c>
      <c r="J510" t="s">
        <v>99</v>
      </c>
      <c r="K510" t="s">
        <v>78</v>
      </c>
      <c r="L510" t="s">
        <v>502</v>
      </c>
      <c r="M510" t="s">
        <v>503</v>
      </c>
      <c r="N510" t="s">
        <v>660</v>
      </c>
      <c r="O510" t="s">
        <v>82</v>
      </c>
      <c r="P510" t="str">
        <f>"INVOICE 00116410 CT092802     "</f>
        <v xml:space="preserve">INVOICE 00116410 CT092802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30.07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0.2</v>
      </c>
      <c r="BJ510">
        <v>2.5</v>
      </c>
      <c r="BK510">
        <v>2.5</v>
      </c>
      <c r="BL510">
        <v>90.81</v>
      </c>
      <c r="BM510">
        <v>13.62</v>
      </c>
      <c r="BN510">
        <v>104.43</v>
      </c>
      <c r="BO510">
        <v>104.43</v>
      </c>
      <c r="BR510" t="s">
        <v>101</v>
      </c>
      <c r="BS510" s="3">
        <v>45743</v>
      </c>
      <c r="BT510" s="4">
        <v>0.46875</v>
      </c>
      <c r="BU510" t="s">
        <v>1482</v>
      </c>
      <c r="BV510" t="s">
        <v>87</v>
      </c>
      <c r="BY510">
        <v>12531.04</v>
      </c>
      <c r="BZ510" t="s">
        <v>90</v>
      </c>
      <c r="CA510" t="s">
        <v>1483</v>
      </c>
      <c r="CC510" t="s">
        <v>503</v>
      </c>
      <c r="CD510">
        <v>5200</v>
      </c>
      <c r="CE510" t="s">
        <v>129</v>
      </c>
      <c r="CF510" s="3">
        <v>45743</v>
      </c>
      <c r="CI510">
        <v>1</v>
      </c>
      <c r="CJ510">
        <v>1</v>
      </c>
      <c r="CK510">
        <v>21</v>
      </c>
      <c r="CL510" t="s">
        <v>87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"GAB2025117"</f>
        <v>GAB2025117</v>
      </c>
      <c r="F511" s="3">
        <v>45742</v>
      </c>
      <c r="G511">
        <v>202512</v>
      </c>
      <c r="H511" t="s">
        <v>97</v>
      </c>
      <c r="I511" t="s">
        <v>98</v>
      </c>
      <c r="J511" t="s">
        <v>99</v>
      </c>
      <c r="K511" t="s">
        <v>78</v>
      </c>
      <c r="L511" t="s">
        <v>262</v>
      </c>
      <c r="M511" t="s">
        <v>263</v>
      </c>
      <c r="N511" t="s">
        <v>1160</v>
      </c>
      <c r="O511" t="s">
        <v>82</v>
      </c>
      <c r="P511" t="str">
        <f>"INVOICE 00033963 ORDGS031413  "</f>
        <v xml:space="preserve">INVOICE 00033963 ORDGS031413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30.07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0.1</v>
      </c>
      <c r="BJ511">
        <v>2.2000000000000002</v>
      </c>
      <c r="BK511">
        <v>2.5</v>
      </c>
      <c r="BL511">
        <v>90.81</v>
      </c>
      <c r="BM511">
        <v>13.62</v>
      </c>
      <c r="BN511">
        <v>104.43</v>
      </c>
      <c r="BO511">
        <v>104.43</v>
      </c>
      <c r="BQ511" t="s">
        <v>356</v>
      </c>
      <c r="BR511" t="s">
        <v>101</v>
      </c>
      <c r="BS511" s="3">
        <v>45744</v>
      </c>
      <c r="BT511" s="4">
        <v>0.36458333333333331</v>
      </c>
      <c r="BU511" t="s">
        <v>1484</v>
      </c>
      <c r="BV511" t="s">
        <v>87</v>
      </c>
      <c r="BW511" t="s">
        <v>88</v>
      </c>
      <c r="BX511" t="s">
        <v>1050</v>
      </c>
      <c r="BY511">
        <v>10870.08</v>
      </c>
      <c r="BZ511" t="s">
        <v>90</v>
      </c>
      <c r="CA511" t="s">
        <v>1162</v>
      </c>
      <c r="CC511" t="s">
        <v>263</v>
      </c>
      <c r="CD511" s="5" t="s">
        <v>444</v>
      </c>
      <c r="CE511" t="s">
        <v>137</v>
      </c>
      <c r="CF511" s="3">
        <v>45744</v>
      </c>
      <c r="CI511">
        <v>1</v>
      </c>
      <c r="CJ511">
        <v>2</v>
      </c>
      <c r="CK511">
        <v>21</v>
      </c>
      <c r="CL511" t="s">
        <v>87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"GAB2025118"</f>
        <v>GAB2025118</v>
      </c>
      <c r="F512" s="3">
        <v>45742</v>
      </c>
      <c r="G512">
        <v>202512</v>
      </c>
      <c r="H512" t="s">
        <v>97</v>
      </c>
      <c r="I512" t="s">
        <v>98</v>
      </c>
      <c r="J512" t="s">
        <v>99</v>
      </c>
      <c r="K512" t="s">
        <v>78</v>
      </c>
      <c r="L512" t="s">
        <v>262</v>
      </c>
      <c r="M512" t="s">
        <v>263</v>
      </c>
      <c r="N512" t="s">
        <v>773</v>
      </c>
      <c r="O512" t="s">
        <v>82</v>
      </c>
      <c r="P512" t="str">
        <f>"INVOICE 00033965 ORDGS031414  "</f>
        <v xml:space="preserve">INVOICE 00033965 ORDGS031414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30.07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0.2</v>
      </c>
      <c r="BJ512">
        <v>2.1</v>
      </c>
      <c r="BK512">
        <v>2.5</v>
      </c>
      <c r="BL512">
        <v>90.81</v>
      </c>
      <c r="BM512">
        <v>13.62</v>
      </c>
      <c r="BN512">
        <v>104.43</v>
      </c>
      <c r="BO512">
        <v>104.43</v>
      </c>
      <c r="BQ512" t="s">
        <v>356</v>
      </c>
      <c r="BR512" t="s">
        <v>101</v>
      </c>
      <c r="BS512" s="3">
        <v>45744</v>
      </c>
      <c r="BT512" s="4">
        <v>0.37291666666666667</v>
      </c>
      <c r="BU512" t="s">
        <v>774</v>
      </c>
      <c r="BV512" t="s">
        <v>87</v>
      </c>
      <c r="BW512" t="s">
        <v>88</v>
      </c>
      <c r="BX512" t="s">
        <v>1485</v>
      </c>
      <c r="BY512">
        <v>10592.3</v>
      </c>
      <c r="BZ512" t="s">
        <v>90</v>
      </c>
      <c r="CA512" t="s">
        <v>775</v>
      </c>
      <c r="CC512" t="s">
        <v>263</v>
      </c>
      <c r="CD512" s="5" t="s">
        <v>776</v>
      </c>
      <c r="CE512" t="s">
        <v>137</v>
      </c>
      <c r="CF512" s="3">
        <v>45744</v>
      </c>
      <c r="CI512">
        <v>1</v>
      </c>
      <c r="CJ512">
        <v>2</v>
      </c>
      <c r="CK512">
        <v>21</v>
      </c>
      <c r="CL512" t="s">
        <v>87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"GAB2025121"</f>
        <v>GAB2025121</v>
      </c>
      <c r="F513" s="3">
        <v>45742</v>
      </c>
      <c r="G513">
        <v>202512</v>
      </c>
      <c r="H513" t="s">
        <v>97</v>
      </c>
      <c r="I513" t="s">
        <v>98</v>
      </c>
      <c r="J513" t="s">
        <v>99</v>
      </c>
      <c r="K513" t="s">
        <v>78</v>
      </c>
      <c r="L513" t="s">
        <v>262</v>
      </c>
      <c r="M513" t="s">
        <v>263</v>
      </c>
      <c r="N513" t="s">
        <v>642</v>
      </c>
      <c r="O513" t="s">
        <v>82</v>
      </c>
      <c r="P513" t="str">
        <f>"invoice 00033979 ORDGS031336  "</f>
        <v xml:space="preserve">invoice 00033979 ORDGS031336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24.06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0.2</v>
      </c>
      <c r="BJ513">
        <v>1.8</v>
      </c>
      <c r="BK513">
        <v>2</v>
      </c>
      <c r="BL513">
        <v>72.66</v>
      </c>
      <c r="BM513">
        <v>10.9</v>
      </c>
      <c r="BN513">
        <v>83.56</v>
      </c>
      <c r="BO513">
        <v>83.56</v>
      </c>
      <c r="BQ513" t="s">
        <v>1486</v>
      </c>
      <c r="BR513" t="s">
        <v>101</v>
      </c>
      <c r="BS513" s="3">
        <v>45743</v>
      </c>
      <c r="BT513" s="4">
        <v>0.41944444444444445</v>
      </c>
      <c r="BU513" t="s">
        <v>1487</v>
      </c>
      <c r="BV513" t="s">
        <v>109</v>
      </c>
      <c r="BY513">
        <v>9220.2000000000007</v>
      </c>
      <c r="BZ513" t="s">
        <v>90</v>
      </c>
      <c r="CA513" t="s">
        <v>1149</v>
      </c>
      <c r="CC513" t="s">
        <v>263</v>
      </c>
      <c r="CD513" s="5" t="s">
        <v>1488</v>
      </c>
      <c r="CE513" t="s">
        <v>1489</v>
      </c>
      <c r="CF513" s="3">
        <v>45743</v>
      </c>
      <c r="CI513">
        <v>1</v>
      </c>
      <c r="CJ513">
        <v>1</v>
      </c>
      <c r="CK513">
        <v>21</v>
      </c>
      <c r="CL513" t="s">
        <v>87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"GAB2025125"</f>
        <v>GAB2025125</v>
      </c>
      <c r="F514" s="3">
        <v>45742</v>
      </c>
      <c r="G514">
        <v>202512</v>
      </c>
      <c r="H514" t="s">
        <v>97</v>
      </c>
      <c r="I514" t="s">
        <v>98</v>
      </c>
      <c r="J514" t="s">
        <v>99</v>
      </c>
      <c r="K514" t="s">
        <v>78</v>
      </c>
      <c r="L514" t="s">
        <v>381</v>
      </c>
      <c r="M514" t="s">
        <v>381</v>
      </c>
      <c r="N514" t="s">
        <v>528</v>
      </c>
      <c r="O514" t="s">
        <v>82</v>
      </c>
      <c r="P514" t="str">
        <f>"INVOICE 00116425 CT093429     "</f>
        <v xml:space="preserve">INVOICE 00116425 CT093429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99.73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1.6</v>
      </c>
      <c r="BJ514">
        <v>5.8</v>
      </c>
      <c r="BK514">
        <v>6</v>
      </c>
      <c r="BL514">
        <v>301.2</v>
      </c>
      <c r="BM514">
        <v>45.18</v>
      </c>
      <c r="BN514">
        <v>346.38</v>
      </c>
      <c r="BO514">
        <v>346.38</v>
      </c>
      <c r="BQ514" t="s">
        <v>529</v>
      </c>
      <c r="BR514" t="s">
        <v>101</v>
      </c>
      <c r="BS514" s="3">
        <v>45743</v>
      </c>
      <c r="BT514" s="4">
        <v>0.58611111111111114</v>
      </c>
      <c r="BU514" t="s">
        <v>1433</v>
      </c>
      <c r="BV514" t="s">
        <v>87</v>
      </c>
      <c r="BW514" t="s">
        <v>204</v>
      </c>
      <c r="BX514" t="s">
        <v>1464</v>
      </c>
      <c r="BY514">
        <v>29016</v>
      </c>
      <c r="BZ514" t="s">
        <v>90</v>
      </c>
      <c r="CA514" t="s">
        <v>532</v>
      </c>
      <c r="CC514" t="s">
        <v>381</v>
      </c>
      <c r="CD514">
        <v>7646</v>
      </c>
      <c r="CE514" t="s">
        <v>1490</v>
      </c>
      <c r="CF514" s="3">
        <v>45744</v>
      </c>
      <c r="CI514">
        <v>1</v>
      </c>
      <c r="CJ514">
        <v>1</v>
      </c>
      <c r="CK514">
        <v>24</v>
      </c>
      <c r="CL514" t="s">
        <v>87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"GAB2025126"</f>
        <v>GAB2025126</v>
      </c>
      <c r="F515" s="3">
        <v>45742</v>
      </c>
      <c r="G515">
        <v>202512</v>
      </c>
      <c r="H515" t="s">
        <v>97</v>
      </c>
      <c r="I515" t="s">
        <v>98</v>
      </c>
      <c r="J515" t="s">
        <v>99</v>
      </c>
      <c r="K515" t="s">
        <v>78</v>
      </c>
      <c r="L515" t="s">
        <v>75</v>
      </c>
      <c r="M515" t="s">
        <v>76</v>
      </c>
      <c r="N515" t="s">
        <v>1491</v>
      </c>
      <c r="O515" t="s">
        <v>82</v>
      </c>
      <c r="P515" t="str">
        <f>"INVOICE 00116427 CT093428     "</f>
        <v xml:space="preserve">INVOICE 00116427 CT093428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30.07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0.3</v>
      </c>
      <c r="BJ515">
        <v>2.5</v>
      </c>
      <c r="BK515">
        <v>2.5</v>
      </c>
      <c r="BL515">
        <v>90.81</v>
      </c>
      <c r="BM515">
        <v>13.62</v>
      </c>
      <c r="BN515">
        <v>104.43</v>
      </c>
      <c r="BO515">
        <v>104.43</v>
      </c>
      <c r="BQ515" t="s">
        <v>1213</v>
      </c>
      <c r="BR515" t="s">
        <v>101</v>
      </c>
      <c r="BS515" s="3">
        <v>45744</v>
      </c>
      <c r="BT515" s="4">
        <v>0.375</v>
      </c>
      <c r="BU515" t="s">
        <v>1492</v>
      </c>
      <c r="BV515" t="s">
        <v>109</v>
      </c>
      <c r="BY515">
        <v>12462.67</v>
      </c>
      <c r="BZ515" t="s">
        <v>90</v>
      </c>
      <c r="CC515" t="s">
        <v>76</v>
      </c>
      <c r="CD515">
        <v>4001</v>
      </c>
      <c r="CE515" t="s">
        <v>137</v>
      </c>
      <c r="CF515" s="3">
        <v>45744</v>
      </c>
      <c r="CI515">
        <v>2</v>
      </c>
      <c r="CJ515">
        <v>2</v>
      </c>
      <c r="CK515">
        <v>21</v>
      </c>
      <c r="CL515" t="s">
        <v>87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"GAB2025127"</f>
        <v>GAB2025127</v>
      </c>
      <c r="F516" s="3">
        <v>45742</v>
      </c>
      <c r="G516">
        <v>202512</v>
      </c>
      <c r="H516" t="s">
        <v>97</v>
      </c>
      <c r="I516" t="s">
        <v>98</v>
      </c>
      <c r="J516" t="s">
        <v>99</v>
      </c>
      <c r="K516" t="s">
        <v>78</v>
      </c>
      <c r="L516" t="s">
        <v>214</v>
      </c>
      <c r="M516" t="s">
        <v>215</v>
      </c>
      <c r="N516" t="s">
        <v>1191</v>
      </c>
      <c r="O516" t="s">
        <v>82</v>
      </c>
      <c r="P516" t="str">
        <f>"INVOICE 00116428 CT093422     "</f>
        <v xml:space="preserve">INVOICE 00116428 CT093422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36.08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0.2</v>
      </c>
      <c r="BJ516">
        <v>2.6</v>
      </c>
      <c r="BK516">
        <v>3</v>
      </c>
      <c r="BL516">
        <v>108.96</v>
      </c>
      <c r="BM516">
        <v>16.34</v>
      </c>
      <c r="BN516">
        <v>125.3</v>
      </c>
      <c r="BO516">
        <v>125.3</v>
      </c>
      <c r="BR516" t="s">
        <v>101</v>
      </c>
      <c r="BS516" s="3">
        <v>45743</v>
      </c>
      <c r="BT516" s="4">
        <v>0.55972222222222223</v>
      </c>
      <c r="BU516" t="s">
        <v>1493</v>
      </c>
      <c r="BV516" t="s">
        <v>109</v>
      </c>
      <c r="BY516">
        <v>13115.98</v>
      </c>
      <c r="BZ516" t="s">
        <v>90</v>
      </c>
      <c r="CA516" t="s">
        <v>1494</v>
      </c>
      <c r="CC516" t="s">
        <v>215</v>
      </c>
      <c r="CD516">
        <v>6530</v>
      </c>
      <c r="CE516" t="s">
        <v>129</v>
      </c>
      <c r="CF516" s="3">
        <v>45743</v>
      </c>
      <c r="CI516">
        <v>1</v>
      </c>
      <c r="CJ516">
        <v>1</v>
      </c>
      <c r="CK516">
        <v>21</v>
      </c>
      <c r="CL516" t="s">
        <v>87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"GAB2025128"</f>
        <v>GAB2025128</v>
      </c>
      <c r="F517" s="3">
        <v>45742</v>
      </c>
      <c r="G517">
        <v>202512</v>
      </c>
      <c r="H517" t="s">
        <v>97</v>
      </c>
      <c r="I517" t="s">
        <v>98</v>
      </c>
      <c r="J517" t="s">
        <v>99</v>
      </c>
      <c r="K517" t="s">
        <v>78</v>
      </c>
      <c r="L517" t="s">
        <v>1495</v>
      </c>
      <c r="M517" t="s">
        <v>1496</v>
      </c>
      <c r="N517" t="s">
        <v>1497</v>
      </c>
      <c r="O517" t="s">
        <v>82</v>
      </c>
      <c r="P517" t="str">
        <f>"INVOICE 00116429 CT093244     "</f>
        <v xml:space="preserve">INVOICE 00116429 CT093244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42.07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0.1</v>
      </c>
      <c r="BJ517">
        <v>2.2999999999999998</v>
      </c>
      <c r="BK517">
        <v>2.5</v>
      </c>
      <c r="BL517">
        <v>127.06</v>
      </c>
      <c r="BM517">
        <v>19.059999999999999</v>
      </c>
      <c r="BN517">
        <v>146.12</v>
      </c>
      <c r="BO517">
        <v>146.12</v>
      </c>
      <c r="BQ517" t="s">
        <v>1498</v>
      </c>
      <c r="BR517" t="s">
        <v>101</v>
      </c>
      <c r="BS517" s="3">
        <v>45743</v>
      </c>
      <c r="BT517" s="4">
        <v>0.56041666666666667</v>
      </c>
      <c r="BU517" t="s">
        <v>1499</v>
      </c>
      <c r="BV517" t="s">
        <v>109</v>
      </c>
      <c r="BY517">
        <v>11429.36</v>
      </c>
      <c r="BZ517" t="s">
        <v>90</v>
      </c>
      <c r="CA517" t="s">
        <v>1500</v>
      </c>
      <c r="CC517" t="s">
        <v>1496</v>
      </c>
      <c r="CD517">
        <v>7200</v>
      </c>
      <c r="CE517" t="s">
        <v>149</v>
      </c>
      <c r="CF517" s="3">
        <v>45744</v>
      </c>
      <c r="CI517">
        <v>2</v>
      </c>
      <c r="CJ517">
        <v>1</v>
      </c>
      <c r="CK517">
        <v>24</v>
      </c>
      <c r="CL517" t="s">
        <v>87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"GAB2025129"</f>
        <v>GAB2025129</v>
      </c>
      <c r="F518" s="3">
        <v>45742</v>
      </c>
      <c r="G518">
        <v>202512</v>
      </c>
      <c r="H518" t="s">
        <v>97</v>
      </c>
      <c r="I518" t="s">
        <v>98</v>
      </c>
      <c r="J518" t="s">
        <v>99</v>
      </c>
      <c r="K518" t="s">
        <v>78</v>
      </c>
      <c r="L518" t="s">
        <v>97</v>
      </c>
      <c r="M518" t="s">
        <v>98</v>
      </c>
      <c r="N518" t="s">
        <v>691</v>
      </c>
      <c r="O518" t="s">
        <v>82</v>
      </c>
      <c r="P518" t="str">
        <f>"INVOICE 00116430 CT093420     "</f>
        <v xml:space="preserve">INVOICE 00116430 CT093420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18.79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0.1</v>
      </c>
      <c r="BJ518">
        <v>2.1</v>
      </c>
      <c r="BK518">
        <v>3</v>
      </c>
      <c r="BL518">
        <v>56.75</v>
      </c>
      <c r="BM518">
        <v>8.51</v>
      </c>
      <c r="BN518">
        <v>65.260000000000005</v>
      </c>
      <c r="BO518">
        <v>65.260000000000005</v>
      </c>
      <c r="BQ518" t="s">
        <v>692</v>
      </c>
      <c r="BR518" t="s">
        <v>101</v>
      </c>
      <c r="BS518" s="3">
        <v>45743</v>
      </c>
      <c r="BT518" s="4">
        <v>0.40972222222222221</v>
      </c>
      <c r="BU518" t="s">
        <v>1501</v>
      </c>
      <c r="BV518" t="s">
        <v>109</v>
      </c>
      <c r="BY518">
        <v>10504.73</v>
      </c>
      <c r="BZ518" t="s">
        <v>90</v>
      </c>
      <c r="CA518" t="s">
        <v>1283</v>
      </c>
      <c r="CC518" t="s">
        <v>98</v>
      </c>
      <c r="CD518">
        <v>7441</v>
      </c>
      <c r="CE518" t="s">
        <v>149</v>
      </c>
      <c r="CF518" s="3">
        <v>45744</v>
      </c>
      <c r="CI518">
        <v>1</v>
      </c>
      <c r="CJ518">
        <v>1</v>
      </c>
      <c r="CK518">
        <v>22</v>
      </c>
      <c r="CL518" t="s">
        <v>87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"GAB2025130"</f>
        <v>GAB2025130</v>
      </c>
      <c r="F519" s="3">
        <v>45742</v>
      </c>
      <c r="G519">
        <v>202512</v>
      </c>
      <c r="H519" t="s">
        <v>97</v>
      </c>
      <c r="I519" t="s">
        <v>98</v>
      </c>
      <c r="J519" t="s">
        <v>99</v>
      </c>
      <c r="K519" t="s">
        <v>78</v>
      </c>
      <c r="L519" t="s">
        <v>97</v>
      </c>
      <c r="M519" t="s">
        <v>98</v>
      </c>
      <c r="N519" t="s">
        <v>1502</v>
      </c>
      <c r="O519" t="s">
        <v>82</v>
      </c>
      <c r="P519" t="str">
        <f>"INVOICE 00116437 CT093439     "</f>
        <v xml:space="preserve">INVOICE 00116437 CT093439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18.79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0.5</v>
      </c>
      <c r="BJ519">
        <v>1.8</v>
      </c>
      <c r="BK519">
        <v>2</v>
      </c>
      <c r="BL519">
        <v>56.75</v>
      </c>
      <c r="BM519">
        <v>8.51</v>
      </c>
      <c r="BN519">
        <v>65.260000000000005</v>
      </c>
      <c r="BO519">
        <v>65.260000000000005</v>
      </c>
      <c r="BQ519" t="s">
        <v>968</v>
      </c>
      <c r="BR519" t="s">
        <v>101</v>
      </c>
      <c r="BS519" s="3">
        <v>45743</v>
      </c>
      <c r="BT519" s="4">
        <v>0.37569444444444444</v>
      </c>
      <c r="BU519" t="s">
        <v>1503</v>
      </c>
      <c r="BV519" t="s">
        <v>109</v>
      </c>
      <c r="BY519">
        <v>9010.75</v>
      </c>
      <c r="BZ519" t="s">
        <v>90</v>
      </c>
      <c r="CA519" t="s">
        <v>970</v>
      </c>
      <c r="CC519" t="s">
        <v>98</v>
      </c>
      <c r="CD519">
        <v>7460</v>
      </c>
      <c r="CE519" t="s">
        <v>854</v>
      </c>
      <c r="CF519" s="3">
        <v>45744</v>
      </c>
      <c r="CI519">
        <v>1</v>
      </c>
      <c r="CJ519">
        <v>1</v>
      </c>
      <c r="CK519">
        <v>22</v>
      </c>
      <c r="CL519" t="s">
        <v>87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"GAB2025131"</f>
        <v>GAB2025131</v>
      </c>
      <c r="F520" s="3">
        <v>45742</v>
      </c>
      <c r="G520">
        <v>202512</v>
      </c>
      <c r="H520" t="s">
        <v>97</v>
      </c>
      <c r="I520" t="s">
        <v>98</v>
      </c>
      <c r="J520" t="s">
        <v>99</v>
      </c>
      <c r="K520" t="s">
        <v>78</v>
      </c>
      <c r="L520" t="s">
        <v>170</v>
      </c>
      <c r="M520" t="s">
        <v>171</v>
      </c>
      <c r="N520" t="s">
        <v>172</v>
      </c>
      <c r="O520" t="s">
        <v>82</v>
      </c>
      <c r="P520" t="str">
        <f>"INVOICE 00116438 CT093440     "</f>
        <v xml:space="preserve">INVOICE 00116438 CT093440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46.61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0.7</v>
      </c>
      <c r="BJ520">
        <v>1.7</v>
      </c>
      <c r="BK520">
        <v>2</v>
      </c>
      <c r="BL520">
        <v>140.77000000000001</v>
      </c>
      <c r="BM520">
        <v>21.12</v>
      </c>
      <c r="BN520">
        <v>161.88999999999999</v>
      </c>
      <c r="BO520">
        <v>161.88999999999999</v>
      </c>
      <c r="BQ520" t="s">
        <v>1361</v>
      </c>
      <c r="BR520" t="s">
        <v>101</v>
      </c>
      <c r="BS520" s="3">
        <v>45744</v>
      </c>
      <c r="BT520" s="4">
        <v>0.40625</v>
      </c>
      <c r="BU520" t="s">
        <v>1504</v>
      </c>
      <c r="BV520" t="s">
        <v>109</v>
      </c>
      <c r="BY520">
        <v>8311.0499999999993</v>
      </c>
      <c r="BZ520" t="s">
        <v>90</v>
      </c>
      <c r="CA520" t="s">
        <v>1087</v>
      </c>
      <c r="CC520" t="s">
        <v>171</v>
      </c>
      <c r="CD520">
        <v>9700</v>
      </c>
      <c r="CE520" t="s">
        <v>454</v>
      </c>
      <c r="CI520">
        <v>2</v>
      </c>
      <c r="CJ520">
        <v>2</v>
      </c>
      <c r="CK520">
        <v>23</v>
      </c>
      <c r="CL520" t="s">
        <v>87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"GAB2025135"</f>
        <v>GAB2025135</v>
      </c>
      <c r="F521" s="3">
        <v>45742</v>
      </c>
      <c r="G521">
        <v>202512</v>
      </c>
      <c r="H521" t="s">
        <v>97</v>
      </c>
      <c r="I521" t="s">
        <v>98</v>
      </c>
      <c r="J521" t="s">
        <v>99</v>
      </c>
      <c r="K521" t="s">
        <v>78</v>
      </c>
      <c r="L521" t="s">
        <v>97</v>
      </c>
      <c r="M521" t="s">
        <v>98</v>
      </c>
      <c r="N521" t="s">
        <v>893</v>
      </c>
      <c r="O521" t="s">
        <v>1505</v>
      </c>
      <c r="P521" t="str">
        <f>"invoice 00116447 ct092923     "</f>
        <v xml:space="preserve">invoice 00116447 ct092923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18.8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0.4</v>
      </c>
      <c r="BJ521">
        <v>1.9</v>
      </c>
      <c r="BK521">
        <v>2</v>
      </c>
      <c r="BL521">
        <v>56.77</v>
      </c>
      <c r="BM521">
        <v>8.52</v>
      </c>
      <c r="BN521">
        <v>65.290000000000006</v>
      </c>
      <c r="BO521">
        <v>65.290000000000006</v>
      </c>
      <c r="BQ521" t="s">
        <v>1506</v>
      </c>
      <c r="BR521" t="s">
        <v>101</v>
      </c>
      <c r="BS521" s="3">
        <v>45743</v>
      </c>
      <c r="BT521" s="4">
        <v>0.375</v>
      </c>
      <c r="BU521" t="s">
        <v>895</v>
      </c>
      <c r="BV521" t="s">
        <v>109</v>
      </c>
      <c r="BY521">
        <v>9307.7199999999993</v>
      </c>
      <c r="BZ521" t="s">
        <v>260</v>
      </c>
      <c r="CA521" t="s">
        <v>896</v>
      </c>
      <c r="CC521" t="s">
        <v>98</v>
      </c>
      <c r="CD521">
        <v>7579</v>
      </c>
      <c r="CE521" t="s">
        <v>1507</v>
      </c>
      <c r="CF521" s="3">
        <v>45744</v>
      </c>
      <c r="CI521">
        <v>1</v>
      </c>
      <c r="CJ521">
        <v>1</v>
      </c>
      <c r="CK521">
        <v>32</v>
      </c>
      <c r="CL521" t="s">
        <v>87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"GAB2025138"</f>
        <v>GAB2025138</v>
      </c>
      <c r="F522" s="3">
        <v>45742</v>
      </c>
      <c r="G522">
        <v>202512</v>
      </c>
      <c r="H522" t="s">
        <v>97</v>
      </c>
      <c r="I522" t="s">
        <v>98</v>
      </c>
      <c r="J522" t="s">
        <v>99</v>
      </c>
      <c r="K522" t="s">
        <v>78</v>
      </c>
      <c r="L522" t="s">
        <v>163</v>
      </c>
      <c r="M522" t="s">
        <v>164</v>
      </c>
      <c r="N522" t="s">
        <v>165</v>
      </c>
      <c r="O522" t="s">
        <v>82</v>
      </c>
      <c r="P522" t="str">
        <f>"INVOICE 00116423 CT093438     "</f>
        <v xml:space="preserve">INVOICE 00116423 CT093438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46.61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0.2</v>
      </c>
      <c r="BJ522">
        <v>1.7</v>
      </c>
      <c r="BK522">
        <v>2</v>
      </c>
      <c r="BL522">
        <v>140.77000000000001</v>
      </c>
      <c r="BM522">
        <v>21.12</v>
      </c>
      <c r="BN522">
        <v>161.88999999999999</v>
      </c>
      <c r="BO522">
        <v>161.88999999999999</v>
      </c>
      <c r="BQ522" t="s">
        <v>166</v>
      </c>
      <c r="BR522" t="s">
        <v>101</v>
      </c>
      <c r="BS522" s="3">
        <v>45744</v>
      </c>
      <c r="BT522" s="4">
        <v>0.41944444444444445</v>
      </c>
      <c r="BU522" t="s">
        <v>1353</v>
      </c>
      <c r="BV522" t="s">
        <v>109</v>
      </c>
      <c r="BY522">
        <v>8390.25</v>
      </c>
      <c r="BZ522" t="s">
        <v>90</v>
      </c>
      <c r="CA522" t="s">
        <v>168</v>
      </c>
      <c r="CC522" t="s">
        <v>164</v>
      </c>
      <c r="CD522">
        <v>9459</v>
      </c>
      <c r="CE522" t="s">
        <v>169</v>
      </c>
      <c r="CF522" s="3">
        <v>45744</v>
      </c>
      <c r="CI522">
        <v>2</v>
      </c>
      <c r="CJ522">
        <v>2</v>
      </c>
      <c r="CK522">
        <v>23</v>
      </c>
      <c r="CL522" t="s">
        <v>87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"GAB2025141"</f>
        <v>GAB2025141</v>
      </c>
      <c r="F523" s="3">
        <v>45742</v>
      </c>
      <c r="G523">
        <v>202512</v>
      </c>
      <c r="H523" t="s">
        <v>97</v>
      </c>
      <c r="I523" t="s">
        <v>98</v>
      </c>
      <c r="J523" t="s">
        <v>99</v>
      </c>
      <c r="K523" t="s">
        <v>78</v>
      </c>
      <c r="L523" t="s">
        <v>353</v>
      </c>
      <c r="M523" t="s">
        <v>354</v>
      </c>
      <c r="N523" t="s">
        <v>1508</v>
      </c>
      <c r="O523" t="s">
        <v>82</v>
      </c>
      <c r="P523" t="str">
        <f>"invoice 00033990 ORDGS031400  "</f>
        <v xml:space="preserve">invoice 00033990 ORDGS031400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57.13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0.2</v>
      </c>
      <c r="BJ523">
        <v>2.1</v>
      </c>
      <c r="BK523">
        <v>2.5</v>
      </c>
      <c r="BL523">
        <v>172.55</v>
      </c>
      <c r="BM523">
        <v>25.88</v>
      </c>
      <c r="BN523">
        <v>198.43</v>
      </c>
      <c r="BO523">
        <v>198.43</v>
      </c>
      <c r="BQ523" t="s">
        <v>857</v>
      </c>
      <c r="BR523" t="s">
        <v>101</v>
      </c>
      <c r="BS523" s="3">
        <v>45744</v>
      </c>
      <c r="BT523" s="4">
        <v>0.35972222222222222</v>
      </c>
      <c r="BU523" t="s">
        <v>1450</v>
      </c>
      <c r="BV523" t="s">
        <v>109</v>
      </c>
      <c r="BY523">
        <v>10368</v>
      </c>
      <c r="BZ523" t="s">
        <v>90</v>
      </c>
      <c r="CA523" t="s">
        <v>358</v>
      </c>
      <c r="CC523" t="s">
        <v>354</v>
      </c>
      <c r="CD523">
        <v>3900</v>
      </c>
      <c r="CE523" t="s">
        <v>829</v>
      </c>
      <c r="CF523" s="3">
        <v>45744</v>
      </c>
      <c r="CI523">
        <v>2</v>
      </c>
      <c r="CJ523">
        <v>2</v>
      </c>
      <c r="CK523">
        <v>23</v>
      </c>
      <c r="CL523" t="s">
        <v>87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"GAB2025133"</f>
        <v>GAB2025133</v>
      </c>
      <c r="F524" s="3">
        <v>45742</v>
      </c>
      <c r="G524">
        <v>202512</v>
      </c>
      <c r="H524" t="s">
        <v>97</v>
      </c>
      <c r="I524" t="s">
        <v>98</v>
      </c>
      <c r="J524" t="s">
        <v>99</v>
      </c>
      <c r="K524" t="s">
        <v>78</v>
      </c>
      <c r="L524" t="s">
        <v>97</v>
      </c>
      <c r="M524" t="s">
        <v>98</v>
      </c>
      <c r="N524" t="s">
        <v>1509</v>
      </c>
      <c r="O524" t="s">
        <v>100</v>
      </c>
      <c r="P524" t="str">
        <f>"INVOICE 00116445 CT093346     "</f>
        <v xml:space="preserve">INVOICE 00116445 CT093346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35.9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0.1</v>
      </c>
      <c r="BJ524">
        <v>2.1</v>
      </c>
      <c r="BK524">
        <v>3</v>
      </c>
      <c r="BL524">
        <v>113.99</v>
      </c>
      <c r="BM524">
        <v>17.100000000000001</v>
      </c>
      <c r="BN524">
        <v>131.09</v>
      </c>
      <c r="BO524">
        <v>131.09</v>
      </c>
      <c r="BQ524" t="s">
        <v>1510</v>
      </c>
      <c r="BR524" t="s">
        <v>101</v>
      </c>
      <c r="BS524" s="3">
        <v>45743</v>
      </c>
      <c r="BT524" s="4">
        <v>0.41666666666666669</v>
      </c>
      <c r="BU524" t="s">
        <v>1511</v>
      </c>
      <c r="BV524" t="s">
        <v>109</v>
      </c>
      <c r="BY524">
        <v>10620.75</v>
      </c>
      <c r="CA524" t="s">
        <v>1512</v>
      </c>
      <c r="CC524" t="s">
        <v>98</v>
      </c>
      <c r="CD524">
        <v>7441</v>
      </c>
      <c r="CE524" t="s">
        <v>437</v>
      </c>
      <c r="CF524" s="3">
        <v>45744</v>
      </c>
      <c r="CI524">
        <v>1</v>
      </c>
      <c r="CJ524">
        <v>1</v>
      </c>
      <c r="CK524">
        <v>42</v>
      </c>
      <c r="CL524" t="s">
        <v>87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"GAB2025134"</f>
        <v>GAB2025134</v>
      </c>
      <c r="F525" s="3">
        <v>45742</v>
      </c>
      <c r="G525">
        <v>202512</v>
      </c>
      <c r="H525" t="s">
        <v>97</v>
      </c>
      <c r="I525" t="s">
        <v>98</v>
      </c>
      <c r="J525" t="s">
        <v>99</v>
      </c>
      <c r="K525" t="s">
        <v>78</v>
      </c>
      <c r="L525" t="s">
        <v>254</v>
      </c>
      <c r="M525" t="s">
        <v>255</v>
      </c>
      <c r="N525" t="s">
        <v>1513</v>
      </c>
      <c r="O525" t="s">
        <v>100</v>
      </c>
      <c r="P525" t="str">
        <f>"invoice 00116446 ct093023     "</f>
        <v xml:space="preserve">invoice 00116446 ct093023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67.650000000000006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8</v>
      </c>
      <c r="BJ525">
        <v>26</v>
      </c>
      <c r="BK525">
        <v>26</v>
      </c>
      <c r="BL525">
        <v>209.88</v>
      </c>
      <c r="BM525">
        <v>31.48</v>
      </c>
      <c r="BN525">
        <v>241.36</v>
      </c>
      <c r="BO525">
        <v>241.36</v>
      </c>
      <c r="BQ525" t="s">
        <v>1514</v>
      </c>
      <c r="BR525" t="s">
        <v>101</v>
      </c>
      <c r="BS525" s="3">
        <v>45744</v>
      </c>
      <c r="BT525" s="4">
        <v>0.56041666666666667</v>
      </c>
      <c r="BU525" t="s">
        <v>1515</v>
      </c>
      <c r="BV525" t="s">
        <v>109</v>
      </c>
      <c r="BY525">
        <v>129891.13</v>
      </c>
      <c r="CA525" t="s">
        <v>261</v>
      </c>
      <c r="CC525" t="s">
        <v>255</v>
      </c>
      <c r="CD525">
        <v>6229</v>
      </c>
      <c r="CE525" t="s">
        <v>1516</v>
      </c>
      <c r="CF525" s="3">
        <v>45744</v>
      </c>
      <c r="CI525">
        <v>3</v>
      </c>
      <c r="CJ525">
        <v>2</v>
      </c>
      <c r="CK525">
        <v>41</v>
      </c>
      <c r="CL525" t="s">
        <v>87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"GAB2025136"</f>
        <v>GAB2025136</v>
      </c>
      <c r="F526" s="3">
        <v>45742</v>
      </c>
      <c r="G526">
        <v>202512</v>
      </c>
      <c r="H526" t="s">
        <v>97</v>
      </c>
      <c r="I526" t="s">
        <v>98</v>
      </c>
      <c r="J526" t="s">
        <v>99</v>
      </c>
      <c r="K526" t="s">
        <v>78</v>
      </c>
      <c r="L526" t="s">
        <v>144</v>
      </c>
      <c r="M526" t="s">
        <v>145</v>
      </c>
      <c r="N526" t="s">
        <v>1035</v>
      </c>
      <c r="O526" t="s">
        <v>100</v>
      </c>
      <c r="P526" t="str">
        <f>"invoice 00033987 ORDGS031443  "</f>
        <v xml:space="preserve">invoice 00033987 ORDGS031443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75.67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2</v>
      </c>
      <c r="BI526">
        <v>7.1</v>
      </c>
      <c r="BJ526">
        <v>18</v>
      </c>
      <c r="BK526">
        <v>18</v>
      </c>
      <c r="BL526">
        <v>234.1</v>
      </c>
      <c r="BM526">
        <v>35.119999999999997</v>
      </c>
      <c r="BN526">
        <v>269.22000000000003</v>
      </c>
      <c r="BO526">
        <v>269.22000000000003</v>
      </c>
      <c r="BQ526" t="s">
        <v>1517</v>
      </c>
      <c r="BR526" t="s">
        <v>101</v>
      </c>
      <c r="BS526" t="s">
        <v>83</v>
      </c>
      <c r="BY526">
        <v>90142.18</v>
      </c>
      <c r="CC526" t="s">
        <v>145</v>
      </c>
      <c r="CD526">
        <v>1050</v>
      </c>
      <c r="CE526" t="s">
        <v>726</v>
      </c>
      <c r="CI526">
        <v>2</v>
      </c>
      <c r="CJ526" t="s">
        <v>83</v>
      </c>
      <c r="CK526">
        <v>43</v>
      </c>
      <c r="CL526" t="s">
        <v>87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"GAB2025137"</f>
        <v>GAB2025137</v>
      </c>
      <c r="F527" s="3">
        <v>45742</v>
      </c>
      <c r="G527">
        <v>202512</v>
      </c>
      <c r="H527" t="s">
        <v>97</v>
      </c>
      <c r="I527" t="s">
        <v>98</v>
      </c>
      <c r="J527" t="s">
        <v>99</v>
      </c>
      <c r="K527" t="s">
        <v>78</v>
      </c>
      <c r="L527" t="s">
        <v>401</v>
      </c>
      <c r="M527" t="s">
        <v>402</v>
      </c>
      <c r="N527" t="s">
        <v>1518</v>
      </c>
      <c r="O527" t="s">
        <v>100</v>
      </c>
      <c r="P527" t="str">
        <f>"CT092430                      "</f>
        <v xml:space="preserve">CT092430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95.77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7.8</v>
      </c>
      <c r="BJ527">
        <v>23.8</v>
      </c>
      <c r="BK527">
        <v>24</v>
      </c>
      <c r="BL527">
        <v>294.82</v>
      </c>
      <c r="BM527">
        <v>44.22</v>
      </c>
      <c r="BN527">
        <v>339.04</v>
      </c>
      <c r="BO527">
        <v>339.04</v>
      </c>
      <c r="BQ527" t="s">
        <v>1519</v>
      </c>
      <c r="BR527" t="s">
        <v>101</v>
      </c>
      <c r="BS527" s="3">
        <v>45744</v>
      </c>
      <c r="BT527" s="4">
        <v>0.44374999999999998</v>
      </c>
      <c r="BU527" t="s">
        <v>1520</v>
      </c>
      <c r="BV527" t="s">
        <v>109</v>
      </c>
      <c r="BY527">
        <v>118840.2</v>
      </c>
      <c r="CA527" t="s">
        <v>1521</v>
      </c>
      <c r="CC527" t="s">
        <v>402</v>
      </c>
      <c r="CD527" s="5" t="s">
        <v>1391</v>
      </c>
      <c r="CE527" t="s">
        <v>428</v>
      </c>
      <c r="CI527">
        <v>3</v>
      </c>
      <c r="CJ527">
        <v>2</v>
      </c>
      <c r="CK527">
        <v>43</v>
      </c>
      <c r="CL527" t="s">
        <v>87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"GAB2025139"</f>
        <v>GAB2025139</v>
      </c>
      <c r="F528" s="3">
        <v>45742</v>
      </c>
      <c r="G528">
        <v>202512</v>
      </c>
      <c r="H528" t="s">
        <v>97</v>
      </c>
      <c r="I528" t="s">
        <v>98</v>
      </c>
      <c r="J528" t="s">
        <v>99</v>
      </c>
      <c r="K528" t="s">
        <v>78</v>
      </c>
      <c r="L528" t="s">
        <v>238</v>
      </c>
      <c r="M528" t="s">
        <v>239</v>
      </c>
      <c r="N528" t="s">
        <v>1522</v>
      </c>
      <c r="O528" t="s">
        <v>100</v>
      </c>
      <c r="P528" t="str">
        <f>"invoice00033988 ordgs031442   "</f>
        <v xml:space="preserve">invoice00033988 ordgs031442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52.28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2</v>
      </c>
      <c r="BI528">
        <v>8.1999999999999993</v>
      </c>
      <c r="BJ528">
        <v>18</v>
      </c>
      <c r="BK528">
        <v>18</v>
      </c>
      <c r="BL528">
        <v>163.47</v>
      </c>
      <c r="BM528">
        <v>24.52</v>
      </c>
      <c r="BN528">
        <v>187.99</v>
      </c>
      <c r="BO528">
        <v>187.99</v>
      </c>
      <c r="BR528" t="s">
        <v>101</v>
      </c>
      <c r="BS528" s="3">
        <v>45744</v>
      </c>
      <c r="BT528" s="4">
        <v>0.5</v>
      </c>
      <c r="BU528" t="s">
        <v>1233</v>
      </c>
      <c r="BV528" t="s">
        <v>109</v>
      </c>
      <c r="BY528">
        <v>89915.19</v>
      </c>
      <c r="CC528" t="s">
        <v>239</v>
      </c>
      <c r="CD528">
        <v>2193</v>
      </c>
      <c r="CE528" t="s">
        <v>726</v>
      </c>
      <c r="CF528" s="3">
        <v>45744</v>
      </c>
      <c r="CI528">
        <v>2</v>
      </c>
      <c r="CJ528">
        <v>2</v>
      </c>
      <c r="CK528">
        <v>41</v>
      </c>
      <c r="CL528" t="s">
        <v>87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"GAB2025140"</f>
        <v>GAB2025140</v>
      </c>
      <c r="F529" s="3">
        <v>45742</v>
      </c>
      <c r="G529">
        <v>202512</v>
      </c>
      <c r="H529" t="s">
        <v>97</v>
      </c>
      <c r="I529" t="s">
        <v>98</v>
      </c>
      <c r="J529" t="s">
        <v>99</v>
      </c>
      <c r="K529" t="s">
        <v>78</v>
      </c>
      <c r="L529" t="s">
        <v>1523</v>
      </c>
      <c r="M529" t="s">
        <v>1524</v>
      </c>
      <c r="N529" t="s">
        <v>1525</v>
      </c>
      <c r="O529" t="s">
        <v>100</v>
      </c>
      <c r="P529" t="str">
        <f>"invoice 00033989 ordgs031441  "</f>
        <v xml:space="preserve">invoice 00033989 ordgs031441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65.61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1.3</v>
      </c>
      <c r="BJ529">
        <v>6.5</v>
      </c>
      <c r="BK529">
        <v>7</v>
      </c>
      <c r="BL529">
        <v>203.73</v>
      </c>
      <c r="BM529">
        <v>30.56</v>
      </c>
      <c r="BN529">
        <v>234.29</v>
      </c>
      <c r="BO529">
        <v>234.29</v>
      </c>
      <c r="BQ529" t="s">
        <v>1517</v>
      </c>
      <c r="BR529" t="s">
        <v>101</v>
      </c>
      <c r="BS529" t="s">
        <v>83</v>
      </c>
      <c r="BY529">
        <v>32328.45</v>
      </c>
      <c r="CC529" t="s">
        <v>1524</v>
      </c>
      <c r="CD529">
        <v>9795</v>
      </c>
      <c r="CE529" t="s">
        <v>726</v>
      </c>
      <c r="CI529">
        <v>5</v>
      </c>
      <c r="CJ529" t="s">
        <v>83</v>
      </c>
      <c r="CK529">
        <v>43</v>
      </c>
      <c r="CL529" t="s">
        <v>87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"GAB2025143"</f>
        <v>GAB2025143</v>
      </c>
      <c r="F530" s="3">
        <v>45742</v>
      </c>
      <c r="G530">
        <v>202512</v>
      </c>
      <c r="H530" t="s">
        <v>97</v>
      </c>
      <c r="I530" t="s">
        <v>98</v>
      </c>
      <c r="J530" t="s">
        <v>99</v>
      </c>
      <c r="K530" t="s">
        <v>78</v>
      </c>
      <c r="L530" t="s">
        <v>79</v>
      </c>
      <c r="M530" t="s">
        <v>80</v>
      </c>
      <c r="N530" t="s">
        <v>106</v>
      </c>
      <c r="O530" t="s">
        <v>100</v>
      </c>
      <c r="P530" t="str">
        <f>"INVOICES 00116413   00116435 C"</f>
        <v>INVOICES 00116413   00116435 C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46.52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4</v>
      </c>
      <c r="BJ530">
        <v>12.7</v>
      </c>
      <c r="BK530">
        <v>13</v>
      </c>
      <c r="BL530">
        <v>146.07</v>
      </c>
      <c r="BM530">
        <v>21.91</v>
      </c>
      <c r="BN530">
        <v>167.98</v>
      </c>
      <c r="BO530">
        <v>167.98</v>
      </c>
      <c r="BQ530" t="s">
        <v>107</v>
      </c>
      <c r="BR530" t="s">
        <v>101</v>
      </c>
      <c r="BS530" s="3">
        <v>45744</v>
      </c>
      <c r="BT530" s="4">
        <v>0.35486111111111113</v>
      </c>
      <c r="BU530" t="s">
        <v>605</v>
      </c>
      <c r="BV530" t="s">
        <v>109</v>
      </c>
      <c r="BY530">
        <v>63539.199999999997</v>
      </c>
      <c r="CA530" t="s">
        <v>110</v>
      </c>
      <c r="CC530" t="s">
        <v>80</v>
      </c>
      <c r="CD530" s="5" t="s">
        <v>92</v>
      </c>
      <c r="CE530" t="s">
        <v>111</v>
      </c>
      <c r="CF530" s="3">
        <v>45744</v>
      </c>
      <c r="CI530">
        <v>3</v>
      </c>
      <c r="CJ530">
        <v>2</v>
      </c>
      <c r="CK530">
        <v>41</v>
      </c>
      <c r="CL530" t="s">
        <v>87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"009944817305"</f>
        <v>009944817305</v>
      </c>
      <c r="F531" s="3">
        <v>45742</v>
      </c>
      <c r="G531">
        <v>202512</v>
      </c>
      <c r="H531" t="s">
        <v>519</v>
      </c>
      <c r="I531" t="s">
        <v>520</v>
      </c>
      <c r="J531" t="s">
        <v>548</v>
      </c>
      <c r="K531" t="s">
        <v>78</v>
      </c>
      <c r="L531" t="s">
        <v>79</v>
      </c>
      <c r="M531" t="s">
        <v>80</v>
      </c>
      <c r="N531" t="s">
        <v>548</v>
      </c>
      <c r="O531" t="s">
        <v>100</v>
      </c>
      <c r="P531" t="str">
        <f>"                              "</f>
        <v xml:space="preserve">        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46.52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1</v>
      </c>
      <c r="BJ531">
        <v>0.2</v>
      </c>
      <c r="BK531">
        <v>1</v>
      </c>
      <c r="BL531">
        <v>146.07</v>
      </c>
      <c r="BM531">
        <v>21.91</v>
      </c>
      <c r="BN531">
        <v>167.98</v>
      </c>
      <c r="BO531">
        <v>167.98</v>
      </c>
      <c r="BQ531" t="s">
        <v>1526</v>
      </c>
      <c r="BS531" t="s">
        <v>83</v>
      </c>
      <c r="BY531">
        <v>1200</v>
      </c>
      <c r="BZ531" t="s">
        <v>260</v>
      </c>
      <c r="CC531" t="s">
        <v>80</v>
      </c>
      <c r="CD531" s="5" t="s">
        <v>1216</v>
      </c>
      <c r="CE531" t="s">
        <v>265</v>
      </c>
      <c r="CI531">
        <v>3</v>
      </c>
      <c r="CJ531" t="s">
        <v>83</v>
      </c>
      <c r="CK531">
        <v>41</v>
      </c>
      <c r="CL531" t="s">
        <v>87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"GAB2025119"</f>
        <v>GAB2025119</v>
      </c>
      <c r="F532" s="3">
        <v>45742</v>
      </c>
      <c r="G532">
        <v>202512</v>
      </c>
      <c r="H532" t="s">
        <v>97</v>
      </c>
      <c r="I532" t="s">
        <v>98</v>
      </c>
      <c r="J532" t="s">
        <v>99</v>
      </c>
      <c r="K532" t="s">
        <v>78</v>
      </c>
      <c r="L532" t="s">
        <v>316</v>
      </c>
      <c r="M532" t="s">
        <v>317</v>
      </c>
      <c r="N532" t="s">
        <v>1527</v>
      </c>
      <c r="O532" t="s">
        <v>82</v>
      </c>
      <c r="P532" t="str">
        <f>"INVOICE 00116416 CT093391     "</f>
        <v xml:space="preserve">INVOICE 00116416 CT093391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57.13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16.739999999999998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0.5</v>
      </c>
      <c r="BJ532">
        <v>2.5</v>
      </c>
      <c r="BK532">
        <v>2.5</v>
      </c>
      <c r="BL532">
        <v>189.29</v>
      </c>
      <c r="BM532">
        <v>28.39</v>
      </c>
      <c r="BN532">
        <v>217.68</v>
      </c>
      <c r="BO532">
        <v>217.68</v>
      </c>
      <c r="BQ532" t="s">
        <v>1201</v>
      </c>
      <c r="BR532" t="s">
        <v>101</v>
      </c>
      <c r="BS532" s="3">
        <v>45744</v>
      </c>
      <c r="BT532" s="4">
        <v>0.77152777777777781</v>
      </c>
      <c r="BU532" t="s">
        <v>1528</v>
      </c>
      <c r="BV532" t="s">
        <v>109</v>
      </c>
      <c r="BY532">
        <v>12539.52</v>
      </c>
      <c r="BZ532" t="s">
        <v>1203</v>
      </c>
      <c r="CA532" t="s">
        <v>1204</v>
      </c>
      <c r="CC532" t="s">
        <v>317</v>
      </c>
      <c r="CD532" s="5" t="s">
        <v>1205</v>
      </c>
      <c r="CE532" t="s">
        <v>237</v>
      </c>
      <c r="CI532">
        <v>3</v>
      </c>
      <c r="CJ532">
        <v>2</v>
      </c>
      <c r="CK532">
        <v>23</v>
      </c>
      <c r="CL532" t="s">
        <v>87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"GAB2025120"</f>
        <v>GAB2025120</v>
      </c>
      <c r="F533" s="3">
        <v>45742</v>
      </c>
      <c r="G533">
        <v>202512</v>
      </c>
      <c r="H533" t="s">
        <v>97</v>
      </c>
      <c r="I533" t="s">
        <v>98</v>
      </c>
      <c r="J533" t="s">
        <v>99</v>
      </c>
      <c r="K533" t="s">
        <v>78</v>
      </c>
      <c r="L533" t="s">
        <v>262</v>
      </c>
      <c r="M533" t="s">
        <v>263</v>
      </c>
      <c r="N533" t="s">
        <v>293</v>
      </c>
      <c r="O533" t="s">
        <v>82</v>
      </c>
      <c r="P533" t="str">
        <f>"INVOICE 00116417 CT093315     "</f>
        <v xml:space="preserve">INVOICE 00116417 CT093315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30.07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16.739999999999998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0.2</v>
      </c>
      <c r="BJ533">
        <v>2.1</v>
      </c>
      <c r="BK533">
        <v>2.5</v>
      </c>
      <c r="BL533">
        <v>107.55</v>
      </c>
      <c r="BM533">
        <v>16.13</v>
      </c>
      <c r="BN533">
        <v>123.68</v>
      </c>
      <c r="BO533">
        <v>123.68</v>
      </c>
      <c r="BQ533" t="s">
        <v>294</v>
      </c>
      <c r="BR533" t="s">
        <v>101</v>
      </c>
      <c r="BS533" t="s">
        <v>83</v>
      </c>
      <c r="BY533">
        <v>10368.129999999999</v>
      </c>
      <c r="BZ533" t="s">
        <v>296</v>
      </c>
      <c r="CC533" t="s">
        <v>263</v>
      </c>
      <c r="CD533" s="5" t="s">
        <v>298</v>
      </c>
      <c r="CE533" t="s">
        <v>149</v>
      </c>
      <c r="CI533">
        <v>1</v>
      </c>
      <c r="CJ533" t="s">
        <v>83</v>
      </c>
      <c r="CK533">
        <v>21</v>
      </c>
      <c r="CL533" t="s">
        <v>87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"GAB2025123"</f>
        <v>GAB2025123</v>
      </c>
      <c r="F534" s="3">
        <v>45742</v>
      </c>
      <c r="G534">
        <v>202512</v>
      </c>
      <c r="H534" t="s">
        <v>97</v>
      </c>
      <c r="I534" t="s">
        <v>98</v>
      </c>
      <c r="J534" t="s">
        <v>99</v>
      </c>
      <c r="K534" t="s">
        <v>78</v>
      </c>
      <c r="L534" t="s">
        <v>138</v>
      </c>
      <c r="M534" t="s">
        <v>139</v>
      </c>
      <c r="N534" t="s">
        <v>140</v>
      </c>
      <c r="O534" t="s">
        <v>82</v>
      </c>
      <c r="P534" t="str">
        <f>"INVOICES 00116426   00116424 C"</f>
        <v>INVOICES 00116426   00116424 C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57.13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0.2</v>
      </c>
      <c r="BJ534">
        <v>2.1</v>
      </c>
      <c r="BK534">
        <v>2.5</v>
      </c>
      <c r="BL534">
        <v>172.55</v>
      </c>
      <c r="BM534">
        <v>25.88</v>
      </c>
      <c r="BN534">
        <v>198.43</v>
      </c>
      <c r="BO534">
        <v>198.43</v>
      </c>
      <c r="BQ534" t="s">
        <v>1529</v>
      </c>
      <c r="BR534" t="s">
        <v>101</v>
      </c>
      <c r="BS534" s="3">
        <v>45744</v>
      </c>
      <c r="BT534" s="4">
        <v>0.36805555555555558</v>
      </c>
      <c r="BU534" t="s">
        <v>1530</v>
      </c>
      <c r="BV534" t="s">
        <v>87</v>
      </c>
      <c r="BY534">
        <v>10588.32</v>
      </c>
      <c r="BZ534" t="s">
        <v>90</v>
      </c>
      <c r="CA534" t="s">
        <v>143</v>
      </c>
      <c r="CC534" t="s">
        <v>139</v>
      </c>
      <c r="CD534">
        <v>1900</v>
      </c>
      <c r="CE534" t="s">
        <v>129</v>
      </c>
      <c r="CF534" s="3">
        <v>45744</v>
      </c>
      <c r="CI534">
        <v>1</v>
      </c>
      <c r="CJ534">
        <v>2</v>
      </c>
      <c r="CK534">
        <v>23</v>
      </c>
      <c r="CL534" t="s">
        <v>87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"GAB2025132"</f>
        <v>GAB2025132</v>
      </c>
      <c r="F535" s="3">
        <v>45742</v>
      </c>
      <c r="G535">
        <v>202512</v>
      </c>
      <c r="H535" t="s">
        <v>97</v>
      </c>
      <c r="I535" t="s">
        <v>98</v>
      </c>
      <c r="J535" t="s">
        <v>99</v>
      </c>
      <c r="K535" t="s">
        <v>78</v>
      </c>
      <c r="L535" t="s">
        <v>1531</v>
      </c>
      <c r="M535" t="s">
        <v>1532</v>
      </c>
      <c r="N535" t="s">
        <v>1533</v>
      </c>
      <c r="O535" t="s">
        <v>82</v>
      </c>
      <c r="P535" t="str">
        <f>"INVOIICE 00116443 CT093442    "</f>
        <v xml:space="preserve">INVOIICE 00116443 CT093442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30.07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0.2</v>
      </c>
      <c r="BJ535">
        <v>2.2999999999999998</v>
      </c>
      <c r="BK535">
        <v>2.5</v>
      </c>
      <c r="BL535">
        <v>90.81</v>
      </c>
      <c r="BM535">
        <v>13.62</v>
      </c>
      <c r="BN535">
        <v>104.43</v>
      </c>
      <c r="BO535">
        <v>104.43</v>
      </c>
      <c r="BQ535" t="s">
        <v>1534</v>
      </c>
      <c r="BR535" t="s">
        <v>101</v>
      </c>
      <c r="BS535" t="s">
        <v>83</v>
      </c>
      <c r="BY535">
        <v>11480.94</v>
      </c>
      <c r="BZ535" t="s">
        <v>90</v>
      </c>
      <c r="CC535" t="s">
        <v>1532</v>
      </c>
      <c r="CD535">
        <v>1684</v>
      </c>
      <c r="CE535" t="s">
        <v>213</v>
      </c>
      <c r="CI535">
        <v>1</v>
      </c>
      <c r="CJ535" t="s">
        <v>83</v>
      </c>
      <c r="CK535">
        <v>21</v>
      </c>
      <c r="CL535" t="s">
        <v>87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"GAB2025142"</f>
        <v>GAB2025142</v>
      </c>
      <c r="F536" s="3">
        <v>45742</v>
      </c>
      <c r="G536">
        <v>202512</v>
      </c>
      <c r="H536" t="s">
        <v>97</v>
      </c>
      <c r="I536" t="s">
        <v>98</v>
      </c>
      <c r="J536" t="s">
        <v>99</v>
      </c>
      <c r="K536" t="s">
        <v>78</v>
      </c>
      <c r="L536" t="s">
        <v>401</v>
      </c>
      <c r="M536" t="s">
        <v>402</v>
      </c>
      <c r="N536" t="s">
        <v>1535</v>
      </c>
      <c r="O536" t="s">
        <v>82</v>
      </c>
      <c r="P536" t="str">
        <f>"INVOICE 00116436 CT093430     "</f>
        <v xml:space="preserve">INVOICE 00116436 CT093430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57.13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0.2</v>
      </c>
      <c r="BJ536">
        <v>2.4</v>
      </c>
      <c r="BK536">
        <v>2.5</v>
      </c>
      <c r="BL536">
        <v>172.55</v>
      </c>
      <c r="BM536">
        <v>25.88</v>
      </c>
      <c r="BN536">
        <v>198.43</v>
      </c>
      <c r="BO536">
        <v>198.43</v>
      </c>
      <c r="BQ536" t="s">
        <v>1536</v>
      </c>
      <c r="BR536" t="s">
        <v>101</v>
      </c>
      <c r="BS536" s="3">
        <v>45744</v>
      </c>
      <c r="BT536" s="4">
        <v>0.40277777777777779</v>
      </c>
      <c r="BU536" t="s">
        <v>1537</v>
      </c>
      <c r="BV536" t="s">
        <v>109</v>
      </c>
      <c r="BY536">
        <v>12087.53</v>
      </c>
      <c r="BZ536" t="s">
        <v>90</v>
      </c>
      <c r="CA536" t="s">
        <v>1521</v>
      </c>
      <c r="CC536" t="s">
        <v>402</v>
      </c>
      <c r="CD536" s="5" t="s">
        <v>407</v>
      </c>
      <c r="CE536" t="s">
        <v>829</v>
      </c>
      <c r="CI536">
        <v>2</v>
      </c>
      <c r="CJ536">
        <v>2</v>
      </c>
      <c r="CK536">
        <v>23</v>
      </c>
      <c r="CL536" t="s">
        <v>87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"GAB2025144"</f>
        <v>GAB2025144</v>
      </c>
      <c r="F537" s="3">
        <v>45742</v>
      </c>
      <c r="G537">
        <v>202512</v>
      </c>
      <c r="H537" t="s">
        <v>97</v>
      </c>
      <c r="I537" t="s">
        <v>98</v>
      </c>
      <c r="J537" t="s">
        <v>99</v>
      </c>
      <c r="K537" t="s">
        <v>78</v>
      </c>
      <c r="L537" t="s">
        <v>262</v>
      </c>
      <c r="M537" t="s">
        <v>263</v>
      </c>
      <c r="N537" t="s">
        <v>1538</v>
      </c>
      <c r="O537" t="s">
        <v>82</v>
      </c>
      <c r="P537" t="str">
        <f>"MICHELLE FICK                 "</f>
        <v xml:space="preserve">MICHELLE FICK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30.07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0.2</v>
      </c>
      <c r="BJ537">
        <v>2.4</v>
      </c>
      <c r="BK537">
        <v>2.5</v>
      </c>
      <c r="BL537">
        <v>90.81</v>
      </c>
      <c r="BM537">
        <v>13.62</v>
      </c>
      <c r="BN537">
        <v>104.43</v>
      </c>
      <c r="BO537">
        <v>104.43</v>
      </c>
      <c r="BQ537" t="s">
        <v>1539</v>
      </c>
      <c r="BR537" t="s">
        <v>101</v>
      </c>
      <c r="BS537" s="3">
        <v>45744</v>
      </c>
      <c r="BT537" s="4">
        <v>0.33402777777777776</v>
      </c>
      <c r="BU537" t="s">
        <v>1540</v>
      </c>
      <c r="BV537" t="s">
        <v>87</v>
      </c>
      <c r="BW537" t="s">
        <v>88</v>
      </c>
      <c r="BX537" t="s">
        <v>89</v>
      </c>
      <c r="BY537">
        <v>11903.74</v>
      </c>
      <c r="BZ537" t="s">
        <v>90</v>
      </c>
      <c r="CA537" t="s">
        <v>1079</v>
      </c>
      <c r="CC537" t="s">
        <v>263</v>
      </c>
      <c r="CD537" s="5" t="s">
        <v>444</v>
      </c>
      <c r="CE537" t="s">
        <v>1541</v>
      </c>
      <c r="CF537" s="3">
        <v>45744</v>
      </c>
      <c r="CI537">
        <v>1</v>
      </c>
      <c r="CJ537">
        <v>2</v>
      </c>
      <c r="CK537">
        <v>21</v>
      </c>
      <c r="CL537" t="s">
        <v>87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"GAB2025145"</f>
        <v>GAB2025145</v>
      </c>
      <c r="F538" s="3">
        <v>45742</v>
      </c>
      <c r="G538">
        <v>202512</v>
      </c>
      <c r="H538" t="s">
        <v>97</v>
      </c>
      <c r="I538" t="s">
        <v>98</v>
      </c>
      <c r="J538" t="s">
        <v>99</v>
      </c>
      <c r="K538" t="s">
        <v>78</v>
      </c>
      <c r="L538" t="s">
        <v>1531</v>
      </c>
      <c r="M538" t="s">
        <v>1532</v>
      </c>
      <c r="N538" t="s">
        <v>1542</v>
      </c>
      <c r="O538" t="s">
        <v>82</v>
      </c>
      <c r="P538" t="str">
        <f>"MICHELLE FICK                 "</f>
        <v xml:space="preserve">MICHELLE FICK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24.06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0.2</v>
      </c>
      <c r="BJ538">
        <v>2</v>
      </c>
      <c r="BK538">
        <v>2</v>
      </c>
      <c r="BL538">
        <v>72.66</v>
      </c>
      <c r="BM538">
        <v>10.9</v>
      </c>
      <c r="BN538">
        <v>83.56</v>
      </c>
      <c r="BO538">
        <v>83.56</v>
      </c>
      <c r="BQ538" t="s">
        <v>1543</v>
      </c>
      <c r="BR538" t="s">
        <v>101</v>
      </c>
      <c r="BS538" s="3">
        <v>45744</v>
      </c>
      <c r="BT538" s="4">
        <v>0.38750000000000001</v>
      </c>
      <c r="BU538" t="s">
        <v>1544</v>
      </c>
      <c r="BV538" t="s">
        <v>87</v>
      </c>
      <c r="BW538" t="s">
        <v>88</v>
      </c>
      <c r="BX538" t="s">
        <v>480</v>
      </c>
      <c r="BY538">
        <v>10201.700000000001</v>
      </c>
      <c r="BZ538" t="s">
        <v>90</v>
      </c>
      <c r="CA538" t="s">
        <v>1545</v>
      </c>
      <c r="CC538" t="s">
        <v>1532</v>
      </c>
      <c r="CD538">
        <v>1682</v>
      </c>
      <c r="CE538" t="s">
        <v>1541</v>
      </c>
      <c r="CF538" s="3">
        <v>45745</v>
      </c>
      <c r="CI538">
        <v>1</v>
      </c>
      <c r="CJ538">
        <v>2</v>
      </c>
      <c r="CK538">
        <v>21</v>
      </c>
      <c r="CL538" t="s">
        <v>87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"GAB2025147"</f>
        <v>GAB2025147</v>
      </c>
      <c r="F539" s="3">
        <v>45743</v>
      </c>
      <c r="G539">
        <v>202512</v>
      </c>
      <c r="H539" t="s">
        <v>97</v>
      </c>
      <c r="I539" t="s">
        <v>98</v>
      </c>
      <c r="J539" t="s">
        <v>99</v>
      </c>
      <c r="K539" t="s">
        <v>78</v>
      </c>
      <c r="L539" t="s">
        <v>97</v>
      </c>
      <c r="M539" t="s">
        <v>98</v>
      </c>
      <c r="N539" t="s">
        <v>1546</v>
      </c>
      <c r="O539" t="s">
        <v>82</v>
      </c>
      <c r="P539" t="str">
        <f>"INV-00116456 CT093445         "</f>
        <v xml:space="preserve">INV-00116456 CT093445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18.79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0.7</v>
      </c>
      <c r="BJ539">
        <v>1.6</v>
      </c>
      <c r="BK539">
        <v>2</v>
      </c>
      <c r="BL539">
        <v>56.75</v>
      </c>
      <c r="BM539">
        <v>8.51</v>
      </c>
      <c r="BN539">
        <v>65.260000000000005</v>
      </c>
      <c r="BO539">
        <v>65.260000000000005</v>
      </c>
      <c r="BQ539" t="s">
        <v>452</v>
      </c>
      <c r="BR539" t="s">
        <v>101</v>
      </c>
      <c r="BS539" s="3">
        <v>45744</v>
      </c>
      <c r="BT539" s="4">
        <v>0.48749999999999999</v>
      </c>
      <c r="BU539" t="s">
        <v>1547</v>
      </c>
      <c r="BV539" t="s">
        <v>109</v>
      </c>
      <c r="BY539">
        <v>7972.64</v>
      </c>
      <c r="BZ539" t="s">
        <v>90</v>
      </c>
      <c r="CA539" t="s">
        <v>962</v>
      </c>
      <c r="CC539" t="s">
        <v>98</v>
      </c>
      <c r="CD539">
        <v>7806</v>
      </c>
      <c r="CE539" t="s">
        <v>454</v>
      </c>
      <c r="CI539">
        <v>1</v>
      </c>
      <c r="CJ539">
        <v>1</v>
      </c>
      <c r="CK539">
        <v>22</v>
      </c>
      <c r="CL539" t="s">
        <v>87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"GAB2025153"</f>
        <v>GAB2025153</v>
      </c>
      <c r="F540" s="3">
        <v>45743</v>
      </c>
      <c r="G540">
        <v>202512</v>
      </c>
      <c r="H540" t="s">
        <v>97</v>
      </c>
      <c r="I540" t="s">
        <v>98</v>
      </c>
      <c r="J540" t="s">
        <v>99</v>
      </c>
      <c r="K540" t="s">
        <v>78</v>
      </c>
      <c r="L540" t="s">
        <v>381</v>
      </c>
      <c r="M540" t="s">
        <v>381</v>
      </c>
      <c r="N540" t="s">
        <v>576</v>
      </c>
      <c r="O540" t="s">
        <v>82</v>
      </c>
      <c r="P540" t="str">
        <f>"INV-00034036 031450           "</f>
        <v xml:space="preserve">INV-00034036 031450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50.31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0.4</v>
      </c>
      <c r="BJ540">
        <v>2.6</v>
      </c>
      <c r="BK540">
        <v>3</v>
      </c>
      <c r="BL540">
        <v>151.94</v>
      </c>
      <c r="BM540">
        <v>22.79</v>
      </c>
      <c r="BN540">
        <v>174.73</v>
      </c>
      <c r="BO540">
        <v>174.73</v>
      </c>
      <c r="BQ540" t="s">
        <v>577</v>
      </c>
      <c r="BR540" t="s">
        <v>101</v>
      </c>
      <c r="BS540" s="3">
        <v>45744</v>
      </c>
      <c r="BT540" s="4">
        <v>0.46250000000000002</v>
      </c>
      <c r="BU540" t="s">
        <v>665</v>
      </c>
      <c r="BV540" t="s">
        <v>109</v>
      </c>
      <c r="BY540">
        <v>13176.9</v>
      </c>
      <c r="BZ540" t="s">
        <v>90</v>
      </c>
      <c r="CA540" t="s">
        <v>385</v>
      </c>
      <c r="CC540" t="s">
        <v>381</v>
      </c>
      <c r="CD540">
        <v>7646</v>
      </c>
      <c r="CE540" t="s">
        <v>237</v>
      </c>
      <c r="CI540">
        <v>1</v>
      </c>
      <c r="CJ540">
        <v>1</v>
      </c>
      <c r="CK540">
        <v>24</v>
      </c>
      <c r="CL540" t="s">
        <v>87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"GAB2025154"</f>
        <v>GAB2025154</v>
      </c>
      <c r="F541" s="3">
        <v>45743</v>
      </c>
      <c r="G541">
        <v>202512</v>
      </c>
      <c r="H541" t="s">
        <v>97</v>
      </c>
      <c r="I541" t="s">
        <v>98</v>
      </c>
      <c r="J541" t="s">
        <v>99</v>
      </c>
      <c r="K541" t="s">
        <v>78</v>
      </c>
      <c r="L541" t="s">
        <v>328</v>
      </c>
      <c r="M541" t="s">
        <v>329</v>
      </c>
      <c r="N541" t="s">
        <v>330</v>
      </c>
      <c r="O541" t="s">
        <v>82</v>
      </c>
      <c r="P541" t="str">
        <f>"INV-00116449 CT093443         "</f>
        <v xml:space="preserve">INV-00116449 CT093443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30.07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16.739999999999998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0.1</v>
      </c>
      <c r="BJ541">
        <v>2.2999999999999998</v>
      </c>
      <c r="BK541">
        <v>2.5</v>
      </c>
      <c r="BL541">
        <v>107.55</v>
      </c>
      <c r="BM541">
        <v>16.13</v>
      </c>
      <c r="BN541">
        <v>123.68</v>
      </c>
      <c r="BO541">
        <v>123.68</v>
      </c>
      <c r="BQ541" t="s">
        <v>331</v>
      </c>
      <c r="BR541" t="s">
        <v>101</v>
      </c>
      <c r="BS541" s="3">
        <v>45744</v>
      </c>
      <c r="BT541" s="4">
        <v>0.43125000000000002</v>
      </c>
      <c r="BU541" t="s">
        <v>670</v>
      </c>
      <c r="BV541" t="s">
        <v>109</v>
      </c>
      <c r="BY541">
        <v>11539.84</v>
      </c>
      <c r="BZ541" t="s">
        <v>296</v>
      </c>
      <c r="CA541" t="s">
        <v>671</v>
      </c>
      <c r="CC541" t="s">
        <v>329</v>
      </c>
      <c r="CD541">
        <v>1475</v>
      </c>
      <c r="CE541" t="s">
        <v>149</v>
      </c>
      <c r="CF541" s="3">
        <v>45744</v>
      </c>
      <c r="CI541">
        <v>1</v>
      </c>
      <c r="CJ541">
        <v>1</v>
      </c>
      <c r="CK541">
        <v>21</v>
      </c>
      <c r="CL541" t="s">
        <v>87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"GAB2025155"</f>
        <v>GAB2025155</v>
      </c>
      <c r="F542" s="3">
        <v>45743</v>
      </c>
      <c r="G542">
        <v>202512</v>
      </c>
      <c r="H542" t="s">
        <v>97</v>
      </c>
      <c r="I542" t="s">
        <v>98</v>
      </c>
      <c r="J542" t="s">
        <v>99</v>
      </c>
      <c r="K542" t="s">
        <v>78</v>
      </c>
      <c r="L542" t="s">
        <v>238</v>
      </c>
      <c r="M542" t="s">
        <v>239</v>
      </c>
      <c r="N542" t="s">
        <v>1548</v>
      </c>
      <c r="O542" t="s">
        <v>82</v>
      </c>
      <c r="P542" t="str">
        <f>"INV-00033998 031412           "</f>
        <v xml:space="preserve">INV-00033998 031412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24.06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0.1</v>
      </c>
      <c r="BJ542">
        <v>1.9</v>
      </c>
      <c r="BK542">
        <v>2</v>
      </c>
      <c r="BL542">
        <v>72.66</v>
      </c>
      <c r="BM542">
        <v>10.9</v>
      </c>
      <c r="BN542">
        <v>83.56</v>
      </c>
      <c r="BO542">
        <v>83.56</v>
      </c>
      <c r="BQ542" t="s">
        <v>640</v>
      </c>
      <c r="BR542" t="s">
        <v>101</v>
      </c>
      <c r="BS542" s="3">
        <v>45744</v>
      </c>
      <c r="BT542" s="4">
        <v>0.55902777777777779</v>
      </c>
      <c r="BU542" t="s">
        <v>1549</v>
      </c>
      <c r="BV542" t="s">
        <v>87</v>
      </c>
      <c r="BW542" t="s">
        <v>204</v>
      </c>
      <c r="BX542" t="s">
        <v>513</v>
      </c>
      <c r="BY542">
        <v>9595.67</v>
      </c>
      <c r="BZ542" t="s">
        <v>90</v>
      </c>
      <c r="CA542" t="s">
        <v>1550</v>
      </c>
      <c r="CC542" t="s">
        <v>239</v>
      </c>
      <c r="CD542">
        <v>2001</v>
      </c>
      <c r="CE542" t="s">
        <v>137</v>
      </c>
      <c r="CF542" s="3">
        <v>45745</v>
      </c>
      <c r="CI542">
        <v>1</v>
      </c>
      <c r="CJ542">
        <v>1</v>
      </c>
      <c r="CK542">
        <v>21</v>
      </c>
      <c r="CL542" t="s">
        <v>87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"GAB2025156"</f>
        <v>GAB2025156</v>
      </c>
      <c r="F543" s="3">
        <v>45743</v>
      </c>
      <c r="G543">
        <v>202512</v>
      </c>
      <c r="H543" t="s">
        <v>97</v>
      </c>
      <c r="I543" t="s">
        <v>98</v>
      </c>
      <c r="J543" t="s">
        <v>99</v>
      </c>
      <c r="K543" t="s">
        <v>78</v>
      </c>
      <c r="L543" t="s">
        <v>238</v>
      </c>
      <c r="M543" t="s">
        <v>239</v>
      </c>
      <c r="N543" t="s">
        <v>1551</v>
      </c>
      <c r="O543" t="s">
        <v>82</v>
      </c>
      <c r="P543" t="str">
        <f>"INV-00033992 031322           "</f>
        <v xml:space="preserve">INV-00033992 031322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30.07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0.1</v>
      </c>
      <c r="BJ543">
        <v>2.2999999999999998</v>
      </c>
      <c r="BK543">
        <v>2.5</v>
      </c>
      <c r="BL543">
        <v>90.81</v>
      </c>
      <c r="BM543">
        <v>13.62</v>
      </c>
      <c r="BN543">
        <v>104.43</v>
      </c>
      <c r="BO543">
        <v>104.43</v>
      </c>
      <c r="BQ543" t="s">
        <v>1552</v>
      </c>
      <c r="BR543" t="s">
        <v>101</v>
      </c>
      <c r="BS543" s="3">
        <v>45744</v>
      </c>
      <c r="BT543" s="4">
        <v>0.40763888888888888</v>
      </c>
      <c r="BU543" t="s">
        <v>1553</v>
      </c>
      <c r="BV543" t="s">
        <v>109</v>
      </c>
      <c r="BY543">
        <v>11719.75</v>
      </c>
      <c r="BZ543" t="s">
        <v>90</v>
      </c>
      <c r="CA543" t="s">
        <v>1554</v>
      </c>
      <c r="CC543" t="s">
        <v>239</v>
      </c>
      <c r="CD543">
        <v>2000</v>
      </c>
      <c r="CE543" t="s">
        <v>149</v>
      </c>
      <c r="CF543" s="3">
        <v>45744</v>
      </c>
      <c r="CI543">
        <v>1</v>
      </c>
      <c r="CJ543">
        <v>1</v>
      </c>
      <c r="CK543">
        <v>21</v>
      </c>
      <c r="CL543" t="s">
        <v>87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"GAB2025158"</f>
        <v>GAB2025158</v>
      </c>
      <c r="F544" s="3">
        <v>45743</v>
      </c>
      <c r="G544">
        <v>202512</v>
      </c>
      <c r="H544" t="s">
        <v>97</v>
      </c>
      <c r="I544" t="s">
        <v>98</v>
      </c>
      <c r="J544" t="s">
        <v>99</v>
      </c>
      <c r="K544" t="s">
        <v>78</v>
      </c>
      <c r="L544" t="s">
        <v>381</v>
      </c>
      <c r="M544" t="s">
        <v>381</v>
      </c>
      <c r="N544" t="s">
        <v>382</v>
      </c>
      <c r="O544" t="s">
        <v>82</v>
      </c>
      <c r="P544" t="str">
        <f>"INV-00116468 CT093452         "</f>
        <v xml:space="preserve">INV-00116468 CT093452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33.83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0.2</v>
      </c>
      <c r="BJ544">
        <v>1.9</v>
      </c>
      <c r="BK544">
        <v>2</v>
      </c>
      <c r="BL544">
        <v>102.18</v>
      </c>
      <c r="BM544">
        <v>15.33</v>
      </c>
      <c r="BN544">
        <v>117.51</v>
      </c>
      <c r="BO544">
        <v>117.51</v>
      </c>
      <c r="BQ544" t="s">
        <v>383</v>
      </c>
      <c r="BR544" t="s">
        <v>101</v>
      </c>
      <c r="BS544" s="3">
        <v>45744</v>
      </c>
      <c r="BT544" s="4">
        <v>0.47013888888888888</v>
      </c>
      <c r="BU544" t="s">
        <v>1555</v>
      </c>
      <c r="BV544" t="s">
        <v>109</v>
      </c>
      <c r="BY544">
        <v>9431.6</v>
      </c>
      <c r="BZ544" t="s">
        <v>90</v>
      </c>
      <c r="CA544" t="s">
        <v>385</v>
      </c>
      <c r="CC544" t="s">
        <v>381</v>
      </c>
      <c r="CD544">
        <v>7646</v>
      </c>
      <c r="CE544" t="s">
        <v>149</v>
      </c>
      <c r="CI544">
        <v>1</v>
      </c>
      <c r="CJ544">
        <v>1</v>
      </c>
      <c r="CK544">
        <v>24</v>
      </c>
      <c r="CL544" t="s">
        <v>87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"GAB2025159"</f>
        <v>GAB2025159</v>
      </c>
      <c r="F545" s="3">
        <v>45743</v>
      </c>
      <c r="G545">
        <v>202512</v>
      </c>
      <c r="H545" t="s">
        <v>97</v>
      </c>
      <c r="I545" t="s">
        <v>98</v>
      </c>
      <c r="J545" t="s">
        <v>99</v>
      </c>
      <c r="K545" t="s">
        <v>78</v>
      </c>
      <c r="L545" t="s">
        <v>502</v>
      </c>
      <c r="M545" t="s">
        <v>503</v>
      </c>
      <c r="N545" t="s">
        <v>801</v>
      </c>
      <c r="O545" t="s">
        <v>82</v>
      </c>
      <c r="P545" t="str">
        <f>"INV-00033892 031349           "</f>
        <v xml:space="preserve">INV-00033892 031349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30.07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1</v>
      </c>
      <c r="BJ545">
        <v>2.4</v>
      </c>
      <c r="BK545">
        <v>2.5</v>
      </c>
      <c r="BL545">
        <v>90.81</v>
      </c>
      <c r="BM545">
        <v>13.62</v>
      </c>
      <c r="BN545">
        <v>104.43</v>
      </c>
      <c r="BO545">
        <v>104.43</v>
      </c>
      <c r="BQ545" t="s">
        <v>802</v>
      </c>
      <c r="BR545" t="s">
        <v>101</v>
      </c>
      <c r="BS545" s="3">
        <v>45744</v>
      </c>
      <c r="BT545" s="4">
        <v>0.48402777777777778</v>
      </c>
      <c r="BU545" t="s">
        <v>1556</v>
      </c>
      <c r="BV545" t="s">
        <v>87</v>
      </c>
      <c r="BY545">
        <v>12000</v>
      </c>
      <c r="BZ545" t="s">
        <v>90</v>
      </c>
      <c r="CA545" t="s">
        <v>804</v>
      </c>
      <c r="CC545" t="s">
        <v>503</v>
      </c>
      <c r="CD545">
        <v>5200</v>
      </c>
      <c r="CE545" t="s">
        <v>137</v>
      </c>
      <c r="CF545" s="3">
        <v>45744</v>
      </c>
      <c r="CI545">
        <v>1</v>
      </c>
      <c r="CJ545">
        <v>1</v>
      </c>
      <c r="CK545">
        <v>21</v>
      </c>
      <c r="CL545" t="s">
        <v>87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"GAB2025160"</f>
        <v>GAB2025160</v>
      </c>
      <c r="F546" s="3">
        <v>45743</v>
      </c>
      <c r="G546">
        <v>202512</v>
      </c>
      <c r="H546" t="s">
        <v>97</v>
      </c>
      <c r="I546" t="s">
        <v>98</v>
      </c>
      <c r="J546" t="s">
        <v>99</v>
      </c>
      <c r="K546" t="s">
        <v>78</v>
      </c>
      <c r="L546" t="s">
        <v>401</v>
      </c>
      <c r="M546" t="s">
        <v>402</v>
      </c>
      <c r="N546" t="s">
        <v>403</v>
      </c>
      <c r="O546" t="s">
        <v>82</v>
      </c>
      <c r="P546" t="str">
        <f>"INV-00033999 031406           "</f>
        <v xml:space="preserve">INV-00033999 031406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57.13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0.4</v>
      </c>
      <c r="BJ546">
        <v>2.1</v>
      </c>
      <c r="BK546">
        <v>2.5</v>
      </c>
      <c r="BL546">
        <v>172.55</v>
      </c>
      <c r="BM546">
        <v>25.88</v>
      </c>
      <c r="BN546">
        <v>198.43</v>
      </c>
      <c r="BO546">
        <v>198.43</v>
      </c>
      <c r="BQ546" t="s">
        <v>404</v>
      </c>
      <c r="BR546" t="s">
        <v>101</v>
      </c>
      <c r="BS546" s="3">
        <v>45744</v>
      </c>
      <c r="BT546" s="4">
        <v>0.37708333333333333</v>
      </c>
      <c r="BU546" t="s">
        <v>1557</v>
      </c>
      <c r="BV546" t="s">
        <v>109</v>
      </c>
      <c r="BY546">
        <v>10708.25</v>
      </c>
      <c r="BZ546" t="s">
        <v>90</v>
      </c>
      <c r="CA546" t="s">
        <v>1521</v>
      </c>
      <c r="CC546" t="s">
        <v>402</v>
      </c>
      <c r="CD546" s="5" t="s">
        <v>407</v>
      </c>
      <c r="CE546" t="s">
        <v>129</v>
      </c>
      <c r="CI546">
        <v>2</v>
      </c>
      <c r="CJ546">
        <v>1</v>
      </c>
      <c r="CK546">
        <v>23</v>
      </c>
      <c r="CL546" t="s">
        <v>87</v>
      </c>
    </row>
    <row r="547" spans="1:90" x14ac:dyDescent="0.3">
      <c r="A547" t="s">
        <v>72</v>
      </c>
      <c r="B547" t="s">
        <v>73</v>
      </c>
      <c r="C547" t="s">
        <v>74</v>
      </c>
      <c r="E547" t="str">
        <f>"GAB2025161"</f>
        <v>GAB2025161</v>
      </c>
      <c r="F547" s="3">
        <v>45743</v>
      </c>
      <c r="G547">
        <v>202512</v>
      </c>
      <c r="H547" t="s">
        <v>97</v>
      </c>
      <c r="I547" t="s">
        <v>98</v>
      </c>
      <c r="J547" t="s">
        <v>99</v>
      </c>
      <c r="K547" t="s">
        <v>78</v>
      </c>
      <c r="L547" t="s">
        <v>316</v>
      </c>
      <c r="M547" t="s">
        <v>317</v>
      </c>
      <c r="N547" t="s">
        <v>1200</v>
      </c>
      <c r="O547" t="s">
        <v>82</v>
      </c>
      <c r="P547" t="str">
        <f>"INV-00116478 CT093460         "</f>
        <v xml:space="preserve">INV-00116478 CT093460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46.61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16.739999999999998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0.6</v>
      </c>
      <c r="BJ547">
        <v>1.7</v>
      </c>
      <c r="BK547">
        <v>2</v>
      </c>
      <c r="BL547">
        <v>157.51</v>
      </c>
      <c r="BM547">
        <v>23.63</v>
      </c>
      <c r="BN547">
        <v>181.14</v>
      </c>
      <c r="BO547">
        <v>181.14</v>
      </c>
      <c r="BQ547" t="s">
        <v>1201</v>
      </c>
      <c r="BR547" t="s">
        <v>101</v>
      </c>
      <c r="BS547" t="s">
        <v>83</v>
      </c>
      <c r="BY547">
        <v>8491.73</v>
      </c>
      <c r="BZ547" t="s">
        <v>1203</v>
      </c>
      <c r="CC547" t="s">
        <v>317</v>
      </c>
      <c r="CD547" s="5" t="s">
        <v>1205</v>
      </c>
      <c r="CE547" t="s">
        <v>224</v>
      </c>
      <c r="CI547">
        <v>3</v>
      </c>
      <c r="CJ547" t="s">
        <v>83</v>
      </c>
      <c r="CK547">
        <v>23</v>
      </c>
      <c r="CL547" t="s">
        <v>87</v>
      </c>
    </row>
    <row r="548" spans="1:90" x14ac:dyDescent="0.3">
      <c r="A548" t="s">
        <v>72</v>
      </c>
      <c r="B548" t="s">
        <v>73</v>
      </c>
      <c r="C548" t="s">
        <v>74</v>
      </c>
      <c r="E548" t="str">
        <f>"GAB2025165"</f>
        <v>GAB2025165</v>
      </c>
      <c r="F548" s="3">
        <v>45743</v>
      </c>
      <c r="G548">
        <v>202512</v>
      </c>
      <c r="H548" t="s">
        <v>97</v>
      </c>
      <c r="I548" t="s">
        <v>98</v>
      </c>
      <c r="J548" t="s">
        <v>99</v>
      </c>
      <c r="K548" t="s">
        <v>78</v>
      </c>
      <c r="L548" t="s">
        <v>97</v>
      </c>
      <c r="M548" t="s">
        <v>98</v>
      </c>
      <c r="N548" t="s">
        <v>1029</v>
      </c>
      <c r="O548" t="s">
        <v>82</v>
      </c>
      <c r="P548" t="str">
        <f>"INV-00034043 031467           "</f>
        <v xml:space="preserve">INV-00034043 031467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18.79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0.1</v>
      </c>
      <c r="BJ548">
        <v>1.9</v>
      </c>
      <c r="BK548">
        <v>2</v>
      </c>
      <c r="BL548">
        <v>56.75</v>
      </c>
      <c r="BM548">
        <v>8.51</v>
      </c>
      <c r="BN548">
        <v>65.260000000000005</v>
      </c>
      <c r="BO548">
        <v>65.260000000000005</v>
      </c>
      <c r="BQ548" t="s">
        <v>1558</v>
      </c>
      <c r="BR548" t="s">
        <v>101</v>
      </c>
      <c r="BS548" s="3">
        <v>45744</v>
      </c>
      <c r="BT548" s="4">
        <v>0.3972222222222222</v>
      </c>
      <c r="BU548" t="s">
        <v>1559</v>
      </c>
      <c r="BV548" t="s">
        <v>109</v>
      </c>
      <c r="BY548">
        <v>9297.75</v>
      </c>
      <c r="BZ548" t="s">
        <v>90</v>
      </c>
      <c r="CA548" t="s">
        <v>1560</v>
      </c>
      <c r="CC548" t="s">
        <v>98</v>
      </c>
      <c r="CD548">
        <v>7945</v>
      </c>
      <c r="CE548" t="s">
        <v>149</v>
      </c>
      <c r="CI548">
        <v>1</v>
      </c>
      <c r="CJ548">
        <v>1</v>
      </c>
      <c r="CK548">
        <v>22</v>
      </c>
      <c r="CL548" t="s">
        <v>87</v>
      </c>
    </row>
    <row r="549" spans="1:90" x14ac:dyDescent="0.3">
      <c r="A549" t="s">
        <v>72</v>
      </c>
      <c r="B549" t="s">
        <v>73</v>
      </c>
      <c r="C549" t="s">
        <v>74</v>
      </c>
      <c r="E549" t="str">
        <f>"GAB2025166"</f>
        <v>GAB2025166</v>
      </c>
      <c r="F549" s="3">
        <v>45743</v>
      </c>
      <c r="G549">
        <v>202512</v>
      </c>
      <c r="H549" t="s">
        <v>97</v>
      </c>
      <c r="I549" t="s">
        <v>98</v>
      </c>
      <c r="J549" t="s">
        <v>99</v>
      </c>
      <c r="K549" t="s">
        <v>78</v>
      </c>
      <c r="L549" t="s">
        <v>238</v>
      </c>
      <c r="M549" t="s">
        <v>239</v>
      </c>
      <c r="N549" t="s">
        <v>1561</v>
      </c>
      <c r="O549" t="s">
        <v>82</v>
      </c>
      <c r="P549" t="str">
        <f>"INV-00116469 CT093454         "</f>
        <v xml:space="preserve">INV-00116469 CT093454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30.07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0.3</v>
      </c>
      <c r="BJ549">
        <v>2.2999999999999998</v>
      </c>
      <c r="BK549">
        <v>2.5</v>
      </c>
      <c r="BL549">
        <v>90.81</v>
      </c>
      <c r="BM549">
        <v>13.62</v>
      </c>
      <c r="BN549">
        <v>104.43</v>
      </c>
      <c r="BO549">
        <v>104.43</v>
      </c>
      <c r="BQ549" t="s">
        <v>1562</v>
      </c>
      <c r="BR549" t="s">
        <v>101</v>
      </c>
      <c r="BS549" s="3">
        <v>45744</v>
      </c>
      <c r="BT549" s="4">
        <v>0.41388888888888886</v>
      </c>
      <c r="BU549" t="s">
        <v>1563</v>
      </c>
      <c r="BV549" t="s">
        <v>109</v>
      </c>
      <c r="BY549">
        <v>11319.08</v>
      </c>
      <c r="BZ549" t="s">
        <v>90</v>
      </c>
      <c r="CA549" t="s">
        <v>1564</v>
      </c>
      <c r="CC549" t="s">
        <v>239</v>
      </c>
      <c r="CD549">
        <v>2001</v>
      </c>
      <c r="CE549" t="s">
        <v>129</v>
      </c>
      <c r="CF549" s="3">
        <v>45744</v>
      </c>
      <c r="CI549">
        <v>1</v>
      </c>
      <c r="CJ549">
        <v>1</v>
      </c>
      <c r="CK549">
        <v>21</v>
      </c>
      <c r="CL549" t="s">
        <v>87</v>
      </c>
    </row>
    <row r="550" spans="1:90" x14ac:dyDescent="0.3">
      <c r="A550" t="s">
        <v>72</v>
      </c>
      <c r="B550" t="s">
        <v>73</v>
      </c>
      <c r="C550" t="s">
        <v>74</v>
      </c>
      <c r="E550" t="str">
        <f>"GAB2025168"</f>
        <v>GAB2025168</v>
      </c>
      <c r="F550" s="3">
        <v>45743</v>
      </c>
      <c r="G550">
        <v>202512</v>
      </c>
      <c r="H550" t="s">
        <v>97</v>
      </c>
      <c r="I550" t="s">
        <v>98</v>
      </c>
      <c r="J550" t="s">
        <v>99</v>
      </c>
      <c r="K550" t="s">
        <v>78</v>
      </c>
      <c r="L550" t="s">
        <v>238</v>
      </c>
      <c r="M550" t="s">
        <v>239</v>
      </c>
      <c r="N550" t="s">
        <v>1565</v>
      </c>
      <c r="O550" t="s">
        <v>82</v>
      </c>
      <c r="P550" t="str">
        <f>"INV-00116471 CT092885         "</f>
        <v xml:space="preserve">INV-00116471 CT092885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42.08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0.3</v>
      </c>
      <c r="BJ550">
        <v>3.1</v>
      </c>
      <c r="BK550">
        <v>3.5</v>
      </c>
      <c r="BL550">
        <v>127.1</v>
      </c>
      <c r="BM550">
        <v>19.07</v>
      </c>
      <c r="BN550">
        <v>146.16999999999999</v>
      </c>
      <c r="BO550">
        <v>146.16999999999999</v>
      </c>
      <c r="BQ550" t="s">
        <v>1566</v>
      </c>
      <c r="BR550" t="s">
        <v>101</v>
      </c>
      <c r="BS550" s="3">
        <v>45744</v>
      </c>
      <c r="BT550" s="4">
        <v>0.34027777777777779</v>
      </c>
      <c r="BU550" t="s">
        <v>1567</v>
      </c>
      <c r="BV550" t="s">
        <v>109</v>
      </c>
      <c r="BY550">
        <v>15656.04</v>
      </c>
      <c r="BZ550" t="s">
        <v>90</v>
      </c>
      <c r="CA550" t="s">
        <v>1568</v>
      </c>
      <c r="CC550" t="s">
        <v>239</v>
      </c>
      <c r="CD550">
        <v>2040</v>
      </c>
      <c r="CE550" t="s">
        <v>237</v>
      </c>
      <c r="CF550" s="3">
        <v>45744</v>
      </c>
      <c r="CI550">
        <v>1</v>
      </c>
      <c r="CJ550">
        <v>1</v>
      </c>
      <c r="CK550">
        <v>21</v>
      </c>
      <c r="CL550" t="s">
        <v>87</v>
      </c>
    </row>
    <row r="551" spans="1:90" x14ac:dyDescent="0.3">
      <c r="A551" t="s">
        <v>72</v>
      </c>
      <c r="B551" t="s">
        <v>73</v>
      </c>
      <c r="C551" t="s">
        <v>74</v>
      </c>
      <c r="E551" t="str">
        <f>"GAB2025170"</f>
        <v>GAB2025170</v>
      </c>
      <c r="F551" s="3">
        <v>45743</v>
      </c>
      <c r="G551">
        <v>202512</v>
      </c>
      <c r="H551" t="s">
        <v>97</v>
      </c>
      <c r="I551" t="s">
        <v>98</v>
      </c>
      <c r="J551" t="s">
        <v>99</v>
      </c>
      <c r="K551" t="s">
        <v>78</v>
      </c>
      <c r="L551" t="s">
        <v>502</v>
      </c>
      <c r="M551" t="s">
        <v>503</v>
      </c>
      <c r="N551" t="s">
        <v>809</v>
      </c>
      <c r="O551" t="s">
        <v>82</v>
      </c>
      <c r="P551" t="str">
        <f>"inv-00034045 00034001 031402 0"</f>
        <v>inv-00034045 00034001 031402 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48.09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1</v>
      </c>
      <c r="BJ551">
        <v>3.8</v>
      </c>
      <c r="BK551">
        <v>4</v>
      </c>
      <c r="BL551">
        <v>145.25</v>
      </c>
      <c r="BM551">
        <v>21.79</v>
      </c>
      <c r="BN551">
        <v>167.04</v>
      </c>
      <c r="BO551">
        <v>167.04</v>
      </c>
      <c r="BQ551" t="s">
        <v>823</v>
      </c>
      <c r="BR551" t="s">
        <v>101</v>
      </c>
      <c r="BS551" s="3">
        <v>45744</v>
      </c>
      <c r="BT551" s="4">
        <v>0.53611111111111109</v>
      </c>
      <c r="BU551" t="s">
        <v>811</v>
      </c>
      <c r="BV551" t="s">
        <v>87</v>
      </c>
      <c r="BY551">
        <v>19200</v>
      </c>
      <c r="BZ551" t="s">
        <v>90</v>
      </c>
      <c r="CA551" t="s">
        <v>812</v>
      </c>
      <c r="CC551" t="s">
        <v>503</v>
      </c>
      <c r="CD551">
        <v>5213</v>
      </c>
      <c r="CE551" t="s">
        <v>859</v>
      </c>
      <c r="CF551" s="3">
        <v>45744</v>
      </c>
      <c r="CI551">
        <v>1</v>
      </c>
      <c r="CJ551">
        <v>1</v>
      </c>
      <c r="CK551">
        <v>21</v>
      </c>
      <c r="CL551" t="s">
        <v>87</v>
      </c>
    </row>
    <row r="552" spans="1:90" x14ac:dyDescent="0.3">
      <c r="A552" t="s">
        <v>72</v>
      </c>
      <c r="B552" t="s">
        <v>73</v>
      </c>
      <c r="C552" t="s">
        <v>74</v>
      </c>
      <c r="E552" t="str">
        <f>"GAB2025172"</f>
        <v>GAB2025172</v>
      </c>
      <c r="F552" s="3">
        <v>45743</v>
      </c>
      <c r="G552">
        <v>202512</v>
      </c>
      <c r="H552" t="s">
        <v>97</v>
      </c>
      <c r="I552" t="s">
        <v>98</v>
      </c>
      <c r="J552" t="s">
        <v>99</v>
      </c>
      <c r="K552" t="s">
        <v>78</v>
      </c>
      <c r="L552" t="s">
        <v>75</v>
      </c>
      <c r="M552" t="s">
        <v>76</v>
      </c>
      <c r="N552" t="s">
        <v>1569</v>
      </c>
      <c r="O552" t="s">
        <v>82</v>
      </c>
      <c r="P552" t="str">
        <f>"INV-00034046 031468           "</f>
        <v xml:space="preserve">INV-00034046 031468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30.07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1</v>
      </c>
      <c r="BJ552">
        <v>2.4</v>
      </c>
      <c r="BK552">
        <v>2.5</v>
      </c>
      <c r="BL552">
        <v>90.81</v>
      </c>
      <c r="BM552">
        <v>13.62</v>
      </c>
      <c r="BN552">
        <v>104.43</v>
      </c>
      <c r="BO552">
        <v>104.43</v>
      </c>
      <c r="BQ552" t="s">
        <v>210</v>
      </c>
      <c r="BR552" t="s">
        <v>101</v>
      </c>
      <c r="BS552" t="s">
        <v>83</v>
      </c>
      <c r="BY552">
        <v>12000</v>
      </c>
      <c r="BZ552" t="s">
        <v>90</v>
      </c>
      <c r="CC552" t="s">
        <v>76</v>
      </c>
      <c r="CD552">
        <v>4052</v>
      </c>
      <c r="CE552" t="s">
        <v>213</v>
      </c>
      <c r="CI552">
        <v>2</v>
      </c>
      <c r="CJ552" t="s">
        <v>83</v>
      </c>
      <c r="CK552">
        <v>21</v>
      </c>
      <c r="CL552" t="s">
        <v>87</v>
      </c>
    </row>
    <row r="553" spans="1:90" x14ac:dyDescent="0.3">
      <c r="A553" t="s">
        <v>72</v>
      </c>
      <c r="B553" t="s">
        <v>73</v>
      </c>
      <c r="C553" t="s">
        <v>74</v>
      </c>
      <c r="E553" t="str">
        <f>"GAB2025173"</f>
        <v>GAB2025173</v>
      </c>
      <c r="F553" s="3">
        <v>45743</v>
      </c>
      <c r="G553">
        <v>202512</v>
      </c>
      <c r="H553" t="s">
        <v>97</v>
      </c>
      <c r="I553" t="s">
        <v>98</v>
      </c>
      <c r="J553" t="s">
        <v>99</v>
      </c>
      <c r="K553" t="s">
        <v>78</v>
      </c>
      <c r="L553" t="s">
        <v>519</v>
      </c>
      <c r="M553" t="s">
        <v>520</v>
      </c>
      <c r="N553" t="s">
        <v>1570</v>
      </c>
      <c r="O553" t="s">
        <v>82</v>
      </c>
      <c r="P553" t="str">
        <f>"INV-00116486 CT093465         "</f>
        <v xml:space="preserve">INV-00116486 CT093465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48.09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1</v>
      </c>
      <c r="BJ553">
        <v>3.8</v>
      </c>
      <c r="BK553">
        <v>4</v>
      </c>
      <c r="BL553">
        <v>145.25</v>
      </c>
      <c r="BM553">
        <v>21.79</v>
      </c>
      <c r="BN553">
        <v>167.04</v>
      </c>
      <c r="BO553">
        <v>167.04</v>
      </c>
      <c r="BR553" t="s">
        <v>101</v>
      </c>
      <c r="BS553" s="3">
        <v>45744</v>
      </c>
      <c r="BT553" s="4">
        <v>0.43611111111111112</v>
      </c>
      <c r="BU553" t="s">
        <v>1571</v>
      </c>
      <c r="BV553" t="s">
        <v>109</v>
      </c>
      <c r="BY553">
        <v>19200</v>
      </c>
      <c r="BZ553" t="s">
        <v>90</v>
      </c>
      <c r="CA553" t="s">
        <v>1349</v>
      </c>
      <c r="CC553" t="s">
        <v>520</v>
      </c>
      <c r="CD553">
        <v>6001</v>
      </c>
      <c r="CE553" t="s">
        <v>213</v>
      </c>
      <c r="CF553" s="3">
        <v>45744</v>
      </c>
      <c r="CI553">
        <v>2</v>
      </c>
      <c r="CJ553">
        <v>1</v>
      </c>
      <c r="CK553">
        <v>21</v>
      </c>
      <c r="CL553" t="s">
        <v>87</v>
      </c>
    </row>
    <row r="554" spans="1:90" x14ac:dyDescent="0.3">
      <c r="A554" t="s">
        <v>72</v>
      </c>
      <c r="B554" t="s">
        <v>73</v>
      </c>
      <c r="C554" t="s">
        <v>74</v>
      </c>
      <c r="E554" t="str">
        <f>"GAB2025174"</f>
        <v>GAB2025174</v>
      </c>
      <c r="F554" s="3">
        <v>45743</v>
      </c>
      <c r="G554">
        <v>202512</v>
      </c>
      <c r="H554" t="s">
        <v>97</v>
      </c>
      <c r="I554" t="s">
        <v>98</v>
      </c>
      <c r="J554" t="s">
        <v>99</v>
      </c>
      <c r="K554" t="s">
        <v>78</v>
      </c>
      <c r="L554" t="s">
        <v>262</v>
      </c>
      <c r="M554" t="s">
        <v>263</v>
      </c>
      <c r="N554" t="s">
        <v>848</v>
      </c>
      <c r="O554" t="s">
        <v>82</v>
      </c>
      <c r="P554" t="str">
        <f>"INV-00116483 CT093461         "</f>
        <v xml:space="preserve">INV-00116483 CT093461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30.07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0.1</v>
      </c>
      <c r="BJ554">
        <v>2.1</v>
      </c>
      <c r="BK554">
        <v>2.5</v>
      </c>
      <c r="BL554">
        <v>90.81</v>
      </c>
      <c r="BM554">
        <v>13.62</v>
      </c>
      <c r="BN554">
        <v>104.43</v>
      </c>
      <c r="BO554">
        <v>104.43</v>
      </c>
      <c r="BQ554" t="s">
        <v>849</v>
      </c>
      <c r="BR554" t="s">
        <v>101</v>
      </c>
      <c r="BS554" s="3">
        <v>45744</v>
      </c>
      <c r="BT554" s="4">
        <v>0.41319444444444442</v>
      </c>
      <c r="BU554" t="s">
        <v>850</v>
      </c>
      <c r="BV554" t="s">
        <v>109</v>
      </c>
      <c r="BY554">
        <v>10704.54</v>
      </c>
      <c r="BZ554" t="s">
        <v>90</v>
      </c>
      <c r="CA554" t="s">
        <v>1572</v>
      </c>
      <c r="CC554" t="s">
        <v>263</v>
      </c>
      <c r="CD554" s="5" t="s">
        <v>852</v>
      </c>
      <c r="CE554" t="s">
        <v>137</v>
      </c>
      <c r="CF554" s="3">
        <v>45744</v>
      </c>
      <c r="CI554">
        <v>1</v>
      </c>
      <c r="CJ554">
        <v>1</v>
      </c>
      <c r="CK554">
        <v>21</v>
      </c>
      <c r="CL554" t="s">
        <v>87</v>
      </c>
    </row>
    <row r="555" spans="1:90" x14ac:dyDescent="0.3">
      <c r="A555" t="s">
        <v>72</v>
      </c>
      <c r="B555" t="s">
        <v>73</v>
      </c>
      <c r="C555" t="s">
        <v>74</v>
      </c>
      <c r="E555" t="str">
        <f>"GAB2025175"</f>
        <v>GAB2025175</v>
      </c>
      <c r="F555" s="3">
        <v>45743</v>
      </c>
      <c r="G555">
        <v>202512</v>
      </c>
      <c r="H555" t="s">
        <v>97</v>
      </c>
      <c r="I555" t="s">
        <v>98</v>
      </c>
      <c r="J555" t="s">
        <v>99</v>
      </c>
      <c r="K555" t="s">
        <v>78</v>
      </c>
      <c r="L555" t="s">
        <v>97</v>
      </c>
      <c r="M555" t="s">
        <v>98</v>
      </c>
      <c r="N555" t="s">
        <v>1443</v>
      </c>
      <c r="O555" t="s">
        <v>82</v>
      </c>
      <c r="P555" t="str">
        <f>"inv-00116482 CT093463         "</f>
        <v xml:space="preserve">inv-00116482 CT093463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18.79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0.4</v>
      </c>
      <c r="BJ555">
        <v>2.9</v>
      </c>
      <c r="BK555">
        <v>3</v>
      </c>
      <c r="BL555">
        <v>56.75</v>
      </c>
      <c r="BM555">
        <v>8.51</v>
      </c>
      <c r="BN555">
        <v>65.260000000000005</v>
      </c>
      <c r="BO555">
        <v>65.260000000000005</v>
      </c>
      <c r="BR555" t="s">
        <v>101</v>
      </c>
      <c r="BS555" s="3">
        <v>45744</v>
      </c>
      <c r="BT555" s="4">
        <v>0.75347222222222221</v>
      </c>
      <c r="BU555" t="s">
        <v>1573</v>
      </c>
      <c r="BV555" t="s">
        <v>87</v>
      </c>
      <c r="BW555" t="s">
        <v>1017</v>
      </c>
      <c r="BX555" t="s">
        <v>531</v>
      </c>
      <c r="BY555">
        <v>14502.52</v>
      </c>
      <c r="BZ555" t="s">
        <v>90</v>
      </c>
      <c r="CA555" t="s">
        <v>828</v>
      </c>
      <c r="CC555" t="s">
        <v>98</v>
      </c>
      <c r="CD555">
        <v>7700</v>
      </c>
      <c r="CE555" t="s">
        <v>1574</v>
      </c>
      <c r="CI555">
        <v>1</v>
      </c>
      <c r="CJ555">
        <v>1</v>
      </c>
      <c r="CK555">
        <v>22</v>
      </c>
      <c r="CL555" t="s">
        <v>87</v>
      </c>
    </row>
    <row r="556" spans="1:90" x14ac:dyDescent="0.3">
      <c r="A556" t="s">
        <v>72</v>
      </c>
      <c r="B556" t="s">
        <v>73</v>
      </c>
      <c r="C556" t="s">
        <v>74</v>
      </c>
      <c r="E556" t="str">
        <f>"GAB2025176"</f>
        <v>GAB2025176</v>
      </c>
      <c r="F556" s="3">
        <v>45743</v>
      </c>
      <c r="G556">
        <v>202512</v>
      </c>
      <c r="H556" t="s">
        <v>97</v>
      </c>
      <c r="I556" t="s">
        <v>98</v>
      </c>
      <c r="J556" t="s">
        <v>99</v>
      </c>
      <c r="K556" t="s">
        <v>78</v>
      </c>
      <c r="L556" t="s">
        <v>238</v>
      </c>
      <c r="M556" t="s">
        <v>239</v>
      </c>
      <c r="N556" t="s">
        <v>954</v>
      </c>
      <c r="O556" t="s">
        <v>82</v>
      </c>
      <c r="P556" t="str">
        <f>"INV-00116497 CT093468         "</f>
        <v xml:space="preserve">INV-00116497 CT093468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48.09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1</v>
      </c>
      <c r="BJ556">
        <v>3.8</v>
      </c>
      <c r="BK556">
        <v>4</v>
      </c>
      <c r="BL556">
        <v>145.25</v>
      </c>
      <c r="BM556">
        <v>21.79</v>
      </c>
      <c r="BN556">
        <v>167.04</v>
      </c>
      <c r="BO556">
        <v>167.04</v>
      </c>
      <c r="BQ556" t="s">
        <v>955</v>
      </c>
      <c r="BR556" t="s">
        <v>101</v>
      </c>
      <c r="BS556" t="s">
        <v>83</v>
      </c>
      <c r="BY556">
        <v>19200</v>
      </c>
      <c r="BZ556" t="s">
        <v>90</v>
      </c>
      <c r="CC556" t="s">
        <v>239</v>
      </c>
      <c r="CD556">
        <v>2021</v>
      </c>
      <c r="CE556" t="s">
        <v>213</v>
      </c>
      <c r="CI556">
        <v>1</v>
      </c>
      <c r="CJ556" t="s">
        <v>83</v>
      </c>
      <c r="CK556">
        <v>21</v>
      </c>
      <c r="CL556" t="s">
        <v>87</v>
      </c>
    </row>
    <row r="557" spans="1:90" x14ac:dyDescent="0.3">
      <c r="A557" t="s">
        <v>72</v>
      </c>
      <c r="B557" t="s">
        <v>73</v>
      </c>
      <c r="C557" t="s">
        <v>74</v>
      </c>
      <c r="E557" t="str">
        <f>"GAB2025177"</f>
        <v>GAB2025177</v>
      </c>
      <c r="F557" s="3">
        <v>45743</v>
      </c>
      <c r="G557">
        <v>202512</v>
      </c>
      <c r="H557" t="s">
        <v>97</v>
      </c>
      <c r="I557" t="s">
        <v>98</v>
      </c>
      <c r="J557" t="s">
        <v>99</v>
      </c>
      <c r="K557" t="s">
        <v>78</v>
      </c>
      <c r="L557" t="s">
        <v>97</v>
      </c>
      <c r="M557" t="s">
        <v>98</v>
      </c>
      <c r="N557" t="s">
        <v>220</v>
      </c>
      <c r="O557" t="s">
        <v>82</v>
      </c>
      <c r="P557" t="str">
        <f>"INV-00116498 CT093469         "</f>
        <v xml:space="preserve">INV-00116498 CT093469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18.79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0.1</v>
      </c>
      <c r="BJ557">
        <v>1.7</v>
      </c>
      <c r="BK557">
        <v>2</v>
      </c>
      <c r="BL557">
        <v>56.75</v>
      </c>
      <c r="BM557">
        <v>8.51</v>
      </c>
      <c r="BN557">
        <v>65.260000000000005</v>
      </c>
      <c r="BO557">
        <v>65.260000000000005</v>
      </c>
      <c r="BQ557" t="s">
        <v>221</v>
      </c>
      <c r="BR557" t="s">
        <v>101</v>
      </c>
      <c r="BS557" s="3">
        <v>45744</v>
      </c>
      <c r="BT557" s="4">
        <v>0.42638888888888887</v>
      </c>
      <c r="BU557" t="s">
        <v>990</v>
      </c>
      <c r="BV557" t="s">
        <v>109</v>
      </c>
      <c r="BY557">
        <v>8451.2999999999993</v>
      </c>
      <c r="BZ557" t="s">
        <v>90</v>
      </c>
      <c r="CA557" t="s">
        <v>962</v>
      </c>
      <c r="CC557" t="s">
        <v>98</v>
      </c>
      <c r="CD557">
        <v>7800</v>
      </c>
      <c r="CE557" t="s">
        <v>1575</v>
      </c>
      <c r="CI557">
        <v>1</v>
      </c>
      <c r="CJ557">
        <v>1</v>
      </c>
      <c r="CK557">
        <v>22</v>
      </c>
      <c r="CL557" t="s">
        <v>87</v>
      </c>
    </row>
    <row r="558" spans="1:90" x14ac:dyDescent="0.3">
      <c r="A558" t="s">
        <v>72</v>
      </c>
      <c r="B558" t="s">
        <v>73</v>
      </c>
      <c r="C558" t="s">
        <v>74</v>
      </c>
      <c r="E558" t="str">
        <f>"GAB2025178"</f>
        <v>GAB2025178</v>
      </c>
      <c r="F558" s="3">
        <v>45743</v>
      </c>
      <c r="G558">
        <v>202512</v>
      </c>
      <c r="H558" t="s">
        <v>97</v>
      </c>
      <c r="I558" t="s">
        <v>98</v>
      </c>
      <c r="J558" t="s">
        <v>99</v>
      </c>
      <c r="K558" t="s">
        <v>78</v>
      </c>
      <c r="L558" t="s">
        <v>97</v>
      </c>
      <c r="M558" t="s">
        <v>98</v>
      </c>
      <c r="N558" t="s">
        <v>1576</v>
      </c>
      <c r="O558" t="s">
        <v>82</v>
      </c>
      <c r="P558" t="str">
        <f>"INV-00116499 CT093470         "</f>
        <v xml:space="preserve">INV-00116499 CT093470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18.79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0.1</v>
      </c>
      <c r="BJ558">
        <v>2</v>
      </c>
      <c r="BK558">
        <v>2</v>
      </c>
      <c r="BL558">
        <v>56.75</v>
      </c>
      <c r="BM558">
        <v>8.51</v>
      </c>
      <c r="BN558">
        <v>65.260000000000005</v>
      </c>
      <c r="BO558">
        <v>65.260000000000005</v>
      </c>
      <c r="BQ558" t="s">
        <v>1577</v>
      </c>
      <c r="BR558" t="s">
        <v>101</v>
      </c>
      <c r="BS558" s="3">
        <v>45744</v>
      </c>
      <c r="BT558" s="4">
        <v>0.56388888888888888</v>
      </c>
      <c r="BU558" t="s">
        <v>1578</v>
      </c>
      <c r="BV558" t="s">
        <v>87</v>
      </c>
      <c r="BW558" t="s">
        <v>204</v>
      </c>
      <c r="BX558" t="s">
        <v>1579</v>
      </c>
      <c r="BY558">
        <v>9902.8799999999992</v>
      </c>
      <c r="BZ558" t="s">
        <v>90</v>
      </c>
      <c r="CA558" t="s">
        <v>1580</v>
      </c>
      <c r="CC558" t="s">
        <v>98</v>
      </c>
      <c r="CD558">
        <v>7708</v>
      </c>
      <c r="CE558" t="s">
        <v>137</v>
      </c>
      <c r="CI558">
        <v>1</v>
      </c>
      <c r="CJ558">
        <v>1</v>
      </c>
      <c r="CK558">
        <v>22</v>
      </c>
      <c r="CL558" t="s">
        <v>87</v>
      </c>
    </row>
    <row r="559" spans="1:90" x14ac:dyDescent="0.3">
      <c r="A559" t="s">
        <v>72</v>
      </c>
      <c r="B559" t="s">
        <v>73</v>
      </c>
      <c r="C559" t="s">
        <v>74</v>
      </c>
      <c r="E559" t="str">
        <f>"GAB2025181"</f>
        <v>GAB2025181</v>
      </c>
      <c r="F559" s="3">
        <v>45743</v>
      </c>
      <c r="G559">
        <v>202512</v>
      </c>
      <c r="H559" t="s">
        <v>97</v>
      </c>
      <c r="I559" t="s">
        <v>98</v>
      </c>
      <c r="J559" t="s">
        <v>99</v>
      </c>
      <c r="K559" t="s">
        <v>78</v>
      </c>
      <c r="L559" t="s">
        <v>130</v>
      </c>
      <c r="M559" t="s">
        <v>131</v>
      </c>
      <c r="N559" t="s">
        <v>1581</v>
      </c>
      <c r="O559" t="s">
        <v>82</v>
      </c>
      <c r="P559" t="str">
        <f>"INV-00034063 00034069 031480 0"</f>
        <v>INV-00034063 00034069 031480 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30.07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0.4</v>
      </c>
      <c r="BJ559">
        <v>2.2999999999999998</v>
      </c>
      <c r="BK559">
        <v>2.5</v>
      </c>
      <c r="BL559">
        <v>90.81</v>
      </c>
      <c r="BM559">
        <v>13.62</v>
      </c>
      <c r="BN559">
        <v>104.43</v>
      </c>
      <c r="BO559">
        <v>104.43</v>
      </c>
      <c r="BQ559" t="s">
        <v>640</v>
      </c>
      <c r="BR559" t="s">
        <v>101</v>
      </c>
      <c r="BS559" t="s">
        <v>83</v>
      </c>
      <c r="BY559">
        <v>11448.32</v>
      </c>
      <c r="BZ559" t="s">
        <v>90</v>
      </c>
      <c r="CC559" t="s">
        <v>131</v>
      </c>
      <c r="CD559" s="5" t="s">
        <v>1582</v>
      </c>
      <c r="CE559" t="s">
        <v>352</v>
      </c>
      <c r="CI559">
        <v>2</v>
      </c>
      <c r="CJ559" t="s">
        <v>83</v>
      </c>
      <c r="CK559">
        <v>21</v>
      </c>
      <c r="CL559" t="s">
        <v>87</v>
      </c>
    </row>
    <row r="560" spans="1:90" x14ac:dyDescent="0.3">
      <c r="A560" t="s">
        <v>72</v>
      </c>
      <c r="B560" t="s">
        <v>73</v>
      </c>
      <c r="C560" t="s">
        <v>74</v>
      </c>
      <c r="E560" t="str">
        <f>"GAB2025182"</f>
        <v>GAB2025182</v>
      </c>
      <c r="F560" s="3">
        <v>45743</v>
      </c>
      <c r="G560">
        <v>202512</v>
      </c>
      <c r="H560" t="s">
        <v>97</v>
      </c>
      <c r="I560" t="s">
        <v>98</v>
      </c>
      <c r="J560" t="s">
        <v>99</v>
      </c>
      <c r="K560" t="s">
        <v>78</v>
      </c>
      <c r="L560" t="s">
        <v>519</v>
      </c>
      <c r="M560" t="s">
        <v>520</v>
      </c>
      <c r="N560" t="s">
        <v>1347</v>
      </c>
      <c r="O560" t="s">
        <v>82</v>
      </c>
      <c r="P560" t="str">
        <f>"INV-00034061 00034064 031396 0"</f>
        <v>INV-00034061 00034064 031396 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30.07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1</v>
      </c>
      <c r="BJ560">
        <v>2.4</v>
      </c>
      <c r="BK560">
        <v>2.5</v>
      </c>
      <c r="BL560">
        <v>90.81</v>
      </c>
      <c r="BM560">
        <v>13.62</v>
      </c>
      <c r="BN560">
        <v>104.43</v>
      </c>
      <c r="BO560">
        <v>104.43</v>
      </c>
      <c r="BQ560" t="s">
        <v>640</v>
      </c>
      <c r="BR560" t="s">
        <v>101</v>
      </c>
      <c r="BS560" s="3">
        <v>45744</v>
      </c>
      <c r="BT560" s="4">
        <v>0.42152777777777778</v>
      </c>
      <c r="BU560" t="s">
        <v>1348</v>
      </c>
      <c r="BV560" t="s">
        <v>109</v>
      </c>
      <c r="BY560">
        <v>12000</v>
      </c>
      <c r="BZ560" t="s">
        <v>90</v>
      </c>
      <c r="CA560" t="s">
        <v>1349</v>
      </c>
      <c r="CC560" t="s">
        <v>520</v>
      </c>
      <c r="CD560">
        <v>6001</v>
      </c>
      <c r="CE560" t="s">
        <v>137</v>
      </c>
      <c r="CF560" s="3">
        <v>45744</v>
      </c>
      <c r="CI560">
        <v>2</v>
      </c>
      <c r="CJ560">
        <v>1</v>
      </c>
      <c r="CK560">
        <v>21</v>
      </c>
      <c r="CL560" t="s">
        <v>87</v>
      </c>
    </row>
    <row r="561" spans="1:90" x14ac:dyDescent="0.3">
      <c r="A561" t="s">
        <v>72</v>
      </c>
      <c r="B561" t="s">
        <v>73</v>
      </c>
      <c r="C561" t="s">
        <v>74</v>
      </c>
      <c r="E561" t="str">
        <f>"GAB2025183"</f>
        <v>GAB2025183</v>
      </c>
      <c r="F561" s="3">
        <v>45743</v>
      </c>
      <c r="G561">
        <v>202512</v>
      </c>
      <c r="H561" t="s">
        <v>97</v>
      </c>
      <c r="I561" t="s">
        <v>98</v>
      </c>
      <c r="J561" t="s">
        <v>99</v>
      </c>
      <c r="K561" t="s">
        <v>78</v>
      </c>
      <c r="L561" t="s">
        <v>262</v>
      </c>
      <c r="M561" t="s">
        <v>263</v>
      </c>
      <c r="N561" t="s">
        <v>856</v>
      </c>
      <c r="O561" t="s">
        <v>82</v>
      </c>
      <c r="P561" t="str">
        <f>"INV-00034065 031351           "</f>
        <v xml:space="preserve">INV-00034065 031351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36.08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0.1</v>
      </c>
      <c r="BJ561">
        <v>2.8</v>
      </c>
      <c r="BK561">
        <v>3</v>
      </c>
      <c r="BL561">
        <v>108.96</v>
      </c>
      <c r="BM561">
        <v>16.34</v>
      </c>
      <c r="BN561">
        <v>125.3</v>
      </c>
      <c r="BO561">
        <v>125.3</v>
      </c>
      <c r="BQ561" t="s">
        <v>356</v>
      </c>
      <c r="BR561" t="s">
        <v>101</v>
      </c>
      <c r="BS561" s="3">
        <v>45744</v>
      </c>
      <c r="BT561" s="4">
        <v>0.29583333333333334</v>
      </c>
      <c r="BU561" t="s">
        <v>1583</v>
      </c>
      <c r="BV561" t="s">
        <v>109</v>
      </c>
      <c r="BY561">
        <v>14024.4</v>
      </c>
      <c r="BZ561" t="s">
        <v>90</v>
      </c>
      <c r="CA561" t="s">
        <v>476</v>
      </c>
      <c r="CC561" t="s">
        <v>263</v>
      </c>
      <c r="CD561" s="5" t="s">
        <v>444</v>
      </c>
      <c r="CE561" t="s">
        <v>149</v>
      </c>
      <c r="CF561" s="3">
        <v>45744</v>
      </c>
      <c r="CI561">
        <v>1</v>
      </c>
      <c r="CJ561">
        <v>1</v>
      </c>
      <c r="CK561">
        <v>21</v>
      </c>
      <c r="CL561" t="s">
        <v>87</v>
      </c>
    </row>
    <row r="562" spans="1:90" x14ac:dyDescent="0.3">
      <c r="A562" t="s">
        <v>72</v>
      </c>
      <c r="B562" t="s">
        <v>73</v>
      </c>
      <c r="C562" t="s">
        <v>74</v>
      </c>
      <c r="E562" t="str">
        <f>"GAB2025184"</f>
        <v>GAB2025184</v>
      </c>
      <c r="F562" s="3">
        <v>45743</v>
      </c>
      <c r="G562">
        <v>202512</v>
      </c>
      <c r="H562" t="s">
        <v>97</v>
      </c>
      <c r="I562" t="s">
        <v>98</v>
      </c>
      <c r="J562" t="s">
        <v>99</v>
      </c>
      <c r="K562" t="s">
        <v>78</v>
      </c>
      <c r="L562" t="s">
        <v>75</v>
      </c>
      <c r="M562" t="s">
        <v>76</v>
      </c>
      <c r="N562" t="s">
        <v>1037</v>
      </c>
      <c r="O562" t="s">
        <v>82</v>
      </c>
      <c r="P562" t="str">
        <f>"INV-00034066 031368           "</f>
        <v xml:space="preserve">INV-00034066 031368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30.07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1</v>
      </c>
      <c r="BJ562">
        <v>2.4</v>
      </c>
      <c r="BK562">
        <v>2.5</v>
      </c>
      <c r="BL562">
        <v>90.81</v>
      </c>
      <c r="BM562">
        <v>13.62</v>
      </c>
      <c r="BN562">
        <v>104.43</v>
      </c>
      <c r="BO562">
        <v>104.43</v>
      </c>
      <c r="BR562" t="s">
        <v>101</v>
      </c>
      <c r="BS562" t="s">
        <v>83</v>
      </c>
      <c r="BY562">
        <v>12000</v>
      </c>
      <c r="BZ562" t="s">
        <v>90</v>
      </c>
      <c r="CC562" t="s">
        <v>76</v>
      </c>
      <c r="CD562">
        <v>4001</v>
      </c>
      <c r="CE562" t="s">
        <v>137</v>
      </c>
      <c r="CI562">
        <v>2</v>
      </c>
      <c r="CJ562" t="s">
        <v>83</v>
      </c>
      <c r="CK562">
        <v>21</v>
      </c>
      <c r="CL562" t="s">
        <v>87</v>
      </c>
    </row>
    <row r="563" spans="1:90" x14ac:dyDescent="0.3">
      <c r="A563" t="s">
        <v>72</v>
      </c>
      <c r="B563" t="s">
        <v>73</v>
      </c>
      <c r="C563" t="s">
        <v>74</v>
      </c>
      <c r="E563" t="str">
        <f>"GAB2025185"</f>
        <v>GAB2025185</v>
      </c>
      <c r="F563" s="3">
        <v>45743</v>
      </c>
      <c r="G563">
        <v>202512</v>
      </c>
      <c r="H563" t="s">
        <v>97</v>
      </c>
      <c r="I563" t="s">
        <v>98</v>
      </c>
      <c r="J563" t="s">
        <v>99</v>
      </c>
      <c r="K563" t="s">
        <v>78</v>
      </c>
      <c r="L563" t="s">
        <v>112</v>
      </c>
      <c r="M563" t="s">
        <v>113</v>
      </c>
      <c r="N563" t="s">
        <v>1584</v>
      </c>
      <c r="O563" t="s">
        <v>82</v>
      </c>
      <c r="P563" t="str">
        <f>"INV-00034067 031485           "</f>
        <v xml:space="preserve">INV-00034067 031485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30.07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1</v>
      </c>
      <c r="BJ563">
        <v>2.4</v>
      </c>
      <c r="BK563">
        <v>2.5</v>
      </c>
      <c r="BL563">
        <v>90.81</v>
      </c>
      <c r="BM563">
        <v>13.62</v>
      </c>
      <c r="BN563">
        <v>104.43</v>
      </c>
      <c r="BO563">
        <v>104.43</v>
      </c>
      <c r="BQ563" t="s">
        <v>1585</v>
      </c>
      <c r="BR563" t="s">
        <v>101</v>
      </c>
      <c r="BS563" s="3">
        <v>45744</v>
      </c>
      <c r="BT563" s="4">
        <v>0.42986111111111114</v>
      </c>
      <c r="BU563" t="s">
        <v>1586</v>
      </c>
      <c r="BV563" t="s">
        <v>109</v>
      </c>
      <c r="BY563">
        <v>12000</v>
      </c>
      <c r="BZ563" t="s">
        <v>90</v>
      </c>
      <c r="CA563" t="s">
        <v>596</v>
      </c>
      <c r="CC563" t="s">
        <v>113</v>
      </c>
      <c r="CD563">
        <v>9301</v>
      </c>
      <c r="CE563" t="s">
        <v>149</v>
      </c>
      <c r="CI563">
        <v>2</v>
      </c>
      <c r="CJ563">
        <v>1</v>
      </c>
      <c r="CK563">
        <v>21</v>
      </c>
      <c r="CL563" t="s">
        <v>87</v>
      </c>
    </row>
    <row r="564" spans="1:90" x14ac:dyDescent="0.3">
      <c r="A564" t="s">
        <v>72</v>
      </c>
      <c r="B564" t="s">
        <v>73</v>
      </c>
      <c r="C564" t="s">
        <v>74</v>
      </c>
      <c r="E564" t="str">
        <f>"GAB2025186"</f>
        <v>GAB2025186</v>
      </c>
      <c r="F564" s="3">
        <v>45743</v>
      </c>
      <c r="G564">
        <v>202512</v>
      </c>
      <c r="H564" t="s">
        <v>97</v>
      </c>
      <c r="I564" t="s">
        <v>98</v>
      </c>
      <c r="J564" t="s">
        <v>99</v>
      </c>
      <c r="K564" t="s">
        <v>78</v>
      </c>
      <c r="L564" t="s">
        <v>491</v>
      </c>
      <c r="M564" t="s">
        <v>492</v>
      </c>
      <c r="N564" t="s">
        <v>748</v>
      </c>
      <c r="O564" t="s">
        <v>82</v>
      </c>
      <c r="P564" t="str">
        <f>"INV-00034068 031135           "</f>
        <v xml:space="preserve">INV-00034068 031135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24.06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1</v>
      </c>
      <c r="BI564">
        <v>0.2</v>
      </c>
      <c r="BJ564">
        <v>2</v>
      </c>
      <c r="BK564">
        <v>2</v>
      </c>
      <c r="BL564">
        <v>72.66</v>
      </c>
      <c r="BM564">
        <v>10.9</v>
      </c>
      <c r="BN564">
        <v>83.56</v>
      </c>
      <c r="BO564">
        <v>83.56</v>
      </c>
      <c r="BQ564" t="s">
        <v>749</v>
      </c>
      <c r="BR564" t="s">
        <v>101</v>
      </c>
      <c r="BS564" s="3">
        <v>45744</v>
      </c>
      <c r="BT564" s="4">
        <v>0.38472222222222224</v>
      </c>
      <c r="BU564" t="s">
        <v>1587</v>
      </c>
      <c r="BV564" t="s">
        <v>109</v>
      </c>
      <c r="BY564">
        <v>9944.8700000000008</v>
      </c>
      <c r="BZ564" t="s">
        <v>90</v>
      </c>
      <c r="CA564" t="s">
        <v>1588</v>
      </c>
      <c r="CC564" t="s">
        <v>492</v>
      </c>
      <c r="CD564">
        <v>1709</v>
      </c>
      <c r="CE564" t="s">
        <v>137</v>
      </c>
      <c r="CF564" s="3">
        <v>45745</v>
      </c>
      <c r="CI564">
        <v>1</v>
      </c>
      <c r="CJ564">
        <v>1</v>
      </c>
      <c r="CK564">
        <v>21</v>
      </c>
      <c r="CL564" t="s">
        <v>87</v>
      </c>
    </row>
    <row r="565" spans="1:90" x14ac:dyDescent="0.3">
      <c r="A565" t="s">
        <v>72</v>
      </c>
      <c r="B565" t="s">
        <v>73</v>
      </c>
      <c r="C565" t="s">
        <v>74</v>
      </c>
      <c r="E565" t="str">
        <f>"GAB2025187"</f>
        <v>GAB2025187</v>
      </c>
      <c r="F565" s="3">
        <v>45743</v>
      </c>
      <c r="G565">
        <v>202512</v>
      </c>
      <c r="H565" t="s">
        <v>97</v>
      </c>
      <c r="I565" t="s">
        <v>98</v>
      </c>
      <c r="J565" t="s">
        <v>99</v>
      </c>
      <c r="K565" t="s">
        <v>78</v>
      </c>
      <c r="L565" t="s">
        <v>79</v>
      </c>
      <c r="M565" t="s">
        <v>80</v>
      </c>
      <c r="N565" t="s">
        <v>106</v>
      </c>
      <c r="O565" t="s">
        <v>82</v>
      </c>
      <c r="P565" t="str">
        <f>"INV-00116503 CT093477         "</f>
        <v xml:space="preserve">INV-00116503 CT093477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30.07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1</v>
      </c>
      <c r="BJ565">
        <v>2.2999999999999998</v>
      </c>
      <c r="BK565">
        <v>2.5</v>
      </c>
      <c r="BL565">
        <v>90.81</v>
      </c>
      <c r="BM565">
        <v>13.62</v>
      </c>
      <c r="BN565">
        <v>104.43</v>
      </c>
      <c r="BO565">
        <v>104.43</v>
      </c>
      <c r="BQ565" t="s">
        <v>107</v>
      </c>
      <c r="BR565" t="s">
        <v>101</v>
      </c>
      <c r="BS565" s="3">
        <v>45744</v>
      </c>
      <c r="BT565" s="4">
        <v>0.35555555555555557</v>
      </c>
      <c r="BU565" t="s">
        <v>1589</v>
      </c>
      <c r="BV565" t="s">
        <v>109</v>
      </c>
      <c r="BY565">
        <v>11549.52</v>
      </c>
      <c r="BZ565" t="s">
        <v>90</v>
      </c>
      <c r="CA565" t="s">
        <v>1590</v>
      </c>
      <c r="CC565" t="s">
        <v>80</v>
      </c>
      <c r="CD565" s="5" t="s">
        <v>92</v>
      </c>
      <c r="CE565" t="s">
        <v>1251</v>
      </c>
      <c r="CF565" s="3">
        <v>45744</v>
      </c>
      <c r="CI565">
        <v>1</v>
      </c>
      <c r="CJ565">
        <v>1</v>
      </c>
      <c r="CK565">
        <v>21</v>
      </c>
      <c r="CL565" t="s">
        <v>87</v>
      </c>
    </row>
    <row r="566" spans="1:90" x14ac:dyDescent="0.3">
      <c r="A566" t="s">
        <v>72</v>
      </c>
      <c r="B566" t="s">
        <v>73</v>
      </c>
      <c r="C566" t="s">
        <v>74</v>
      </c>
      <c r="E566" t="str">
        <f>"GAB2025189"</f>
        <v>GAB2025189</v>
      </c>
      <c r="F566" s="3">
        <v>45743</v>
      </c>
      <c r="G566">
        <v>202512</v>
      </c>
      <c r="H566" t="s">
        <v>97</v>
      </c>
      <c r="I566" t="s">
        <v>98</v>
      </c>
      <c r="J566" t="s">
        <v>99</v>
      </c>
      <c r="K566" t="s">
        <v>78</v>
      </c>
      <c r="L566" t="s">
        <v>75</v>
      </c>
      <c r="M566" t="s">
        <v>76</v>
      </c>
      <c r="N566" t="s">
        <v>871</v>
      </c>
      <c r="O566" t="s">
        <v>82</v>
      </c>
      <c r="P566" t="str">
        <f>"INV-00034060 031348           "</f>
        <v xml:space="preserve">INV-00034060 031348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30.07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</v>
      </c>
      <c r="BI566">
        <v>1</v>
      </c>
      <c r="BJ566">
        <v>2.4</v>
      </c>
      <c r="BK566">
        <v>2.5</v>
      </c>
      <c r="BL566">
        <v>90.81</v>
      </c>
      <c r="BM566">
        <v>13.62</v>
      </c>
      <c r="BN566">
        <v>104.43</v>
      </c>
      <c r="BO566">
        <v>104.43</v>
      </c>
      <c r="BQ566" t="s">
        <v>872</v>
      </c>
      <c r="BR566" t="s">
        <v>101</v>
      </c>
      <c r="BS566" t="s">
        <v>83</v>
      </c>
      <c r="BY566">
        <v>12000</v>
      </c>
      <c r="BZ566" t="s">
        <v>90</v>
      </c>
      <c r="CC566" t="s">
        <v>76</v>
      </c>
      <c r="CD566">
        <v>3629</v>
      </c>
      <c r="CE566" t="s">
        <v>149</v>
      </c>
      <c r="CI566">
        <v>2</v>
      </c>
      <c r="CJ566" t="s">
        <v>83</v>
      </c>
      <c r="CK566">
        <v>21</v>
      </c>
      <c r="CL566" t="s">
        <v>87</v>
      </c>
    </row>
    <row r="567" spans="1:90" x14ac:dyDescent="0.3">
      <c r="A567" t="s">
        <v>72</v>
      </c>
      <c r="B567" t="s">
        <v>73</v>
      </c>
      <c r="C567" t="s">
        <v>74</v>
      </c>
      <c r="E567" t="str">
        <f>"GAB2025191"</f>
        <v>GAB2025191</v>
      </c>
      <c r="F567" s="3">
        <v>45743</v>
      </c>
      <c r="G567">
        <v>202512</v>
      </c>
      <c r="H567" t="s">
        <v>97</v>
      </c>
      <c r="I567" t="s">
        <v>98</v>
      </c>
      <c r="J567" t="s">
        <v>99</v>
      </c>
      <c r="K567" t="s">
        <v>78</v>
      </c>
      <c r="L567" t="s">
        <v>79</v>
      </c>
      <c r="M567" t="s">
        <v>80</v>
      </c>
      <c r="N567" t="s">
        <v>119</v>
      </c>
      <c r="O567" t="s">
        <v>82</v>
      </c>
      <c r="P567" t="str">
        <f>"ATT:BIANKA                    "</f>
        <v xml:space="preserve">ATT:BIANKA         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30.07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0.1</v>
      </c>
      <c r="BJ567">
        <v>2.2000000000000002</v>
      </c>
      <c r="BK567">
        <v>2.5</v>
      </c>
      <c r="BL567">
        <v>90.81</v>
      </c>
      <c r="BM567">
        <v>13.62</v>
      </c>
      <c r="BN567">
        <v>104.43</v>
      </c>
      <c r="BO567">
        <v>104.43</v>
      </c>
      <c r="BQ567" t="s">
        <v>629</v>
      </c>
      <c r="BR567" t="s">
        <v>101</v>
      </c>
      <c r="BS567" s="3">
        <v>45744</v>
      </c>
      <c r="BT567" s="4">
        <v>0.33263888888888887</v>
      </c>
      <c r="BU567" t="s">
        <v>1384</v>
      </c>
      <c r="BV567" t="s">
        <v>109</v>
      </c>
      <c r="BY567">
        <v>11059.49</v>
      </c>
      <c r="BZ567" t="s">
        <v>90</v>
      </c>
      <c r="CA567" t="s">
        <v>91</v>
      </c>
      <c r="CC567" t="s">
        <v>80</v>
      </c>
      <c r="CD567" s="5" t="s">
        <v>92</v>
      </c>
      <c r="CE567" t="s">
        <v>123</v>
      </c>
      <c r="CF567" s="3">
        <v>45744</v>
      </c>
      <c r="CI567">
        <v>1</v>
      </c>
      <c r="CJ567">
        <v>1</v>
      </c>
      <c r="CK567">
        <v>21</v>
      </c>
      <c r="CL567" t="s">
        <v>87</v>
      </c>
    </row>
    <row r="568" spans="1:90" x14ac:dyDescent="0.3">
      <c r="A568" t="s">
        <v>72</v>
      </c>
      <c r="B568" t="s">
        <v>73</v>
      </c>
      <c r="C568" t="s">
        <v>74</v>
      </c>
      <c r="E568" t="str">
        <f>"GAB2025195"</f>
        <v>GAB2025195</v>
      </c>
      <c r="F568" s="3">
        <v>45743</v>
      </c>
      <c r="G568">
        <v>202512</v>
      </c>
      <c r="H568" t="s">
        <v>97</v>
      </c>
      <c r="I568" t="s">
        <v>98</v>
      </c>
      <c r="J568" t="s">
        <v>99</v>
      </c>
      <c r="K568" t="s">
        <v>78</v>
      </c>
      <c r="L568" t="s">
        <v>262</v>
      </c>
      <c r="M568" t="s">
        <v>263</v>
      </c>
      <c r="N568" t="s">
        <v>441</v>
      </c>
      <c r="O568" t="s">
        <v>82</v>
      </c>
      <c r="P568" t="str">
        <f>"INV-00116506 CT093479         "</f>
        <v xml:space="preserve">INV-00116506 CT093479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30.07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1</v>
      </c>
      <c r="BI568">
        <v>0.2</v>
      </c>
      <c r="BJ568">
        <v>2.1</v>
      </c>
      <c r="BK568">
        <v>2.5</v>
      </c>
      <c r="BL568">
        <v>90.81</v>
      </c>
      <c r="BM568">
        <v>13.62</v>
      </c>
      <c r="BN568">
        <v>104.43</v>
      </c>
      <c r="BO568">
        <v>104.43</v>
      </c>
      <c r="BQ568" t="s">
        <v>362</v>
      </c>
      <c r="BR568" t="s">
        <v>101</v>
      </c>
      <c r="BS568" s="3">
        <v>45744</v>
      </c>
      <c r="BT568" s="4">
        <v>0.35555555555555557</v>
      </c>
      <c r="BU568" t="s">
        <v>442</v>
      </c>
      <c r="BV568" t="s">
        <v>109</v>
      </c>
      <c r="BY568">
        <v>10626.7</v>
      </c>
      <c r="BZ568" t="s">
        <v>90</v>
      </c>
      <c r="CA568" t="s">
        <v>1591</v>
      </c>
      <c r="CC568" t="s">
        <v>263</v>
      </c>
      <c r="CD568" s="5" t="s">
        <v>444</v>
      </c>
      <c r="CE568" t="s">
        <v>149</v>
      </c>
      <c r="CF568" s="3">
        <v>45744</v>
      </c>
      <c r="CI568">
        <v>1</v>
      </c>
      <c r="CJ568">
        <v>1</v>
      </c>
      <c r="CK568">
        <v>21</v>
      </c>
      <c r="CL568" t="s">
        <v>87</v>
      </c>
    </row>
    <row r="569" spans="1:90" x14ac:dyDescent="0.3">
      <c r="A569" t="s">
        <v>72</v>
      </c>
      <c r="B569" t="s">
        <v>73</v>
      </c>
      <c r="C569" t="s">
        <v>74</v>
      </c>
      <c r="E569" t="str">
        <f>"GAB2025196"</f>
        <v>GAB2025196</v>
      </c>
      <c r="F569" s="3">
        <v>45743</v>
      </c>
      <c r="G569">
        <v>202512</v>
      </c>
      <c r="H569" t="s">
        <v>97</v>
      </c>
      <c r="I569" t="s">
        <v>98</v>
      </c>
      <c r="J569" t="s">
        <v>99</v>
      </c>
      <c r="K569" t="s">
        <v>78</v>
      </c>
      <c r="L569" t="s">
        <v>533</v>
      </c>
      <c r="M569" t="s">
        <v>534</v>
      </c>
      <c r="N569" t="s">
        <v>535</v>
      </c>
      <c r="O569" t="s">
        <v>82</v>
      </c>
      <c r="P569" t="str">
        <f>"INV-00116505 CT093480         "</f>
        <v xml:space="preserve">INV-00116505 CT093480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162.37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1</v>
      </c>
      <c r="BI569">
        <v>0.1</v>
      </c>
      <c r="BJ569">
        <v>7.5</v>
      </c>
      <c r="BK569">
        <v>7.5</v>
      </c>
      <c r="BL569">
        <v>490.39</v>
      </c>
      <c r="BM569">
        <v>73.56</v>
      </c>
      <c r="BN569">
        <v>563.95000000000005</v>
      </c>
      <c r="BO569">
        <v>563.95000000000005</v>
      </c>
      <c r="BQ569" t="s">
        <v>536</v>
      </c>
      <c r="BR569" t="s">
        <v>101</v>
      </c>
      <c r="BS569" s="3">
        <v>45744</v>
      </c>
      <c r="BT569" s="4">
        <v>0.4597222222222222</v>
      </c>
      <c r="BU569" t="s">
        <v>537</v>
      </c>
      <c r="BV569" t="s">
        <v>109</v>
      </c>
      <c r="BY569">
        <v>37665.599999999999</v>
      </c>
      <c r="BZ569" t="s">
        <v>90</v>
      </c>
      <c r="CA569" t="s">
        <v>538</v>
      </c>
      <c r="CC569" t="s">
        <v>534</v>
      </c>
      <c r="CD569">
        <v>2515</v>
      </c>
      <c r="CE569" t="s">
        <v>149</v>
      </c>
      <c r="CF569" s="3">
        <v>45744</v>
      </c>
      <c r="CI569">
        <v>1</v>
      </c>
      <c r="CJ569">
        <v>1</v>
      </c>
      <c r="CK569">
        <v>23</v>
      </c>
      <c r="CL569" t="s">
        <v>87</v>
      </c>
    </row>
    <row r="570" spans="1:90" x14ac:dyDescent="0.3">
      <c r="A570" t="s">
        <v>72</v>
      </c>
      <c r="B570" t="s">
        <v>73</v>
      </c>
      <c r="C570" t="s">
        <v>74</v>
      </c>
      <c r="E570" t="str">
        <f>"GAB2025197"</f>
        <v>GAB2025197</v>
      </c>
      <c r="F570" s="3">
        <v>45743</v>
      </c>
      <c r="G570">
        <v>202512</v>
      </c>
      <c r="H570" t="s">
        <v>97</v>
      </c>
      <c r="I570" t="s">
        <v>98</v>
      </c>
      <c r="J570" t="s">
        <v>99</v>
      </c>
      <c r="K570" t="s">
        <v>78</v>
      </c>
      <c r="L570" t="s">
        <v>238</v>
      </c>
      <c r="M570" t="s">
        <v>239</v>
      </c>
      <c r="N570" t="s">
        <v>1366</v>
      </c>
      <c r="O570" t="s">
        <v>82</v>
      </c>
      <c r="P570" t="str">
        <f>"INV-00034079 031494           "</f>
        <v xml:space="preserve">INV-00034079 031494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30.07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1</v>
      </c>
      <c r="BJ570">
        <v>2.4</v>
      </c>
      <c r="BK570">
        <v>2.5</v>
      </c>
      <c r="BL570">
        <v>90.81</v>
      </c>
      <c r="BM570">
        <v>13.62</v>
      </c>
      <c r="BN570">
        <v>104.43</v>
      </c>
      <c r="BO570">
        <v>104.43</v>
      </c>
      <c r="BQ570" t="s">
        <v>1592</v>
      </c>
      <c r="BR570" t="s">
        <v>101</v>
      </c>
      <c r="BS570" s="3">
        <v>45744</v>
      </c>
      <c r="BT570" s="4">
        <v>0.37152777777777779</v>
      </c>
      <c r="BU570" t="s">
        <v>1368</v>
      </c>
      <c r="BV570" t="s">
        <v>109</v>
      </c>
      <c r="BY570">
        <v>12000</v>
      </c>
      <c r="BZ570" t="s">
        <v>90</v>
      </c>
      <c r="CA570" t="s">
        <v>1369</v>
      </c>
      <c r="CC570" t="s">
        <v>239</v>
      </c>
      <c r="CD570">
        <v>2001</v>
      </c>
      <c r="CE570" t="s">
        <v>137</v>
      </c>
      <c r="CF570" s="3">
        <v>45744</v>
      </c>
      <c r="CI570">
        <v>1</v>
      </c>
      <c r="CJ570">
        <v>1</v>
      </c>
      <c r="CK570">
        <v>21</v>
      </c>
      <c r="CL570" t="s">
        <v>87</v>
      </c>
    </row>
    <row r="571" spans="1:90" x14ac:dyDescent="0.3">
      <c r="A571" t="s">
        <v>72</v>
      </c>
      <c r="B571" t="s">
        <v>73</v>
      </c>
      <c r="C571" t="s">
        <v>74</v>
      </c>
      <c r="E571" t="str">
        <f>"GAB2025200"</f>
        <v>GAB2025200</v>
      </c>
      <c r="F571" s="3">
        <v>45743</v>
      </c>
      <c r="G571">
        <v>202512</v>
      </c>
      <c r="H571" t="s">
        <v>97</v>
      </c>
      <c r="I571" t="s">
        <v>98</v>
      </c>
      <c r="J571" t="s">
        <v>99</v>
      </c>
      <c r="K571" t="s">
        <v>78</v>
      </c>
      <c r="L571" t="s">
        <v>262</v>
      </c>
      <c r="M571" t="s">
        <v>263</v>
      </c>
      <c r="N571" t="s">
        <v>642</v>
      </c>
      <c r="O571" t="s">
        <v>82</v>
      </c>
      <c r="P571" t="str">
        <f>"INV-00034080 031479           "</f>
        <v xml:space="preserve">INV-00034080 031479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24.06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0.3</v>
      </c>
      <c r="BJ571">
        <v>1.7</v>
      </c>
      <c r="BK571">
        <v>2</v>
      </c>
      <c r="BL571">
        <v>72.66</v>
      </c>
      <c r="BM571">
        <v>10.9</v>
      </c>
      <c r="BN571">
        <v>83.56</v>
      </c>
      <c r="BO571">
        <v>83.56</v>
      </c>
      <c r="BQ571" t="s">
        <v>643</v>
      </c>
      <c r="BR571" t="s">
        <v>101</v>
      </c>
      <c r="BS571" s="3">
        <v>45744</v>
      </c>
      <c r="BT571" s="4">
        <v>0.33958333333333335</v>
      </c>
      <c r="BU571" t="s">
        <v>1593</v>
      </c>
      <c r="BV571" t="s">
        <v>109</v>
      </c>
      <c r="BY571">
        <v>8709.1</v>
      </c>
      <c r="BZ571" t="s">
        <v>90</v>
      </c>
      <c r="CA571" t="s">
        <v>476</v>
      </c>
      <c r="CC571" t="s">
        <v>263</v>
      </c>
      <c r="CD571" s="5" t="s">
        <v>444</v>
      </c>
      <c r="CE571" t="s">
        <v>1594</v>
      </c>
      <c r="CF571" s="3">
        <v>45744</v>
      </c>
      <c r="CI571">
        <v>1</v>
      </c>
      <c r="CJ571">
        <v>1</v>
      </c>
      <c r="CK571">
        <v>21</v>
      </c>
      <c r="CL571" t="s">
        <v>87</v>
      </c>
    </row>
    <row r="572" spans="1:90" x14ac:dyDescent="0.3">
      <c r="A572" t="s">
        <v>72</v>
      </c>
      <c r="B572" t="s">
        <v>73</v>
      </c>
      <c r="C572" t="s">
        <v>74</v>
      </c>
      <c r="E572" t="str">
        <f>"GAB2025201"</f>
        <v>GAB2025201</v>
      </c>
      <c r="F572" s="3">
        <v>45743</v>
      </c>
      <c r="G572">
        <v>202512</v>
      </c>
      <c r="H572" t="s">
        <v>97</v>
      </c>
      <c r="I572" t="s">
        <v>98</v>
      </c>
      <c r="J572" t="s">
        <v>99</v>
      </c>
      <c r="K572" t="s">
        <v>78</v>
      </c>
      <c r="L572" t="s">
        <v>238</v>
      </c>
      <c r="M572" t="s">
        <v>239</v>
      </c>
      <c r="N572" t="s">
        <v>1013</v>
      </c>
      <c r="O572" t="s">
        <v>82</v>
      </c>
      <c r="P572" t="str">
        <f>"INV-00034081 031495           "</f>
        <v xml:space="preserve">INV-00034081 031495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30.07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0.3</v>
      </c>
      <c r="BJ572">
        <v>2.5</v>
      </c>
      <c r="BK572">
        <v>2.5</v>
      </c>
      <c r="BL572">
        <v>90.81</v>
      </c>
      <c r="BM572">
        <v>13.62</v>
      </c>
      <c r="BN572">
        <v>104.43</v>
      </c>
      <c r="BO572">
        <v>104.43</v>
      </c>
      <c r="BQ572" t="s">
        <v>1595</v>
      </c>
      <c r="BR572" t="s">
        <v>101</v>
      </c>
      <c r="BS572" s="3">
        <v>45744</v>
      </c>
      <c r="BT572" s="4">
        <v>0.33124999999999999</v>
      </c>
      <c r="BU572" t="s">
        <v>1324</v>
      </c>
      <c r="BV572" t="s">
        <v>109</v>
      </c>
      <c r="BY572">
        <v>12256.99</v>
      </c>
      <c r="BZ572" t="s">
        <v>90</v>
      </c>
      <c r="CA572" t="s">
        <v>1596</v>
      </c>
      <c r="CC572" t="s">
        <v>239</v>
      </c>
      <c r="CD572">
        <v>2191</v>
      </c>
      <c r="CE572" t="s">
        <v>352</v>
      </c>
      <c r="CF572" s="3">
        <v>45744</v>
      </c>
      <c r="CI572">
        <v>1</v>
      </c>
      <c r="CJ572">
        <v>1</v>
      </c>
      <c r="CK572">
        <v>21</v>
      </c>
      <c r="CL572" t="s">
        <v>87</v>
      </c>
    </row>
    <row r="573" spans="1:90" x14ac:dyDescent="0.3">
      <c r="A573" t="s">
        <v>72</v>
      </c>
      <c r="B573" t="s">
        <v>73</v>
      </c>
      <c r="C573" t="s">
        <v>74</v>
      </c>
      <c r="E573" t="str">
        <f>"009944817287"</f>
        <v>009944817287</v>
      </c>
      <c r="F573" s="3">
        <v>45743</v>
      </c>
      <c r="G573">
        <v>202512</v>
      </c>
      <c r="H573" t="s">
        <v>519</v>
      </c>
      <c r="I573" t="s">
        <v>520</v>
      </c>
      <c r="J573" t="s">
        <v>1597</v>
      </c>
      <c r="K573" t="s">
        <v>78</v>
      </c>
      <c r="L573" t="s">
        <v>79</v>
      </c>
      <c r="M573" t="s">
        <v>80</v>
      </c>
      <c r="N573" t="s">
        <v>1598</v>
      </c>
      <c r="O573" t="s">
        <v>82</v>
      </c>
      <c r="P573" t="str">
        <f>"                              "</f>
        <v xml:space="preserve">                     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24.06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1</v>
      </c>
      <c r="BJ573">
        <v>0.2</v>
      </c>
      <c r="BK573">
        <v>1</v>
      </c>
      <c r="BL573">
        <v>72.66</v>
      </c>
      <c r="BM573">
        <v>10.9</v>
      </c>
      <c r="BN573">
        <v>83.56</v>
      </c>
      <c r="BO573">
        <v>83.56</v>
      </c>
      <c r="BQ573" t="s">
        <v>1599</v>
      </c>
      <c r="BR573" t="s">
        <v>1600</v>
      </c>
      <c r="BS573" s="3">
        <v>45747</v>
      </c>
      <c r="BT573" s="4">
        <v>0.3298611111111111</v>
      </c>
      <c r="BU573" t="s">
        <v>427</v>
      </c>
      <c r="BV573" t="s">
        <v>87</v>
      </c>
      <c r="BW573" t="s">
        <v>1017</v>
      </c>
      <c r="BX573" t="s">
        <v>1601</v>
      </c>
      <c r="BY573">
        <v>1200</v>
      </c>
      <c r="BZ573" t="s">
        <v>90</v>
      </c>
      <c r="CA573" t="s">
        <v>91</v>
      </c>
      <c r="CC573" t="s">
        <v>80</v>
      </c>
      <c r="CD573" s="5" t="s">
        <v>1216</v>
      </c>
      <c r="CE573" t="s">
        <v>265</v>
      </c>
      <c r="CI573">
        <v>1</v>
      </c>
      <c r="CJ573">
        <v>2</v>
      </c>
      <c r="CK573">
        <v>21</v>
      </c>
      <c r="CL573" t="s">
        <v>87</v>
      </c>
    </row>
    <row r="574" spans="1:90" x14ac:dyDescent="0.3">
      <c r="A574" t="s">
        <v>72</v>
      </c>
      <c r="B574" t="s">
        <v>73</v>
      </c>
      <c r="C574" t="s">
        <v>74</v>
      </c>
      <c r="E574" t="str">
        <f>"GAB2025146"</f>
        <v>GAB2025146</v>
      </c>
      <c r="F574" s="3">
        <v>45743</v>
      </c>
      <c r="G574">
        <v>202512</v>
      </c>
      <c r="H574" t="s">
        <v>97</v>
      </c>
      <c r="I574" t="s">
        <v>98</v>
      </c>
      <c r="J574" t="s">
        <v>99</v>
      </c>
      <c r="K574" t="s">
        <v>78</v>
      </c>
      <c r="L574" t="s">
        <v>112</v>
      </c>
      <c r="M574" t="s">
        <v>113</v>
      </c>
      <c r="N574" t="s">
        <v>606</v>
      </c>
      <c r="O574" t="s">
        <v>100</v>
      </c>
      <c r="P574" t="str">
        <f>"INV-00116455 CT093304         "</f>
        <v xml:space="preserve">INV-00116455 CT093304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46.52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2.7</v>
      </c>
      <c r="BJ574">
        <v>6.2</v>
      </c>
      <c r="BK574">
        <v>7</v>
      </c>
      <c r="BL574">
        <v>146.07</v>
      </c>
      <c r="BM574">
        <v>21.91</v>
      </c>
      <c r="BN574">
        <v>167.98</v>
      </c>
      <c r="BO574">
        <v>167.98</v>
      </c>
      <c r="BQ574" t="s">
        <v>1602</v>
      </c>
      <c r="BR574" t="s">
        <v>101</v>
      </c>
      <c r="BS574" t="s">
        <v>83</v>
      </c>
      <c r="BY574">
        <v>30930.25</v>
      </c>
      <c r="CC574" t="s">
        <v>113</v>
      </c>
      <c r="CD574">
        <v>9301</v>
      </c>
      <c r="CE574" t="s">
        <v>111</v>
      </c>
      <c r="CI574">
        <v>4</v>
      </c>
      <c r="CJ574" t="s">
        <v>83</v>
      </c>
      <c r="CK574">
        <v>41</v>
      </c>
      <c r="CL574" t="s">
        <v>87</v>
      </c>
    </row>
    <row r="575" spans="1:90" x14ac:dyDescent="0.3">
      <c r="A575" t="s">
        <v>72</v>
      </c>
      <c r="B575" t="s">
        <v>73</v>
      </c>
      <c r="C575" t="s">
        <v>74</v>
      </c>
      <c r="E575" t="str">
        <f>"GAB2025148"</f>
        <v>GAB2025148</v>
      </c>
      <c r="F575" s="3">
        <v>45743</v>
      </c>
      <c r="G575">
        <v>202512</v>
      </c>
      <c r="H575" t="s">
        <v>97</v>
      </c>
      <c r="I575" t="s">
        <v>98</v>
      </c>
      <c r="J575" t="s">
        <v>99</v>
      </c>
      <c r="K575" t="s">
        <v>78</v>
      </c>
      <c r="L575" t="s">
        <v>1603</v>
      </c>
      <c r="M575" t="s">
        <v>1604</v>
      </c>
      <c r="N575" t="s">
        <v>1605</v>
      </c>
      <c r="O575" t="s">
        <v>100</v>
      </c>
      <c r="P575" t="str">
        <f>"INV-00116454 CT093302         "</f>
        <v xml:space="preserve">INV-00116454 CT093302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65.61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1.3</v>
      </c>
      <c r="BJ575">
        <v>2.4</v>
      </c>
      <c r="BK575">
        <v>3</v>
      </c>
      <c r="BL575">
        <v>203.73</v>
      </c>
      <c r="BM575">
        <v>30.56</v>
      </c>
      <c r="BN575">
        <v>234.29</v>
      </c>
      <c r="BO575">
        <v>234.29</v>
      </c>
      <c r="BQ575" t="s">
        <v>1606</v>
      </c>
      <c r="BR575" t="s">
        <v>101</v>
      </c>
      <c r="BS575" t="s">
        <v>83</v>
      </c>
      <c r="BY575">
        <v>12025.68</v>
      </c>
      <c r="CC575" t="s">
        <v>1604</v>
      </c>
      <c r="CD575">
        <v>9866</v>
      </c>
      <c r="CE575" t="s">
        <v>111</v>
      </c>
      <c r="CI575">
        <v>4</v>
      </c>
      <c r="CJ575" t="s">
        <v>83</v>
      </c>
      <c r="CK575">
        <v>43</v>
      </c>
      <c r="CL575" t="s">
        <v>87</v>
      </c>
    </row>
    <row r="576" spans="1:90" x14ac:dyDescent="0.3">
      <c r="A576" t="s">
        <v>72</v>
      </c>
      <c r="B576" t="s">
        <v>73</v>
      </c>
      <c r="C576" t="s">
        <v>74</v>
      </c>
      <c r="E576" t="str">
        <f>"GAB2025149"</f>
        <v>GAB2025149</v>
      </c>
      <c r="F576" s="3">
        <v>45743</v>
      </c>
      <c r="G576">
        <v>202512</v>
      </c>
      <c r="H576" t="s">
        <v>97</v>
      </c>
      <c r="I576" t="s">
        <v>98</v>
      </c>
      <c r="J576" t="s">
        <v>99</v>
      </c>
      <c r="K576" t="s">
        <v>78</v>
      </c>
      <c r="L576" t="s">
        <v>112</v>
      </c>
      <c r="M576" t="s">
        <v>113</v>
      </c>
      <c r="N576" t="s">
        <v>593</v>
      </c>
      <c r="O576" t="s">
        <v>100</v>
      </c>
      <c r="P576" t="str">
        <f>"INV-00116452 CT093300         "</f>
        <v xml:space="preserve">INV-00116452 CT093300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46.52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1.9</v>
      </c>
      <c r="BJ576">
        <v>5.9</v>
      </c>
      <c r="BK576">
        <v>6</v>
      </c>
      <c r="BL576">
        <v>146.07</v>
      </c>
      <c r="BM576">
        <v>21.91</v>
      </c>
      <c r="BN576">
        <v>167.98</v>
      </c>
      <c r="BO576">
        <v>167.98</v>
      </c>
      <c r="BQ576" t="s">
        <v>594</v>
      </c>
      <c r="BR576" t="s">
        <v>101</v>
      </c>
      <c r="BS576" t="s">
        <v>83</v>
      </c>
      <c r="BY576">
        <v>29561.599999999999</v>
      </c>
      <c r="CC576" t="s">
        <v>113</v>
      </c>
      <c r="CD576">
        <v>9301</v>
      </c>
      <c r="CE576" t="s">
        <v>111</v>
      </c>
      <c r="CI576">
        <v>4</v>
      </c>
      <c r="CJ576" t="s">
        <v>83</v>
      </c>
      <c r="CK576">
        <v>41</v>
      </c>
      <c r="CL576" t="s">
        <v>87</v>
      </c>
    </row>
    <row r="577" spans="1:90" x14ac:dyDescent="0.3">
      <c r="A577" t="s">
        <v>72</v>
      </c>
      <c r="B577" t="s">
        <v>73</v>
      </c>
      <c r="C577" t="s">
        <v>74</v>
      </c>
      <c r="E577" t="str">
        <f>"GAB2025150"</f>
        <v>GAB2025150</v>
      </c>
      <c r="F577" s="3">
        <v>45743</v>
      </c>
      <c r="G577">
        <v>202512</v>
      </c>
      <c r="H577" t="s">
        <v>97</v>
      </c>
      <c r="I577" t="s">
        <v>98</v>
      </c>
      <c r="J577" t="s">
        <v>99</v>
      </c>
      <c r="K577" t="s">
        <v>78</v>
      </c>
      <c r="L577" t="s">
        <v>170</v>
      </c>
      <c r="M577" t="s">
        <v>171</v>
      </c>
      <c r="N577" t="s">
        <v>1607</v>
      </c>
      <c r="O577" t="s">
        <v>100</v>
      </c>
      <c r="P577" t="str">
        <f>"INV-00116453 CT093301         "</f>
        <v xml:space="preserve">INV-00116453 CT093301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65.61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4.2</v>
      </c>
      <c r="BJ577">
        <v>11.8</v>
      </c>
      <c r="BK577">
        <v>12</v>
      </c>
      <c r="BL577">
        <v>203.73</v>
      </c>
      <c r="BM577">
        <v>30.56</v>
      </c>
      <c r="BN577">
        <v>234.29</v>
      </c>
      <c r="BO577">
        <v>234.29</v>
      </c>
      <c r="BQ577" t="s">
        <v>372</v>
      </c>
      <c r="BR577" t="s">
        <v>101</v>
      </c>
      <c r="BS577" t="s">
        <v>83</v>
      </c>
      <c r="BY577">
        <v>58953.599999999999</v>
      </c>
      <c r="CC577" t="s">
        <v>171</v>
      </c>
      <c r="CD577">
        <v>9701</v>
      </c>
      <c r="CE577" t="s">
        <v>111</v>
      </c>
      <c r="CI577">
        <v>4</v>
      </c>
      <c r="CJ577" t="s">
        <v>83</v>
      </c>
      <c r="CK577">
        <v>43</v>
      </c>
      <c r="CL577" t="s">
        <v>87</v>
      </c>
    </row>
    <row r="578" spans="1:90" x14ac:dyDescent="0.3">
      <c r="A578" t="s">
        <v>72</v>
      </c>
      <c r="B578" t="s">
        <v>73</v>
      </c>
      <c r="C578" t="s">
        <v>74</v>
      </c>
      <c r="E578" t="str">
        <f>"GAB2025151"</f>
        <v>GAB2025151</v>
      </c>
      <c r="F578" s="3">
        <v>45743</v>
      </c>
      <c r="G578">
        <v>202512</v>
      </c>
      <c r="H578" t="s">
        <v>97</v>
      </c>
      <c r="I578" t="s">
        <v>98</v>
      </c>
      <c r="J578" t="s">
        <v>99</v>
      </c>
      <c r="K578" t="s">
        <v>78</v>
      </c>
      <c r="L578" t="s">
        <v>170</v>
      </c>
      <c r="M578" t="s">
        <v>171</v>
      </c>
      <c r="N578" t="s">
        <v>1608</v>
      </c>
      <c r="O578" t="s">
        <v>100</v>
      </c>
      <c r="P578" t="str">
        <f>"INV-00116450 CT093298         "</f>
        <v xml:space="preserve">INV-00116450 CT093298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65.61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1.5</v>
      </c>
      <c r="BJ578">
        <v>5.9</v>
      </c>
      <c r="BK578">
        <v>6</v>
      </c>
      <c r="BL578">
        <v>203.73</v>
      </c>
      <c r="BM578">
        <v>30.56</v>
      </c>
      <c r="BN578">
        <v>234.29</v>
      </c>
      <c r="BO578">
        <v>234.29</v>
      </c>
      <c r="BQ578" t="s">
        <v>1609</v>
      </c>
      <c r="BR578" t="s">
        <v>101</v>
      </c>
      <c r="BS578" t="s">
        <v>83</v>
      </c>
      <c r="BY578">
        <v>29561.599999999999</v>
      </c>
      <c r="CC578" t="s">
        <v>171</v>
      </c>
      <c r="CD578">
        <v>9700</v>
      </c>
      <c r="CE578" t="s">
        <v>111</v>
      </c>
      <c r="CI578">
        <v>4</v>
      </c>
      <c r="CJ578" t="s">
        <v>83</v>
      </c>
      <c r="CK578">
        <v>43</v>
      </c>
      <c r="CL578" t="s">
        <v>87</v>
      </c>
    </row>
    <row r="579" spans="1:90" x14ac:dyDescent="0.3">
      <c r="A579" t="s">
        <v>72</v>
      </c>
      <c r="B579" t="s">
        <v>73</v>
      </c>
      <c r="C579" t="s">
        <v>74</v>
      </c>
      <c r="E579" t="str">
        <f>"GAB2025152"</f>
        <v>GAB2025152</v>
      </c>
      <c r="F579" s="3">
        <v>45743</v>
      </c>
      <c r="G579">
        <v>202512</v>
      </c>
      <c r="H579" t="s">
        <v>97</v>
      </c>
      <c r="I579" t="s">
        <v>98</v>
      </c>
      <c r="J579" t="s">
        <v>99</v>
      </c>
      <c r="K579" t="s">
        <v>78</v>
      </c>
      <c r="L579" t="s">
        <v>1603</v>
      </c>
      <c r="M579" t="s">
        <v>1604</v>
      </c>
      <c r="N579" t="s">
        <v>1610</v>
      </c>
      <c r="O579" t="s">
        <v>100</v>
      </c>
      <c r="P579" t="str">
        <f>"INV-00116451 CT093299         "</f>
        <v xml:space="preserve">INV-00116451 CT093299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65.61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1</v>
      </c>
      <c r="BI579">
        <v>1.2</v>
      </c>
      <c r="BJ579">
        <v>2.4</v>
      </c>
      <c r="BK579">
        <v>3</v>
      </c>
      <c r="BL579">
        <v>203.73</v>
      </c>
      <c r="BM579">
        <v>30.56</v>
      </c>
      <c r="BN579">
        <v>234.29</v>
      </c>
      <c r="BO579">
        <v>234.29</v>
      </c>
      <c r="BQ579" t="s">
        <v>372</v>
      </c>
      <c r="BR579" t="s">
        <v>101</v>
      </c>
      <c r="BS579" t="s">
        <v>83</v>
      </c>
      <c r="BY579">
        <v>12097.44</v>
      </c>
      <c r="CC579" t="s">
        <v>1604</v>
      </c>
      <c r="CD579">
        <v>9866</v>
      </c>
      <c r="CE579" t="s">
        <v>111</v>
      </c>
      <c r="CI579">
        <v>4</v>
      </c>
      <c r="CJ579" t="s">
        <v>83</v>
      </c>
      <c r="CK579">
        <v>43</v>
      </c>
      <c r="CL579" t="s">
        <v>87</v>
      </c>
    </row>
    <row r="580" spans="1:90" x14ac:dyDescent="0.3">
      <c r="A580" t="s">
        <v>72</v>
      </c>
      <c r="B580" t="s">
        <v>73</v>
      </c>
      <c r="C580" t="s">
        <v>74</v>
      </c>
      <c r="E580" t="str">
        <f>"GAB2025157"</f>
        <v>GAB2025157</v>
      </c>
      <c r="F580" s="3">
        <v>45743</v>
      </c>
      <c r="G580">
        <v>202512</v>
      </c>
      <c r="H580" t="s">
        <v>97</v>
      </c>
      <c r="I580" t="s">
        <v>98</v>
      </c>
      <c r="J580" t="s">
        <v>99</v>
      </c>
      <c r="K580" t="s">
        <v>78</v>
      </c>
      <c r="L580" t="s">
        <v>75</v>
      </c>
      <c r="M580" t="s">
        <v>76</v>
      </c>
      <c r="N580" t="s">
        <v>663</v>
      </c>
      <c r="O580" t="s">
        <v>100</v>
      </c>
      <c r="P580" t="str">
        <f>"INV-00116465 CT093446         "</f>
        <v xml:space="preserve">INV-00116465 CT093446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69.569999999999993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2</v>
      </c>
      <c r="BI580">
        <v>7.6</v>
      </c>
      <c r="BJ580">
        <v>26.4</v>
      </c>
      <c r="BK580">
        <v>27</v>
      </c>
      <c r="BL580">
        <v>215.68</v>
      </c>
      <c r="BM580">
        <v>32.35</v>
      </c>
      <c r="BN580">
        <v>248.03</v>
      </c>
      <c r="BO580">
        <v>248.03</v>
      </c>
      <c r="BQ580" t="s">
        <v>664</v>
      </c>
      <c r="BR580" t="s">
        <v>101</v>
      </c>
      <c r="BS580" t="s">
        <v>83</v>
      </c>
      <c r="BY580">
        <v>132209.25</v>
      </c>
      <c r="CC580" t="s">
        <v>76</v>
      </c>
      <c r="CD580">
        <v>4001</v>
      </c>
      <c r="CE580" t="s">
        <v>118</v>
      </c>
      <c r="CI580">
        <v>3</v>
      </c>
      <c r="CJ580" t="s">
        <v>83</v>
      </c>
      <c r="CK580">
        <v>41</v>
      </c>
      <c r="CL580" t="s">
        <v>87</v>
      </c>
    </row>
    <row r="581" spans="1:90" x14ac:dyDescent="0.3">
      <c r="A581" t="s">
        <v>72</v>
      </c>
      <c r="B581" t="s">
        <v>73</v>
      </c>
      <c r="C581" t="s">
        <v>74</v>
      </c>
      <c r="E581" t="str">
        <f>"GAB2025162"</f>
        <v>GAB2025162</v>
      </c>
      <c r="F581" s="3">
        <v>45743</v>
      </c>
      <c r="G581">
        <v>202512</v>
      </c>
      <c r="H581" t="s">
        <v>97</v>
      </c>
      <c r="I581" t="s">
        <v>98</v>
      </c>
      <c r="J581" t="s">
        <v>99</v>
      </c>
      <c r="K581" t="s">
        <v>78</v>
      </c>
      <c r="L581" t="s">
        <v>130</v>
      </c>
      <c r="M581" t="s">
        <v>131</v>
      </c>
      <c r="N581" t="s">
        <v>1117</v>
      </c>
      <c r="O581" t="s">
        <v>100</v>
      </c>
      <c r="P581" t="str">
        <f>"INV-00034039 030991           "</f>
        <v xml:space="preserve">INV-00034039 030991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65.73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10.3</v>
      </c>
      <c r="BJ581">
        <v>24.8</v>
      </c>
      <c r="BK581">
        <v>25</v>
      </c>
      <c r="BL581">
        <v>204.08</v>
      </c>
      <c r="BM581">
        <v>30.61</v>
      </c>
      <c r="BN581">
        <v>234.69</v>
      </c>
      <c r="BO581">
        <v>234.69</v>
      </c>
      <c r="BQ581" t="s">
        <v>1611</v>
      </c>
      <c r="BR581" t="s">
        <v>101</v>
      </c>
      <c r="BS581" t="s">
        <v>83</v>
      </c>
      <c r="BY581">
        <v>124144.65</v>
      </c>
      <c r="CC581" t="s">
        <v>131</v>
      </c>
      <c r="CD581" s="5" t="s">
        <v>1119</v>
      </c>
      <c r="CE581" t="s">
        <v>111</v>
      </c>
      <c r="CI581">
        <v>3</v>
      </c>
      <c r="CJ581" t="s">
        <v>83</v>
      </c>
      <c r="CK581">
        <v>41</v>
      </c>
      <c r="CL581" t="s">
        <v>87</v>
      </c>
    </row>
    <row r="582" spans="1:90" x14ac:dyDescent="0.3">
      <c r="A582" t="s">
        <v>72</v>
      </c>
      <c r="B582" t="s">
        <v>73</v>
      </c>
      <c r="C582" t="s">
        <v>74</v>
      </c>
      <c r="E582" t="str">
        <f>"GAB2025163"</f>
        <v>GAB2025163</v>
      </c>
      <c r="F582" s="3">
        <v>45743</v>
      </c>
      <c r="G582">
        <v>202512</v>
      </c>
      <c r="H582" t="s">
        <v>97</v>
      </c>
      <c r="I582" t="s">
        <v>98</v>
      </c>
      <c r="J582" t="s">
        <v>99</v>
      </c>
      <c r="K582" t="s">
        <v>78</v>
      </c>
      <c r="L582" t="s">
        <v>519</v>
      </c>
      <c r="M582" t="s">
        <v>520</v>
      </c>
      <c r="N582" t="s">
        <v>1612</v>
      </c>
      <c r="O582" t="s">
        <v>100</v>
      </c>
      <c r="P582" t="str">
        <f>"INV-00034040 031464           "</f>
        <v xml:space="preserve">INV-00034040 031464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46.52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2</v>
      </c>
      <c r="BI582">
        <v>7.3</v>
      </c>
      <c r="BJ582">
        <v>14.6</v>
      </c>
      <c r="BK582">
        <v>15</v>
      </c>
      <c r="BL582">
        <v>146.07</v>
      </c>
      <c r="BM582">
        <v>21.91</v>
      </c>
      <c r="BN582">
        <v>167.98</v>
      </c>
      <c r="BO582">
        <v>167.98</v>
      </c>
      <c r="BR582" t="s">
        <v>101</v>
      </c>
      <c r="BS582" t="s">
        <v>83</v>
      </c>
      <c r="BY582">
        <v>73127.73</v>
      </c>
      <c r="CC582" t="s">
        <v>520</v>
      </c>
      <c r="CD582">
        <v>6001</v>
      </c>
      <c r="CE582" t="s">
        <v>111</v>
      </c>
      <c r="CI582">
        <v>3</v>
      </c>
      <c r="CJ582" t="s">
        <v>83</v>
      </c>
      <c r="CK582">
        <v>41</v>
      </c>
      <c r="CL582" t="s">
        <v>87</v>
      </c>
    </row>
    <row r="583" spans="1:90" x14ac:dyDescent="0.3">
      <c r="A583" t="s">
        <v>72</v>
      </c>
      <c r="B583" t="s">
        <v>73</v>
      </c>
      <c r="C583" t="s">
        <v>74</v>
      </c>
      <c r="E583" t="str">
        <f>"GAB2025164"</f>
        <v>GAB2025164</v>
      </c>
      <c r="F583" s="3">
        <v>45743</v>
      </c>
      <c r="G583">
        <v>202512</v>
      </c>
      <c r="H583" t="s">
        <v>97</v>
      </c>
      <c r="I583" t="s">
        <v>98</v>
      </c>
      <c r="J583" t="s">
        <v>99</v>
      </c>
      <c r="K583" t="s">
        <v>78</v>
      </c>
      <c r="L583" t="s">
        <v>144</v>
      </c>
      <c r="M583" t="s">
        <v>145</v>
      </c>
      <c r="N583" t="s">
        <v>1035</v>
      </c>
      <c r="O583" t="s">
        <v>100</v>
      </c>
      <c r="P583" t="str">
        <f>"INV-00034041 031465           "</f>
        <v xml:space="preserve">INV-00034041 031465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65.61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4.4000000000000004</v>
      </c>
      <c r="BJ583">
        <v>12.3</v>
      </c>
      <c r="BK583">
        <v>13</v>
      </c>
      <c r="BL583">
        <v>203.73</v>
      </c>
      <c r="BM583">
        <v>30.56</v>
      </c>
      <c r="BN583">
        <v>234.29</v>
      </c>
      <c r="BO583">
        <v>234.29</v>
      </c>
      <c r="BQ583" t="s">
        <v>378</v>
      </c>
      <c r="BR583" t="s">
        <v>101</v>
      </c>
      <c r="BS583" t="s">
        <v>83</v>
      </c>
      <c r="BY583">
        <v>61262.5</v>
      </c>
      <c r="CC583" t="s">
        <v>145</v>
      </c>
      <c r="CD583">
        <v>1050</v>
      </c>
      <c r="CE583" t="s">
        <v>111</v>
      </c>
      <c r="CI583">
        <v>2</v>
      </c>
      <c r="CJ583" t="s">
        <v>83</v>
      </c>
      <c r="CK583">
        <v>43</v>
      </c>
      <c r="CL583" t="s">
        <v>87</v>
      </c>
    </row>
    <row r="584" spans="1:90" x14ac:dyDescent="0.3">
      <c r="A584" t="s">
        <v>72</v>
      </c>
      <c r="B584" t="s">
        <v>73</v>
      </c>
      <c r="C584" t="s">
        <v>74</v>
      </c>
      <c r="E584" t="str">
        <f>"GAB2025167"</f>
        <v>GAB2025167</v>
      </c>
      <c r="F584" s="3">
        <v>45743</v>
      </c>
      <c r="G584">
        <v>202512</v>
      </c>
      <c r="H584" t="s">
        <v>97</v>
      </c>
      <c r="I584" t="s">
        <v>98</v>
      </c>
      <c r="J584" t="s">
        <v>99</v>
      </c>
      <c r="K584" t="s">
        <v>78</v>
      </c>
      <c r="L584" t="s">
        <v>710</v>
      </c>
      <c r="M584" t="s">
        <v>711</v>
      </c>
      <c r="N584" t="s">
        <v>712</v>
      </c>
      <c r="O584" t="s">
        <v>100</v>
      </c>
      <c r="P584" t="str">
        <f>"INV-00116470 CT092365         "</f>
        <v xml:space="preserve">INV-00116470 CT092365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65.61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0.3</v>
      </c>
      <c r="BJ584">
        <v>2.5</v>
      </c>
      <c r="BK584">
        <v>3</v>
      </c>
      <c r="BL584">
        <v>203.73</v>
      </c>
      <c r="BM584">
        <v>30.56</v>
      </c>
      <c r="BN584">
        <v>234.29</v>
      </c>
      <c r="BO584">
        <v>234.29</v>
      </c>
      <c r="BQ584" t="s">
        <v>713</v>
      </c>
      <c r="BR584" t="s">
        <v>101</v>
      </c>
      <c r="BS584" t="s">
        <v>83</v>
      </c>
      <c r="BY584">
        <v>12726.12</v>
      </c>
      <c r="CC584" t="s">
        <v>711</v>
      </c>
      <c r="CD584">
        <v>1947</v>
      </c>
      <c r="CE584" t="s">
        <v>911</v>
      </c>
      <c r="CI584">
        <v>2</v>
      </c>
      <c r="CJ584" t="s">
        <v>83</v>
      </c>
      <c r="CK584">
        <v>43</v>
      </c>
      <c r="CL584" t="s">
        <v>87</v>
      </c>
    </row>
    <row r="585" spans="1:90" x14ac:dyDescent="0.3">
      <c r="A585" t="s">
        <v>72</v>
      </c>
      <c r="B585" t="s">
        <v>73</v>
      </c>
      <c r="C585" t="s">
        <v>74</v>
      </c>
      <c r="E585" t="str">
        <f>"GAB2025169"</f>
        <v>GAB2025169</v>
      </c>
      <c r="F585" s="3">
        <v>45743</v>
      </c>
      <c r="G585">
        <v>202512</v>
      </c>
      <c r="H585" t="s">
        <v>97</v>
      </c>
      <c r="I585" t="s">
        <v>98</v>
      </c>
      <c r="J585" t="s">
        <v>99</v>
      </c>
      <c r="K585" t="s">
        <v>78</v>
      </c>
      <c r="L585" t="s">
        <v>97</v>
      </c>
      <c r="M585" t="s">
        <v>98</v>
      </c>
      <c r="N585" t="s">
        <v>609</v>
      </c>
      <c r="O585" t="s">
        <v>100</v>
      </c>
      <c r="P585" t="str">
        <f>"INV-00116472 CT093165         "</f>
        <v xml:space="preserve">INV-00116472 CT093165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35.9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1.1000000000000001</v>
      </c>
      <c r="BJ585">
        <v>2.6</v>
      </c>
      <c r="BK585">
        <v>3</v>
      </c>
      <c r="BL585">
        <v>113.99</v>
      </c>
      <c r="BM585">
        <v>17.100000000000001</v>
      </c>
      <c r="BN585">
        <v>131.09</v>
      </c>
      <c r="BO585">
        <v>131.09</v>
      </c>
      <c r="BQ585" t="s">
        <v>610</v>
      </c>
      <c r="BR585" t="s">
        <v>101</v>
      </c>
      <c r="BS585" s="3">
        <v>45744</v>
      </c>
      <c r="BT585" s="4">
        <v>0.51041666666666663</v>
      </c>
      <c r="BU585" t="s">
        <v>1613</v>
      </c>
      <c r="BV585" t="s">
        <v>109</v>
      </c>
      <c r="BY585">
        <v>13031.63</v>
      </c>
      <c r="CA585" t="s">
        <v>612</v>
      </c>
      <c r="CC585" t="s">
        <v>98</v>
      </c>
      <c r="CD585">
        <v>7550</v>
      </c>
      <c r="CE585" t="s">
        <v>111</v>
      </c>
      <c r="CI585">
        <v>1</v>
      </c>
      <c r="CJ585">
        <v>1</v>
      </c>
      <c r="CK585">
        <v>42</v>
      </c>
      <c r="CL585" t="s">
        <v>87</v>
      </c>
    </row>
    <row r="586" spans="1:90" x14ac:dyDescent="0.3">
      <c r="A586" t="s">
        <v>72</v>
      </c>
      <c r="B586" t="s">
        <v>73</v>
      </c>
      <c r="C586" t="s">
        <v>74</v>
      </c>
      <c r="E586" t="str">
        <f>"GAB2025179"</f>
        <v>GAB2025179</v>
      </c>
      <c r="F586" s="3">
        <v>45743</v>
      </c>
      <c r="G586">
        <v>202512</v>
      </c>
      <c r="H586" t="s">
        <v>97</v>
      </c>
      <c r="I586" t="s">
        <v>98</v>
      </c>
      <c r="J586" t="s">
        <v>99</v>
      </c>
      <c r="K586" t="s">
        <v>78</v>
      </c>
      <c r="L586" t="s">
        <v>182</v>
      </c>
      <c r="M586" t="s">
        <v>183</v>
      </c>
      <c r="N586" t="s">
        <v>435</v>
      </c>
      <c r="O586" t="s">
        <v>100</v>
      </c>
      <c r="P586" t="str">
        <f>"INV-00116480 CT092959         "</f>
        <v xml:space="preserve">INV-00116480 CT092959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46.52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2.8</v>
      </c>
      <c r="BJ586">
        <v>7.7</v>
      </c>
      <c r="BK586">
        <v>8</v>
      </c>
      <c r="BL586">
        <v>146.07</v>
      </c>
      <c r="BM586">
        <v>21.91</v>
      </c>
      <c r="BN586">
        <v>167.98</v>
      </c>
      <c r="BO586">
        <v>167.98</v>
      </c>
      <c r="BQ586" t="s">
        <v>550</v>
      </c>
      <c r="BR586" t="s">
        <v>101</v>
      </c>
      <c r="BS586" t="s">
        <v>83</v>
      </c>
      <c r="BY586">
        <v>38455.56</v>
      </c>
      <c r="CC586" t="s">
        <v>183</v>
      </c>
      <c r="CD586">
        <v>3610</v>
      </c>
      <c r="CE586" t="s">
        <v>584</v>
      </c>
      <c r="CI586">
        <v>3</v>
      </c>
      <c r="CJ586" t="s">
        <v>83</v>
      </c>
      <c r="CK586">
        <v>41</v>
      </c>
      <c r="CL586" t="s">
        <v>87</v>
      </c>
    </row>
    <row r="587" spans="1:90" x14ac:dyDescent="0.3">
      <c r="A587" t="s">
        <v>72</v>
      </c>
      <c r="B587" t="s">
        <v>73</v>
      </c>
      <c r="C587" t="s">
        <v>74</v>
      </c>
      <c r="E587" t="str">
        <f>"GAB2025180"</f>
        <v>GAB2025180</v>
      </c>
      <c r="F587" s="3">
        <v>45743</v>
      </c>
      <c r="G587">
        <v>202512</v>
      </c>
      <c r="H587" t="s">
        <v>97</v>
      </c>
      <c r="I587" t="s">
        <v>98</v>
      </c>
      <c r="J587" t="s">
        <v>99</v>
      </c>
      <c r="K587" t="s">
        <v>78</v>
      </c>
      <c r="L587" t="s">
        <v>97</v>
      </c>
      <c r="M587" t="s">
        <v>98</v>
      </c>
      <c r="N587" t="s">
        <v>1614</v>
      </c>
      <c r="O587" t="s">
        <v>100</v>
      </c>
      <c r="P587" t="str">
        <f>"INV-00116484 CT093458         "</f>
        <v xml:space="preserve">INV-00116484 CT093458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35.9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1</v>
      </c>
      <c r="BI587">
        <v>2.1</v>
      </c>
      <c r="BJ587">
        <v>6</v>
      </c>
      <c r="BK587">
        <v>6</v>
      </c>
      <c r="BL587">
        <v>113.99</v>
      </c>
      <c r="BM587">
        <v>17.100000000000001</v>
      </c>
      <c r="BN587">
        <v>131.09</v>
      </c>
      <c r="BO587">
        <v>131.09</v>
      </c>
      <c r="BQ587" t="s">
        <v>1615</v>
      </c>
      <c r="BR587" t="s">
        <v>101</v>
      </c>
      <c r="BS587" s="3">
        <v>45744</v>
      </c>
      <c r="BT587" s="4">
        <v>0.52083333333333337</v>
      </c>
      <c r="BU587" t="s">
        <v>1616</v>
      </c>
      <c r="BV587" t="s">
        <v>109</v>
      </c>
      <c r="BY587">
        <v>29870.82</v>
      </c>
      <c r="CA587" t="s">
        <v>828</v>
      </c>
      <c r="CC587" t="s">
        <v>98</v>
      </c>
      <c r="CD587">
        <v>7700</v>
      </c>
      <c r="CE587" t="s">
        <v>111</v>
      </c>
      <c r="CI587">
        <v>1</v>
      </c>
      <c r="CJ587">
        <v>1</v>
      </c>
      <c r="CK587">
        <v>42</v>
      </c>
      <c r="CL587" t="s">
        <v>87</v>
      </c>
    </row>
    <row r="588" spans="1:90" x14ac:dyDescent="0.3">
      <c r="A588" t="s">
        <v>72</v>
      </c>
      <c r="B588" t="s">
        <v>73</v>
      </c>
      <c r="C588" t="s">
        <v>74</v>
      </c>
      <c r="E588" t="str">
        <f>"GAB2025190"</f>
        <v>GAB2025190</v>
      </c>
      <c r="F588" s="3">
        <v>45743</v>
      </c>
      <c r="G588">
        <v>202512</v>
      </c>
      <c r="H588" t="s">
        <v>97</v>
      </c>
      <c r="I588" t="s">
        <v>98</v>
      </c>
      <c r="J588" t="s">
        <v>99</v>
      </c>
      <c r="K588" t="s">
        <v>78</v>
      </c>
      <c r="L588" t="s">
        <v>112</v>
      </c>
      <c r="M588" t="s">
        <v>113</v>
      </c>
      <c r="N588" t="s">
        <v>114</v>
      </c>
      <c r="O588" t="s">
        <v>100</v>
      </c>
      <c r="P588" t="str">
        <f>"INV-00116502 CT093078         "</f>
        <v xml:space="preserve">INV-00116502 CT093078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48.44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2</v>
      </c>
      <c r="BI588">
        <v>7.4</v>
      </c>
      <c r="BJ588">
        <v>16</v>
      </c>
      <c r="BK588">
        <v>16</v>
      </c>
      <c r="BL588">
        <v>151.87</v>
      </c>
      <c r="BM588">
        <v>22.78</v>
      </c>
      <c r="BN588">
        <v>174.65</v>
      </c>
      <c r="BO588">
        <v>174.65</v>
      </c>
      <c r="BQ588" t="s">
        <v>1617</v>
      </c>
      <c r="BR588" t="s">
        <v>101</v>
      </c>
      <c r="BS588" t="s">
        <v>83</v>
      </c>
      <c r="BY588">
        <v>80196.78</v>
      </c>
      <c r="CC588" t="s">
        <v>113</v>
      </c>
      <c r="CD588">
        <v>9301</v>
      </c>
      <c r="CE588" t="s">
        <v>584</v>
      </c>
      <c r="CI588">
        <v>4</v>
      </c>
      <c r="CJ588" t="s">
        <v>83</v>
      </c>
      <c r="CK588">
        <v>41</v>
      </c>
      <c r="CL588" t="s">
        <v>87</v>
      </c>
    </row>
    <row r="589" spans="1:90" x14ac:dyDescent="0.3">
      <c r="A589" t="s">
        <v>72</v>
      </c>
      <c r="B589" t="s">
        <v>73</v>
      </c>
      <c r="C589" t="s">
        <v>74</v>
      </c>
      <c r="E589" t="str">
        <f>"GAB2025192"</f>
        <v>GAB2025192</v>
      </c>
      <c r="F589" s="3">
        <v>45743</v>
      </c>
      <c r="G589">
        <v>202512</v>
      </c>
      <c r="H589" t="s">
        <v>97</v>
      </c>
      <c r="I589" t="s">
        <v>98</v>
      </c>
      <c r="J589" t="s">
        <v>99</v>
      </c>
      <c r="K589" t="s">
        <v>78</v>
      </c>
      <c r="L589" t="s">
        <v>491</v>
      </c>
      <c r="M589" t="s">
        <v>492</v>
      </c>
      <c r="N589" t="s">
        <v>1618</v>
      </c>
      <c r="O589" t="s">
        <v>100</v>
      </c>
      <c r="P589" t="str">
        <f>"ATT:WAYNE                     "</f>
        <v xml:space="preserve">ATT:WAYNE          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46.52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13.1</v>
      </c>
      <c r="BJ589">
        <v>2.4</v>
      </c>
      <c r="BK589">
        <v>14</v>
      </c>
      <c r="BL589">
        <v>146.07</v>
      </c>
      <c r="BM589">
        <v>21.91</v>
      </c>
      <c r="BN589">
        <v>167.98</v>
      </c>
      <c r="BO589">
        <v>167.98</v>
      </c>
      <c r="BQ589" t="s">
        <v>1619</v>
      </c>
      <c r="BR589" t="s">
        <v>101</v>
      </c>
      <c r="BS589" t="s">
        <v>83</v>
      </c>
      <c r="BY589">
        <v>11849.13</v>
      </c>
      <c r="CC589" t="s">
        <v>492</v>
      </c>
      <c r="CD589">
        <v>1709</v>
      </c>
      <c r="CE589" t="s">
        <v>584</v>
      </c>
      <c r="CI589">
        <v>2</v>
      </c>
      <c r="CJ589" t="s">
        <v>83</v>
      </c>
      <c r="CK589">
        <v>41</v>
      </c>
      <c r="CL589" t="s">
        <v>87</v>
      </c>
    </row>
    <row r="590" spans="1:90" x14ac:dyDescent="0.3">
      <c r="A590" t="s">
        <v>72</v>
      </c>
      <c r="B590" t="s">
        <v>73</v>
      </c>
      <c r="C590" t="s">
        <v>74</v>
      </c>
      <c r="E590" t="str">
        <f>"GAB2025198"</f>
        <v>GAB2025198</v>
      </c>
      <c r="F590" s="3">
        <v>45743</v>
      </c>
      <c r="G590">
        <v>202512</v>
      </c>
      <c r="H590" t="s">
        <v>97</v>
      </c>
      <c r="I590" t="s">
        <v>98</v>
      </c>
      <c r="J590" t="s">
        <v>99</v>
      </c>
      <c r="K590" t="s">
        <v>78</v>
      </c>
      <c r="L590" t="s">
        <v>299</v>
      </c>
      <c r="M590" t="s">
        <v>300</v>
      </c>
      <c r="N590" t="s">
        <v>883</v>
      </c>
      <c r="O590" t="s">
        <v>100</v>
      </c>
      <c r="P590" t="str">
        <f>"INV-00116507 CT093077         "</f>
        <v xml:space="preserve">INV-00116507 CT093077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63.81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3</v>
      </c>
      <c r="BI590">
        <v>8.3000000000000007</v>
      </c>
      <c r="BJ590">
        <v>23.6</v>
      </c>
      <c r="BK590">
        <v>24</v>
      </c>
      <c r="BL590">
        <v>198.28</v>
      </c>
      <c r="BM590">
        <v>29.74</v>
      </c>
      <c r="BN590">
        <v>228.02</v>
      </c>
      <c r="BO590">
        <v>228.02</v>
      </c>
      <c r="BQ590" t="s">
        <v>1620</v>
      </c>
      <c r="BR590" t="s">
        <v>101</v>
      </c>
      <c r="BS590" t="s">
        <v>83</v>
      </c>
      <c r="BY590">
        <v>117887.96</v>
      </c>
      <c r="CC590" t="s">
        <v>300</v>
      </c>
      <c r="CD590">
        <v>2162</v>
      </c>
      <c r="CE590" t="s">
        <v>584</v>
      </c>
      <c r="CI590">
        <v>2</v>
      </c>
      <c r="CJ590" t="s">
        <v>83</v>
      </c>
      <c r="CK590">
        <v>41</v>
      </c>
      <c r="CL590" t="s">
        <v>87</v>
      </c>
    </row>
    <row r="591" spans="1:90" x14ac:dyDescent="0.3">
      <c r="A591" t="s">
        <v>72</v>
      </c>
      <c r="B591" t="s">
        <v>73</v>
      </c>
      <c r="C591" t="s">
        <v>74</v>
      </c>
      <c r="E591" t="str">
        <f>"GAB2025199"</f>
        <v>GAB2025199</v>
      </c>
      <c r="F591" s="3">
        <v>45743</v>
      </c>
      <c r="G591">
        <v>202512</v>
      </c>
      <c r="H591" t="s">
        <v>97</v>
      </c>
      <c r="I591" t="s">
        <v>98</v>
      </c>
      <c r="J591" t="s">
        <v>99</v>
      </c>
      <c r="K591" t="s">
        <v>78</v>
      </c>
      <c r="L591" t="s">
        <v>238</v>
      </c>
      <c r="M591" t="s">
        <v>239</v>
      </c>
      <c r="N591" t="s">
        <v>1621</v>
      </c>
      <c r="O591" t="s">
        <v>100</v>
      </c>
      <c r="P591" t="str">
        <f>"INV-00116508 CT092574         "</f>
        <v xml:space="preserve">INV-00116508 CT092574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79.17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4</v>
      </c>
      <c r="BI591">
        <v>12.2</v>
      </c>
      <c r="BJ591">
        <v>31.2</v>
      </c>
      <c r="BK591">
        <v>32</v>
      </c>
      <c r="BL591">
        <v>244.68</v>
      </c>
      <c r="BM591">
        <v>36.700000000000003</v>
      </c>
      <c r="BN591">
        <v>281.38</v>
      </c>
      <c r="BO591">
        <v>281.38</v>
      </c>
      <c r="BQ591" t="s">
        <v>1622</v>
      </c>
      <c r="BR591" t="s">
        <v>101</v>
      </c>
      <c r="BS591" t="s">
        <v>83</v>
      </c>
      <c r="BY591">
        <v>155975.04000000001</v>
      </c>
      <c r="CC591" t="s">
        <v>239</v>
      </c>
      <c r="CD591">
        <v>2128</v>
      </c>
      <c r="CE591" t="s">
        <v>584</v>
      </c>
      <c r="CI591">
        <v>2</v>
      </c>
      <c r="CJ591" t="s">
        <v>83</v>
      </c>
      <c r="CK591">
        <v>41</v>
      </c>
      <c r="CL591" t="s">
        <v>87</v>
      </c>
    </row>
    <row r="592" spans="1:90" x14ac:dyDescent="0.3">
      <c r="A592" t="s">
        <v>72</v>
      </c>
      <c r="B592" t="s">
        <v>73</v>
      </c>
      <c r="C592" t="s">
        <v>74</v>
      </c>
      <c r="E592" t="str">
        <f>"009945076008"</f>
        <v>009945076008</v>
      </c>
      <c r="F592" s="3">
        <v>45743</v>
      </c>
      <c r="G592">
        <v>202512</v>
      </c>
      <c r="H592" t="s">
        <v>79</v>
      </c>
      <c r="I592" t="s">
        <v>80</v>
      </c>
      <c r="J592" t="s">
        <v>194</v>
      </c>
      <c r="K592" t="s">
        <v>78</v>
      </c>
      <c r="L592" t="s">
        <v>519</v>
      </c>
      <c r="M592" t="s">
        <v>520</v>
      </c>
      <c r="N592" t="s">
        <v>201</v>
      </c>
      <c r="O592" t="s">
        <v>82</v>
      </c>
      <c r="P592" t="str">
        <f>"NA                            "</f>
        <v xml:space="preserve">NA                 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24.06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1</v>
      </c>
      <c r="BJ592">
        <v>0.2</v>
      </c>
      <c r="BK592">
        <v>1</v>
      </c>
      <c r="BL592">
        <v>72.66</v>
      </c>
      <c r="BM592">
        <v>10.9</v>
      </c>
      <c r="BN592">
        <v>83.56</v>
      </c>
      <c r="BO592">
        <v>83.56</v>
      </c>
      <c r="BQ592" t="s">
        <v>632</v>
      </c>
      <c r="BR592" t="s">
        <v>196</v>
      </c>
      <c r="BS592" t="s">
        <v>83</v>
      </c>
      <c r="BY592">
        <v>1200</v>
      </c>
      <c r="BZ592" t="s">
        <v>90</v>
      </c>
      <c r="CC592" t="s">
        <v>520</v>
      </c>
      <c r="CD592">
        <v>6000</v>
      </c>
      <c r="CE592" t="s">
        <v>200</v>
      </c>
      <c r="CI592">
        <v>1</v>
      </c>
      <c r="CJ592" t="s">
        <v>83</v>
      </c>
      <c r="CK592">
        <v>21</v>
      </c>
      <c r="CL592" t="s">
        <v>87</v>
      </c>
    </row>
    <row r="593" spans="1:90" x14ac:dyDescent="0.3">
      <c r="A593" t="s">
        <v>72</v>
      </c>
      <c r="B593" t="s">
        <v>73</v>
      </c>
      <c r="C593" t="s">
        <v>74</v>
      </c>
      <c r="E593" t="str">
        <f>"009945076007"</f>
        <v>009945076007</v>
      </c>
      <c r="F593" s="3">
        <v>45743</v>
      </c>
      <c r="G593">
        <v>202512</v>
      </c>
      <c r="H593" t="s">
        <v>79</v>
      </c>
      <c r="I593" t="s">
        <v>80</v>
      </c>
      <c r="J593" t="s">
        <v>194</v>
      </c>
      <c r="K593" t="s">
        <v>78</v>
      </c>
      <c r="L593" t="s">
        <v>112</v>
      </c>
      <c r="M593" t="s">
        <v>113</v>
      </c>
      <c r="N593" t="s">
        <v>201</v>
      </c>
      <c r="O593" t="s">
        <v>82</v>
      </c>
      <c r="P593" t="str">
        <f>"NA                            "</f>
        <v xml:space="preserve">NA        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24.06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1</v>
      </c>
      <c r="BJ593">
        <v>0.2</v>
      </c>
      <c r="BK593">
        <v>1</v>
      </c>
      <c r="BL593">
        <v>72.66</v>
      </c>
      <c r="BM593">
        <v>10.9</v>
      </c>
      <c r="BN593">
        <v>83.56</v>
      </c>
      <c r="BO593">
        <v>83.56</v>
      </c>
      <c r="BQ593" t="s">
        <v>1623</v>
      </c>
      <c r="BR593" t="s">
        <v>252</v>
      </c>
      <c r="BS593" s="3">
        <v>45744</v>
      </c>
      <c r="BT593" s="4">
        <v>0.56458333333333333</v>
      </c>
      <c r="BU593" t="s">
        <v>1624</v>
      </c>
      <c r="BV593" t="s">
        <v>87</v>
      </c>
      <c r="BY593">
        <v>1200</v>
      </c>
      <c r="BZ593" t="s">
        <v>90</v>
      </c>
      <c r="CA593" t="s">
        <v>1272</v>
      </c>
      <c r="CC593" t="s">
        <v>113</v>
      </c>
      <c r="CD593">
        <v>9300</v>
      </c>
      <c r="CE593" t="s">
        <v>200</v>
      </c>
      <c r="CI593">
        <v>1</v>
      </c>
      <c r="CJ593">
        <v>1</v>
      </c>
      <c r="CK593">
        <v>21</v>
      </c>
      <c r="CL593" t="s">
        <v>87</v>
      </c>
    </row>
    <row r="594" spans="1:90" x14ac:dyDescent="0.3">
      <c r="A594" t="s">
        <v>72</v>
      </c>
      <c r="B594" t="s">
        <v>73</v>
      </c>
      <c r="C594" t="s">
        <v>74</v>
      </c>
      <c r="E594" t="str">
        <f>"009940256424"</f>
        <v>009940256424</v>
      </c>
      <c r="F594" s="3">
        <v>45743</v>
      </c>
      <c r="G594">
        <v>202512</v>
      </c>
      <c r="H594" t="s">
        <v>97</v>
      </c>
      <c r="I594" t="s">
        <v>98</v>
      </c>
      <c r="J594" t="s">
        <v>119</v>
      </c>
      <c r="K594" t="s">
        <v>78</v>
      </c>
      <c r="L594" t="s">
        <v>75</v>
      </c>
      <c r="M594" t="s">
        <v>76</v>
      </c>
      <c r="N594" t="s">
        <v>1625</v>
      </c>
      <c r="O594" t="s">
        <v>1626</v>
      </c>
      <c r="P594" t="str">
        <f>"JNX203371                     "</f>
        <v xml:space="preserve">JNX203371            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507.86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287.47000000000003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3</v>
      </c>
      <c r="BJ594">
        <v>0.8</v>
      </c>
      <c r="BK594">
        <v>3</v>
      </c>
      <c r="BL594">
        <v>868.21</v>
      </c>
      <c r="BM594">
        <v>130.22999999999999</v>
      </c>
      <c r="BN594">
        <v>998.44</v>
      </c>
      <c r="BO594">
        <v>998.44</v>
      </c>
      <c r="BP594" t="s">
        <v>1627</v>
      </c>
      <c r="BR594" t="s">
        <v>1628</v>
      </c>
      <c r="BS594" s="3">
        <v>45744</v>
      </c>
      <c r="BT594" s="4">
        <v>0.375</v>
      </c>
      <c r="BU594" t="s">
        <v>1492</v>
      </c>
      <c r="BV594" t="s">
        <v>87</v>
      </c>
      <c r="BY594">
        <v>4160</v>
      </c>
      <c r="BZ594" t="s">
        <v>1629</v>
      </c>
      <c r="CC594" t="s">
        <v>76</v>
      </c>
      <c r="CD594">
        <v>4000</v>
      </c>
      <c r="CE594" t="s">
        <v>265</v>
      </c>
      <c r="CF594" s="3">
        <v>45744</v>
      </c>
      <c r="CI594">
        <v>0</v>
      </c>
      <c r="CJ594">
        <v>1</v>
      </c>
      <c r="CK594">
        <v>21</v>
      </c>
      <c r="CL594" t="s">
        <v>87</v>
      </c>
    </row>
    <row r="595" spans="1:90" x14ac:dyDescent="0.3">
      <c r="A595" t="s">
        <v>72</v>
      </c>
      <c r="B595" t="s">
        <v>73</v>
      </c>
      <c r="C595" t="s">
        <v>74</v>
      </c>
      <c r="E595" t="str">
        <f>"GAB2025230"</f>
        <v>GAB2025230</v>
      </c>
      <c r="F595" s="3">
        <v>45744</v>
      </c>
      <c r="G595">
        <v>202512</v>
      </c>
      <c r="H595" t="s">
        <v>97</v>
      </c>
      <c r="I595" t="s">
        <v>98</v>
      </c>
      <c r="J595" t="s">
        <v>99</v>
      </c>
      <c r="K595" t="s">
        <v>78</v>
      </c>
      <c r="L595" t="s">
        <v>79</v>
      </c>
      <c r="M595" t="s">
        <v>80</v>
      </c>
      <c r="N595" t="s">
        <v>1630</v>
      </c>
      <c r="O595" t="s">
        <v>82</v>
      </c>
      <c r="P595" t="str">
        <f>"INV-00034111 031001           "</f>
        <v xml:space="preserve">INV-00034111 031001  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30.07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1</v>
      </c>
      <c r="BJ595">
        <v>2.4</v>
      </c>
      <c r="BK595">
        <v>2.5</v>
      </c>
      <c r="BL595">
        <v>90.81</v>
      </c>
      <c r="BM595">
        <v>13.62</v>
      </c>
      <c r="BN595">
        <v>104.43</v>
      </c>
      <c r="BO595">
        <v>104.43</v>
      </c>
      <c r="BQ595" t="s">
        <v>367</v>
      </c>
      <c r="BR595" t="s">
        <v>101</v>
      </c>
      <c r="BS595" t="s">
        <v>83</v>
      </c>
      <c r="BY595">
        <v>12000</v>
      </c>
      <c r="CC595" t="s">
        <v>80</v>
      </c>
      <c r="CD595" s="5" t="s">
        <v>92</v>
      </c>
      <c r="CE595" t="s">
        <v>149</v>
      </c>
      <c r="CI595">
        <v>1</v>
      </c>
      <c r="CJ595" t="s">
        <v>83</v>
      </c>
      <c r="CK595">
        <v>21</v>
      </c>
      <c r="CL595" t="s">
        <v>87</v>
      </c>
    </row>
    <row r="596" spans="1:90" x14ac:dyDescent="0.3">
      <c r="A596" t="s">
        <v>72</v>
      </c>
      <c r="B596" t="s">
        <v>73</v>
      </c>
      <c r="C596" t="s">
        <v>74</v>
      </c>
      <c r="E596" t="str">
        <f>"GAB2025202"</f>
        <v>GAB2025202</v>
      </c>
      <c r="F596" s="3">
        <v>45744</v>
      </c>
      <c r="G596">
        <v>202512</v>
      </c>
      <c r="H596" t="s">
        <v>97</v>
      </c>
      <c r="I596" t="s">
        <v>98</v>
      </c>
      <c r="J596" t="s">
        <v>99</v>
      </c>
      <c r="K596" t="s">
        <v>78</v>
      </c>
      <c r="L596" t="s">
        <v>97</v>
      </c>
      <c r="M596" t="s">
        <v>98</v>
      </c>
      <c r="N596" t="s">
        <v>967</v>
      </c>
      <c r="O596" t="s">
        <v>82</v>
      </c>
      <c r="P596" t="str">
        <f>"INV-00116514 CT093483         "</f>
        <v xml:space="preserve">INV-00116514 CT093483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18.79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0.3</v>
      </c>
      <c r="BJ596">
        <v>2.2000000000000002</v>
      </c>
      <c r="BK596">
        <v>3</v>
      </c>
      <c r="BL596">
        <v>56.75</v>
      </c>
      <c r="BM596">
        <v>8.51</v>
      </c>
      <c r="BN596">
        <v>65.260000000000005</v>
      </c>
      <c r="BO596">
        <v>65.260000000000005</v>
      </c>
      <c r="BQ596" t="s">
        <v>968</v>
      </c>
      <c r="BR596" t="s">
        <v>101</v>
      </c>
      <c r="BS596" t="s">
        <v>83</v>
      </c>
      <c r="BY596">
        <v>10762.47</v>
      </c>
      <c r="CC596" t="s">
        <v>98</v>
      </c>
      <c r="CD596">
        <v>7441</v>
      </c>
      <c r="CE596" t="s">
        <v>213</v>
      </c>
      <c r="CI596">
        <v>1</v>
      </c>
      <c r="CJ596" t="s">
        <v>83</v>
      </c>
      <c r="CK596">
        <v>22</v>
      </c>
      <c r="CL596" t="s">
        <v>87</v>
      </c>
    </row>
    <row r="597" spans="1:90" x14ac:dyDescent="0.3">
      <c r="A597" t="s">
        <v>72</v>
      </c>
      <c r="B597" t="s">
        <v>73</v>
      </c>
      <c r="C597" t="s">
        <v>74</v>
      </c>
      <c r="E597" t="str">
        <f>"GAB2025204"</f>
        <v>GAB2025204</v>
      </c>
      <c r="F597" s="3">
        <v>45744</v>
      </c>
      <c r="G597">
        <v>202512</v>
      </c>
      <c r="H597" t="s">
        <v>97</v>
      </c>
      <c r="I597" t="s">
        <v>98</v>
      </c>
      <c r="J597" t="s">
        <v>99</v>
      </c>
      <c r="K597" t="s">
        <v>78</v>
      </c>
      <c r="L597" t="s">
        <v>502</v>
      </c>
      <c r="M597" t="s">
        <v>503</v>
      </c>
      <c r="N597" t="s">
        <v>660</v>
      </c>
      <c r="O597" t="s">
        <v>82</v>
      </c>
      <c r="P597" t="str">
        <f>"INV-00116516 CT093487         "</f>
        <v xml:space="preserve">INV-00116516 CT093487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24.06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0.6</v>
      </c>
      <c r="BJ597">
        <v>1.6</v>
      </c>
      <c r="BK597">
        <v>2</v>
      </c>
      <c r="BL597">
        <v>72.66</v>
      </c>
      <c r="BM597">
        <v>10.9</v>
      </c>
      <c r="BN597">
        <v>83.56</v>
      </c>
      <c r="BO597">
        <v>83.56</v>
      </c>
      <c r="BR597" t="s">
        <v>101</v>
      </c>
      <c r="BS597" t="s">
        <v>83</v>
      </c>
      <c r="BY597">
        <v>8232.84</v>
      </c>
      <c r="CC597" t="s">
        <v>503</v>
      </c>
      <c r="CD597">
        <v>5200</v>
      </c>
      <c r="CE597" t="s">
        <v>224</v>
      </c>
      <c r="CI597">
        <v>1</v>
      </c>
      <c r="CJ597" t="s">
        <v>83</v>
      </c>
      <c r="CK597">
        <v>21</v>
      </c>
      <c r="CL597" t="s">
        <v>87</v>
      </c>
    </row>
    <row r="598" spans="1:90" x14ac:dyDescent="0.3">
      <c r="A598" t="s">
        <v>72</v>
      </c>
      <c r="B598" t="s">
        <v>73</v>
      </c>
      <c r="C598" t="s">
        <v>74</v>
      </c>
      <c r="E598" t="str">
        <f>"GAB2025205"</f>
        <v>GAB2025205</v>
      </c>
      <c r="F598" s="3">
        <v>45744</v>
      </c>
      <c r="G598">
        <v>202512</v>
      </c>
      <c r="H598" t="s">
        <v>97</v>
      </c>
      <c r="I598" t="s">
        <v>98</v>
      </c>
      <c r="J598" t="s">
        <v>99</v>
      </c>
      <c r="K598" t="s">
        <v>78</v>
      </c>
      <c r="L598" t="s">
        <v>112</v>
      </c>
      <c r="M598" t="s">
        <v>113</v>
      </c>
      <c r="N598" t="s">
        <v>1631</v>
      </c>
      <c r="O598" t="s">
        <v>82</v>
      </c>
      <c r="P598" t="str">
        <f>"INV-00116519 CT093488         "</f>
        <v xml:space="preserve">INV-00116519 CT093488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30.07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0.2</v>
      </c>
      <c r="BJ598">
        <v>2.1</v>
      </c>
      <c r="BK598">
        <v>2.5</v>
      </c>
      <c r="BL598">
        <v>90.81</v>
      </c>
      <c r="BM598">
        <v>13.62</v>
      </c>
      <c r="BN598">
        <v>104.43</v>
      </c>
      <c r="BO598">
        <v>104.43</v>
      </c>
      <c r="BQ598" t="s">
        <v>1632</v>
      </c>
      <c r="BR598" t="s">
        <v>101</v>
      </c>
      <c r="BS598" t="s">
        <v>83</v>
      </c>
      <c r="BY598">
        <v>10317.299999999999</v>
      </c>
      <c r="CC598" t="s">
        <v>113</v>
      </c>
      <c r="CD598">
        <v>9301</v>
      </c>
      <c r="CE598" t="s">
        <v>149</v>
      </c>
      <c r="CI598">
        <v>2</v>
      </c>
      <c r="CJ598" t="s">
        <v>83</v>
      </c>
      <c r="CK598">
        <v>21</v>
      </c>
      <c r="CL598" t="s">
        <v>87</v>
      </c>
    </row>
    <row r="599" spans="1:90" x14ac:dyDescent="0.3">
      <c r="A599" t="s">
        <v>72</v>
      </c>
      <c r="B599" t="s">
        <v>73</v>
      </c>
      <c r="C599" t="s">
        <v>74</v>
      </c>
      <c r="E599" t="str">
        <f>"GAB2025206"</f>
        <v>GAB2025206</v>
      </c>
      <c r="F599" s="3">
        <v>45744</v>
      </c>
      <c r="G599">
        <v>202512</v>
      </c>
      <c r="H599" t="s">
        <v>97</v>
      </c>
      <c r="I599" t="s">
        <v>98</v>
      </c>
      <c r="J599" t="s">
        <v>99</v>
      </c>
      <c r="K599" t="s">
        <v>78</v>
      </c>
      <c r="L599" t="s">
        <v>1633</v>
      </c>
      <c r="M599" t="s">
        <v>1634</v>
      </c>
      <c r="N599" t="s">
        <v>1635</v>
      </c>
      <c r="O599" t="s">
        <v>82</v>
      </c>
      <c r="P599" t="str">
        <f>"INV-00034088 031439           "</f>
        <v xml:space="preserve">INV-00034088 031439  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57.13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0.2</v>
      </c>
      <c r="BJ599">
        <v>2.2999999999999998</v>
      </c>
      <c r="BK599">
        <v>2.5</v>
      </c>
      <c r="BL599">
        <v>172.55</v>
      </c>
      <c r="BM599">
        <v>25.88</v>
      </c>
      <c r="BN599">
        <v>198.43</v>
      </c>
      <c r="BO599">
        <v>198.43</v>
      </c>
      <c r="BQ599" t="s">
        <v>1636</v>
      </c>
      <c r="BR599" t="s">
        <v>101</v>
      </c>
      <c r="BS599" t="s">
        <v>83</v>
      </c>
      <c r="BY599">
        <v>11274.6</v>
      </c>
      <c r="CC599" t="s">
        <v>1634</v>
      </c>
      <c r="CD599">
        <v>7380</v>
      </c>
      <c r="CE599" t="s">
        <v>137</v>
      </c>
      <c r="CI599">
        <v>5</v>
      </c>
      <c r="CJ599" t="s">
        <v>83</v>
      </c>
      <c r="CK599">
        <v>23</v>
      </c>
      <c r="CL599" t="s">
        <v>87</v>
      </c>
    </row>
    <row r="600" spans="1:90" x14ac:dyDescent="0.3">
      <c r="A600" t="s">
        <v>72</v>
      </c>
      <c r="B600" t="s">
        <v>73</v>
      </c>
      <c r="C600" t="s">
        <v>74</v>
      </c>
      <c r="E600" t="str">
        <f>"GAB2025207"</f>
        <v>GAB2025207</v>
      </c>
      <c r="F600" s="3">
        <v>45744</v>
      </c>
      <c r="G600">
        <v>202512</v>
      </c>
      <c r="H600" t="s">
        <v>97</v>
      </c>
      <c r="I600" t="s">
        <v>98</v>
      </c>
      <c r="J600" t="s">
        <v>99</v>
      </c>
      <c r="K600" t="s">
        <v>78</v>
      </c>
      <c r="L600" t="s">
        <v>1264</v>
      </c>
      <c r="M600" t="s">
        <v>1265</v>
      </c>
      <c r="N600" t="s">
        <v>1266</v>
      </c>
      <c r="O600" t="s">
        <v>82</v>
      </c>
      <c r="P600" t="str">
        <f>"INV-00034089 031431           "</f>
        <v xml:space="preserve">INV-00034089 031431  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46.61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0.2</v>
      </c>
      <c r="BJ600">
        <v>1.9</v>
      </c>
      <c r="BK600">
        <v>2</v>
      </c>
      <c r="BL600">
        <v>140.77000000000001</v>
      </c>
      <c r="BM600">
        <v>21.12</v>
      </c>
      <c r="BN600">
        <v>161.88999999999999</v>
      </c>
      <c r="BO600">
        <v>161.88999999999999</v>
      </c>
      <c r="BQ600" t="s">
        <v>1267</v>
      </c>
      <c r="BR600" t="s">
        <v>101</v>
      </c>
      <c r="BS600" t="s">
        <v>83</v>
      </c>
      <c r="BY600">
        <v>9468.9</v>
      </c>
      <c r="CC600" t="s">
        <v>1265</v>
      </c>
      <c r="CD600">
        <v>5320</v>
      </c>
      <c r="CE600" t="s">
        <v>137</v>
      </c>
      <c r="CI600">
        <v>5</v>
      </c>
      <c r="CJ600" t="s">
        <v>83</v>
      </c>
      <c r="CK600">
        <v>23</v>
      </c>
      <c r="CL600" t="s">
        <v>87</v>
      </c>
    </row>
    <row r="601" spans="1:90" x14ac:dyDescent="0.3">
      <c r="A601" t="s">
        <v>72</v>
      </c>
      <c r="B601" t="s">
        <v>73</v>
      </c>
      <c r="C601" t="s">
        <v>74</v>
      </c>
      <c r="E601" t="str">
        <f>"GAB2025208"</f>
        <v>GAB2025208</v>
      </c>
      <c r="F601" s="3">
        <v>45744</v>
      </c>
      <c r="G601">
        <v>202512</v>
      </c>
      <c r="H601" t="s">
        <v>97</v>
      </c>
      <c r="I601" t="s">
        <v>98</v>
      </c>
      <c r="J601" t="s">
        <v>99</v>
      </c>
      <c r="K601" t="s">
        <v>78</v>
      </c>
      <c r="L601" t="s">
        <v>97</v>
      </c>
      <c r="M601" t="s">
        <v>98</v>
      </c>
      <c r="N601" t="s">
        <v>233</v>
      </c>
      <c r="O601" t="s">
        <v>82</v>
      </c>
      <c r="P601" t="str">
        <f>"INV-00034090 031473           "</f>
        <v xml:space="preserve">INV-00034090 031473  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18.79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1</v>
      </c>
      <c r="BI601">
        <v>0.2</v>
      </c>
      <c r="BJ601">
        <v>2</v>
      </c>
      <c r="BK601">
        <v>2</v>
      </c>
      <c r="BL601">
        <v>56.75</v>
      </c>
      <c r="BM601">
        <v>8.51</v>
      </c>
      <c r="BN601">
        <v>65.260000000000005</v>
      </c>
      <c r="BO601">
        <v>65.260000000000005</v>
      </c>
      <c r="BQ601" t="s">
        <v>1637</v>
      </c>
      <c r="BR601" t="s">
        <v>101</v>
      </c>
      <c r="BS601" t="s">
        <v>83</v>
      </c>
      <c r="BY601">
        <v>10220.39</v>
      </c>
      <c r="CC601" t="s">
        <v>98</v>
      </c>
      <c r="CD601">
        <v>7708</v>
      </c>
      <c r="CE601" t="s">
        <v>137</v>
      </c>
      <c r="CI601">
        <v>1</v>
      </c>
      <c r="CJ601" t="s">
        <v>83</v>
      </c>
      <c r="CK601">
        <v>22</v>
      </c>
      <c r="CL601" t="s">
        <v>87</v>
      </c>
    </row>
    <row r="602" spans="1:90" x14ac:dyDescent="0.3">
      <c r="A602" t="s">
        <v>72</v>
      </c>
      <c r="B602" t="s">
        <v>73</v>
      </c>
      <c r="C602" t="s">
        <v>74</v>
      </c>
      <c r="E602" t="str">
        <f>"GAB2025209"</f>
        <v>GAB2025209</v>
      </c>
      <c r="F602" s="3">
        <v>45744</v>
      </c>
      <c r="G602">
        <v>202512</v>
      </c>
      <c r="H602" t="s">
        <v>97</v>
      </c>
      <c r="I602" t="s">
        <v>98</v>
      </c>
      <c r="J602" t="s">
        <v>99</v>
      </c>
      <c r="K602" t="s">
        <v>78</v>
      </c>
      <c r="L602" t="s">
        <v>238</v>
      </c>
      <c r="M602" t="s">
        <v>239</v>
      </c>
      <c r="N602" t="s">
        <v>1013</v>
      </c>
      <c r="O602" t="s">
        <v>82</v>
      </c>
      <c r="P602" t="str">
        <f>"INV-00034091 031447           "</f>
        <v xml:space="preserve">INV-00034091 031447  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30.07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0.3</v>
      </c>
      <c r="BJ602">
        <v>2.2000000000000002</v>
      </c>
      <c r="BK602">
        <v>2.5</v>
      </c>
      <c r="BL602">
        <v>90.81</v>
      </c>
      <c r="BM602">
        <v>13.62</v>
      </c>
      <c r="BN602">
        <v>104.43</v>
      </c>
      <c r="BO602">
        <v>104.43</v>
      </c>
      <c r="BQ602" t="s">
        <v>1014</v>
      </c>
      <c r="BR602" t="s">
        <v>101</v>
      </c>
      <c r="BS602" s="3">
        <v>45747</v>
      </c>
      <c r="BT602" s="4">
        <v>0.3215277777777778</v>
      </c>
      <c r="BU602" t="s">
        <v>1638</v>
      </c>
      <c r="BV602" t="s">
        <v>109</v>
      </c>
      <c r="BY602">
        <v>11225.61</v>
      </c>
      <c r="CA602" t="s">
        <v>1596</v>
      </c>
      <c r="CC602" t="s">
        <v>239</v>
      </c>
      <c r="CD602">
        <v>2191</v>
      </c>
      <c r="CE602" t="s">
        <v>149</v>
      </c>
      <c r="CI602">
        <v>1</v>
      </c>
      <c r="CJ602">
        <v>1</v>
      </c>
      <c r="CK602">
        <v>21</v>
      </c>
      <c r="CL602" t="s">
        <v>87</v>
      </c>
    </row>
    <row r="603" spans="1:90" x14ac:dyDescent="0.3">
      <c r="A603" t="s">
        <v>72</v>
      </c>
      <c r="B603" t="s">
        <v>73</v>
      </c>
      <c r="C603" t="s">
        <v>74</v>
      </c>
      <c r="E603" t="str">
        <f>"GAB2025211"</f>
        <v>GAB2025211</v>
      </c>
      <c r="F603" s="3">
        <v>45744</v>
      </c>
      <c r="G603">
        <v>202512</v>
      </c>
      <c r="H603" t="s">
        <v>97</v>
      </c>
      <c r="I603" t="s">
        <v>98</v>
      </c>
      <c r="J603" t="s">
        <v>99</v>
      </c>
      <c r="K603" t="s">
        <v>78</v>
      </c>
      <c r="L603" t="s">
        <v>491</v>
      </c>
      <c r="M603" t="s">
        <v>492</v>
      </c>
      <c r="N603" t="s">
        <v>1639</v>
      </c>
      <c r="O603" t="s">
        <v>82</v>
      </c>
      <c r="P603" t="str">
        <f>"INV-00034093 00034094 030152 0"</f>
        <v>INV-00034093 00034094 030152 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30.07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1</v>
      </c>
      <c r="BI603">
        <v>0.4</v>
      </c>
      <c r="BJ603">
        <v>2.2000000000000002</v>
      </c>
      <c r="BK603">
        <v>2.5</v>
      </c>
      <c r="BL603">
        <v>90.81</v>
      </c>
      <c r="BM603">
        <v>13.62</v>
      </c>
      <c r="BN603">
        <v>104.43</v>
      </c>
      <c r="BO603">
        <v>104.43</v>
      </c>
      <c r="BQ603" t="s">
        <v>241</v>
      </c>
      <c r="BR603" t="s">
        <v>101</v>
      </c>
      <c r="BS603" t="s">
        <v>83</v>
      </c>
      <c r="BY603">
        <v>11219.52</v>
      </c>
      <c r="CC603" t="s">
        <v>492</v>
      </c>
      <c r="CD603">
        <v>1724</v>
      </c>
      <c r="CE603" t="s">
        <v>213</v>
      </c>
      <c r="CI603">
        <v>1</v>
      </c>
      <c r="CJ603" t="s">
        <v>83</v>
      </c>
      <c r="CK603">
        <v>21</v>
      </c>
      <c r="CL603" t="s">
        <v>87</v>
      </c>
    </row>
    <row r="604" spans="1:90" x14ac:dyDescent="0.3">
      <c r="A604" t="s">
        <v>72</v>
      </c>
      <c r="B604" t="s">
        <v>73</v>
      </c>
      <c r="C604" t="s">
        <v>74</v>
      </c>
      <c r="E604" t="str">
        <f>"GAB2025212"</f>
        <v>GAB2025212</v>
      </c>
      <c r="F604" s="3">
        <v>45744</v>
      </c>
      <c r="G604">
        <v>202512</v>
      </c>
      <c r="H604" t="s">
        <v>97</v>
      </c>
      <c r="I604" t="s">
        <v>98</v>
      </c>
      <c r="J604" t="s">
        <v>99</v>
      </c>
      <c r="K604" t="s">
        <v>78</v>
      </c>
      <c r="L604" t="s">
        <v>79</v>
      </c>
      <c r="M604" t="s">
        <v>80</v>
      </c>
      <c r="N604" t="s">
        <v>106</v>
      </c>
      <c r="O604" t="s">
        <v>82</v>
      </c>
      <c r="P604" t="str">
        <f>"INV-00116533 00116534 CT093191"</f>
        <v>INV-00116533 00116534 CT093191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30.07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1</v>
      </c>
      <c r="BJ604">
        <v>2.4</v>
      </c>
      <c r="BK604">
        <v>2.5</v>
      </c>
      <c r="BL604">
        <v>90.81</v>
      </c>
      <c r="BM604">
        <v>13.62</v>
      </c>
      <c r="BN604">
        <v>104.43</v>
      </c>
      <c r="BO604">
        <v>104.43</v>
      </c>
      <c r="BQ604" t="s">
        <v>1640</v>
      </c>
      <c r="BR604" t="s">
        <v>101</v>
      </c>
      <c r="BS604" t="s">
        <v>83</v>
      </c>
      <c r="BY604">
        <v>11864.48</v>
      </c>
      <c r="CC604" t="s">
        <v>80</v>
      </c>
      <c r="CD604" s="5" t="s">
        <v>92</v>
      </c>
      <c r="CE604" t="s">
        <v>1641</v>
      </c>
      <c r="CI604">
        <v>1</v>
      </c>
      <c r="CJ604" t="s">
        <v>83</v>
      </c>
      <c r="CK604">
        <v>21</v>
      </c>
      <c r="CL604" t="s">
        <v>87</v>
      </c>
    </row>
    <row r="605" spans="1:90" x14ac:dyDescent="0.3">
      <c r="A605" t="s">
        <v>72</v>
      </c>
      <c r="B605" t="s">
        <v>73</v>
      </c>
      <c r="C605" t="s">
        <v>74</v>
      </c>
      <c r="E605" t="str">
        <f>"GAB2025219"</f>
        <v>GAB2025219</v>
      </c>
      <c r="F605" s="3">
        <v>45744</v>
      </c>
      <c r="G605">
        <v>202512</v>
      </c>
      <c r="H605" t="s">
        <v>97</v>
      </c>
      <c r="I605" t="s">
        <v>98</v>
      </c>
      <c r="J605" t="s">
        <v>99</v>
      </c>
      <c r="K605" t="s">
        <v>78</v>
      </c>
      <c r="L605" t="s">
        <v>97</v>
      </c>
      <c r="M605" t="s">
        <v>98</v>
      </c>
      <c r="N605" t="s">
        <v>959</v>
      </c>
      <c r="O605" t="s">
        <v>82</v>
      </c>
      <c r="P605" t="str">
        <f>"INV-00116538 CT093108         "</f>
        <v xml:space="preserve">INV-00116538 CT093108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18.79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0.2</v>
      </c>
      <c r="BJ605">
        <v>2.2000000000000002</v>
      </c>
      <c r="BK605">
        <v>3</v>
      </c>
      <c r="BL605">
        <v>56.75</v>
      </c>
      <c r="BM605">
        <v>8.51</v>
      </c>
      <c r="BN605">
        <v>65.260000000000005</v>
      </c>
      <c r="BO605">
        <v>65.260000000000005</v>
      </c>
      <c r="BQ605" t="s">
        <v>960</v>
      </c>
      <c r="BR605" t="s">
        <v>101</v>
      </c>
      <c r="BS605" t="s">
        <v>83</v>
      </c>
      <c r="BY605">
        <v>10965.95</v>
      </c>
      <c r="CC605" t="s">
        <v>98</v>
      </c>
      <c r="CD605">
        <v>7800</v>
      </c>
      <c r="CE605" t="s">
        <v>137</v>
      </c>
      <c r="CI605">
        <v>1</v>
      </c>
      <c r="CJ605" t="s">
        <v>83</v>
      </c>
      <c r="CK605">
        <v>22</v>
      </c>
      <c r="CL605" t="s">
        <v>87</v>
      </c>
    </row>
    <row r="606" spans="1:90" x14ac:dyDescent="0.3">
      <c r="A606" t="s">
        <v>72</v>
      </c>
      <c r="B606" t="s">
        <v>73</v>
      </c>
      <c r="C606" t="s">
        <v>74</v>
      </c>
      <c r="E606" t="str">
        <f>"GAB2025221"</f>
        <v>GAB2025221</v>
      </c>
      <c r="F606" s="3">
        <v>45744</v>
      </c>
      <c r="G606">
        <v>202512</v>
      </c>
      <c r="H606" t="s">
        <v>97</v>
      </c>
      <c r="I606" t="s">
        <v>98</v>
      </c>
      <c r="J606" t="s">
        <v>99</v>
      </c>
      <c r="K606" t="s">
        <v>78</v>
      </c>
      <c r="L606" t="s">
        <v>244</v>
      </c>
      <c r="M606" t="s">
        <v>245</v>
      </c>
      <c r="N606" t="s">
        <v>246</v>
      </c>
      <c r="O606" t="s">
        <v>82</v>
      </c>
      <c r="P606" t="str">
        <f>"INV-00116539 CT093150         "</f>
        <v xml:space="preserve">INV-00116539 CT093150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46.61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1</v>
      </c>
      <c r="BI606">
        <v>0.2</v>
      </c>
      <c r="BJ606">
        <v>1.7</v>
      </c>
      <c r="BK606">
        <v>2</v>
      </c>
      <c r="BL606">
        <v>140.77000000000001</v>
      </c>
      <c r="BM606">
        <v>21.12</v>
      </c>
      <c r="BN606">
        <v>161.88999999999999</v>
      </c>
      <c r="BO606">
        <v>161.88999999999999</v>
      </c>
      <c r="BQ606" t="s">
        <v>247</v>
      </c>
      <c r="BR606" t="s">
        <v>101</v>
      </c>
      <c r="BS606" t="s">
        <v>83</v>
      </c>
      <c r="BY606">
        <v>8348.08</v>
      </c>
      <c r="CC606" t="s">
        <v>245</v>
      </c>
      <c r="CD606" s="5" t="s">
        <v>249</v>
      </c>
      <c r="CE606" t="s">
        <v>149</v>
      </c>
      <c r="CI606">
        <v>2</v>
      </c>
      <c r="CJ606" t="s">
        <v>83</v>
      </c>
      <c r="CK606">
        <v>23</v>
      </c>
      <c r="CL606" t="s">
        <v>87</v>
      </c>
    </row>
    <row r="607" spans="1:90" x14ac:dyDescent="0.3">
      <c r="A607" t="s">
        <v>72</v>
      </c>
      <c r="B607" t="s">
        <v>73</v>
      </c>
      <c r="C607" t="s">
        <v>74</v>
      </c>
      <c r="E607" t="str">
        <f>"GAB2025224"</f>
        <v>GAB2025224</v>
      </c>
      <c r="F607" s="3">
        <v>45744</v>
      </c>
      <c r="G607">
        <v>202512</v>
      </c>
      <c r="H607" t="s">
        <v>97</v>
      </c>
      <c r="I607" t="s">
        <v>98</v>
      </c>
      <c r="J607" t="s">
        <v>99</v>
      </c>
      <c r="K607" t="s">
        <v>78</v>
      </c>
      <c r="L607" t="s">
        <v>262</v>
      </c>
      <c r="M607" t="s">
        <v>263</v>
      </c>
      <c r="N607" t="s">
        <v>1642</v>
      </c>
      <c r="O607" t="s">
        <v>82</v>
      </c>
      <c r="P607" t="str">
        <f>"INV-00034107 031518           "</f>
        <v xml:space="preserve">INV-00034107 031518  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48.09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0.2</v>
      </c>
      <c r="BJ607">
        <v>3.6</v>
      </c>
      <c r="BK607">
        <v>4</v>
      </c>
      <c r="BL607">
        <v>145.25</v>
      </c>
      <c r="BM607">
        <v>21.79</v>
      </c>
      <c r="BN607">
        <v>167.04</v>
      </c>
      <c r="BO607">
        <v>167.04</v>
      </c>
      <c r="BQ607" t="s">
        <v>356</v>
      </c>
      <c r="BR607" t="s">
        <v>101</v>
      </c>
      <c r="BS607" t="s">
        <v>83</v>
      </c>
      <c r="BY607">
        <v>17813.25</v>
      </c>
      <c r="CC607" t="s">
        <v>263</v>
      </c>
      <c r="CD607" s="5" t="s">
        <v>444</v>
      </c>
      <c r="CE607" t="s">
        <v>1643</v>
      </c>
      <c r="CI607">
        <v>1</v>
      </c>
      <c r="CJ607" t="s">
        <v>83</v>
      </c>
      <c r="CK607">
        <v>21</v>
      </c>
      <c r="CL607" t="s">
        <v>87</v>
      </c>
    </row>
    <row r="608" spans="1:90" x14ac:dyDescent="0.3">
      <c r="A608" t="s">
        <v>72</v>
      </c>
      <c r="B608" t="s">
        <v>73</v>
      </c>
      <c r="C608" t="s">
        <v>74</v>
      </c>
      <c r="E608" t="str">
        <f>"GAB2025225"</f>
        <v>GAB2025225</v>
      </c>
      <c r="F608" s="3">
        <v>45744</v>
      </c>
      <c r="G608">
        <v>202512</v>
      </c>
      <c r="H608" t="s">
        <v>97</v>
      </c>
      <c r="I608" t="s">
        <v>98</v>
      </c>
      <c r="J608" t="s">
        <v>99</v>
      </c>
      <c r="K608" t="s">
        <v>78</v>
      </c>
      <c r="L608" t="s">
        <v>359</v>
      </c>
      <c r="M608" t="s">
        <v>360</v>
      </c>
      <c r="N608" t="s">
        <v>1644</v>
      </c>
      <c r="O608" t="s">
        <v>82</v>
      </c>
      <c r="P608" t="str">
        <f>"INV-00034108 031517           "</f>
        <v xml:space="preserve">INV-00034108 031517  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30.07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0.2</v>
      </c>
      <c r="BJ608">
        <v>2.1</v>
      </c>
      <c r="BK608">
        <v>2.5</v>
      </c>
      <c r="BL608">
        <v>90.81</v>
      </c>
      <c r="BM608">
        <v>13.62</v>
      </c>
      <c r="BN608">
        <v>104.43</v>
      </c>
      <c r="BO608">
        <v>104.43</v>
      </c>
      <c r="BQ608" t="s">
        <v>1645</v>
      </c>
      <c r="BR608" t="s">
        <v>101</v>
      </c>
      <c r="BS608" t="s">
        <v>83</v>
      </c>
      <c r="BY608">
        <v>10675.56</v>
      </c>
      <c r="CC608" t="s">
        <v>360</v>
      </c>
      <c r="CD608">
        <v>4320</v>
      </c>
      <c r="CE608" t="s">
        <v>149</v>
      </c>
      <c r="CI608">
        <v>2</v>
      </c>
      <c r="CJ608" t="s">
        <v>83</v>
      </c>
      <c r="CK608">
        <v>21</v>
      </c>
      <c r="CL608" t="s">
        <v>87</v>
      </c>
    </row>
    <row r="609" spans="1:90" x14ac:dyDescent="0.3">
      <c r="A609" t="s">
        <v>72</v>
      </c>
      <c r="B609" t="s">
        <v>73</v>
      </c>
      <c r="C609" t="s">
        <v>74</v>
      </c>
      <c r="E609" t="str">
        <f>"GAB2025227"</f>
        <v>GAB2025227</v>
      </c>
      <c r="F609" s="3">
        <v>45744</v>
      </c>
      <c r="G609">
        <v>202512</v>
      </c>
      <c r="H609" t="s">
        <v>97</v>
      </c>
      <c r="I609" t="s">
        <v>98</v>
      </c>
      <c r="J609" t="s">
        <v>99</v>
      </c>
      <c r="K609" t="s">
        <v>78</v>
      </c>
      <c r="L609" t="s">
        <v>519</v>
      </c>
      <c r="M609" t="s">
        <v>520</v>
      </c>
      <c r="N609" t="s">
        <v>951</v>
      </c>
      <c r="O609" t="s">
        <v>82</v>
      </c>
      <c r="P609" t="str">
        <f>"INV-00034114 031523           "</f>
        <v xml:space="preserve">INV-00034114 031523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24.06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0.3</v>
      </c>
      <c r="BJ609">
        <v>1.9</v>
      </c>
      <c r="BK609">
        <v>2</v>
      </c>
      <c r="BL609">
        <v>72.66</v>
      </c>
      <c r="BM609">
        <v>10.9</v>
      </c>
      <c r="BN609">
        <v>83.56</v>
      </c>
      <c r="BO609">
        <v>83.56</v>
      </c>
      <c r="BQ609" t="s">
        <v>766</v>
      </c>
      <c r="BR609" t="s">
        <v>101</v>
      </c>
      <c r="BS609" t="s">
        <v>83</v>
      </c>
      <c r="BY609">
        <v>9381.1200000000008</v>
      </c>
      <c r="CC609" t="s">
        <v>520</v>
      </c>
      <c r="CD609">
        <v>6001</v>
      </c>
      <c r="CE609" t="s">
        <v>129</v>
      </c>
      <c r="CI609">
        <v>2</v>
      </c>
      <c r="CJ609" t="s">
        <v>83</v>
      </c>
      <c r="CK609">
        <v>21</v>
      </c>
      <c r="CL609" t="s">
        <v>87</v>
      </c>
    </row>
    <row r="610" spans="1:90" x14ac:dyDescent="0.3">
      <c r="A610" t="s">
        <v>72</v>
      </c>
      <c r="B610" t="s">
        <v>73</v>
      </c>
      <c r="C610" t="s">
        <v>74</v>
      </c>
      <c r="E610" t="str">
        <f>"GAB2025228"</f>
        <v>GAB2025228</v>
      </c>
      <c r="F610" s="3">
        <v>45744</v>
      </c>
      <c r="G610">
        <v>202512</v>
      </c>
      <c r="H610" t="s">
        <v>97</v>
      </c>
      <c r="I610" t="s">
        <v>98</v>
      </c>
      <c r="J610" t="s">
        <v>99</v>
      </c>
      <c r="K610" t="s">
        <v>78</v>
      </c>
      <c r="L610" t="s">
        <v>75</v>
      </c>
      <c r="M610" t="s">
        <v>76</v>
      </c>
      <c r="N610" t="s">
        <v>1646</v>
      </c>
      <c r="O610" t="s">
        <v>82</v>
      </c>
      <c r="P610" t="str">
        <f>"INV-00034113 031521           "</f>
        <v xml:space="preserve">INV-00034113 031521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24.06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1</v>
      </c>
      <c r="BI610">
        <v>0.2</v>
      </c>
      <c r="BJ610">
        <v>1.7</v>
      </c>
      <c r="BK610">
        <v>2</v>
      </c>
      <c r="BL610">
        <v>72.66</v>
      </c>
      <c r="BM610">
        <v>10.9</v>
      </c>
      <c r="BN610">
        <v>83.56</v>
      </c>
      <c r="BO610">
        <v>83.56</v>
      </c>
      <c r="BQ610" t="s">
        <v>356</v>
      </c>
      <c r="BR610" t="s">
        <v>101</v>
      </c>
      <c r="BS610" t="s">
        <v>83</v>
      </c>
      <c r="BY610">
        <v>8429.35</v>
      </c>
      <c r="CC610" t="s">
        <v>76</v>
      </c>
      <c r="CD610">
        <v>4001</v>
      </c>
      <c r="CE610" t="s">
        <v>149</v>
      </c>
      <c r="CI610">
        <v>2</v>
      </c>
      <c r="CJ610" t="s">
        <v>83</v>
      </c>
      <c r="CK610">
        <v>21</v>
      </c>
      <c r="CL610" t="s">
        <v>87</v>
      </c>
    </row>
    <row r="611" spans="1:90" x14ac:dyDescent="0.3">
      <c r="A611" t="s">
        <v>72</v>
      </c>
      <c r="B611" t="s">
        <v>73</v>
      </c>
      <c r="C611" t="s">
        <v>74</v>
      </c>
      <c r="E611" t="str">
        <f>"GAB2025229"</f>
        <v>GAB2025229</v>
      </c>
      <c r="F611" s="3">
        <v>45744</v>
      </c>
      <c r="G611">
        <v>202512</v>
      </c>
      <c r="H611" t="s">
        <v>97</v>
      </c>
      <c r="I611" t="s">
        <v>98</v>
      </c>
      <c r="J611" t="s">
        <v>99</v>
      </c>
      <c r="K611" t="s">
        <v>78</v>
      </c>
      <c r="L611" t="s">
        <v>519</v>
      </c>
      <c r="M611" t="s">
        <v>520</v>
      </c>
      <c r="N611" t="s">
        <v>1347</v>
      </c>
      <c r="O611" t="s">
        <v>82</v>
      </c>
      <c r="P611" t="str">
        <f>"INV-00034112 031522           "</f>
        <v xml:space="preserve">INV-00034112 031522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24.06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1</v>
      </c>
      <c r="BI611">
        <v>0.2</v>
      </c>
      <c r="BJ611">
        <v>1.9</v>
      </c>
      <c r="BK611">
        <v>2</v>
      </c>
      <c r="BL611">
        <v>72.66</v>
      </c>
      <c r="BM611">
        <v>10.9</v>
      </c>
      <c r="BN611">
        <v>83.56</v>
      </c>
      <c r="BO611">
        <v>83.56</v>
      </c>
      <c r="BQ611" t="s">
        <v>640</v>
      </c>
      <c r="BR611" t="s">
        <v>101</v>
      </c>
      <c r="BS611" t="s">
        <v>83</v>
      </c>
      <c r="BY611">
        <v>9276.56</v>
      </c>
      <c r="CC611" t="s">
        <v>520</v>
      </c>
      <c r="CD611">
        <v>6001</v>
      </c>
      <c r="CE611" t="s">
        <v>149</v>
      </c>
      <c r="CI611">
        <v>2</v>
      </c>
      <c r="CJ611" t="s">
        <v>83</v>
      </c>
      <c r="CK611">
        <v>21</v>
      </c>
      <c r="CL611" t="s">
        <v>87</v>
      </c>
    </row>
    <row r="612" spans="1:90" x14ac:dyDescent="0.3">
      <c r="A612" t="s">
        <v>72</v>
      </c>
      <c r="B612" t="s">
        <v>73</v>
      </c>
      <c r="C612" t="s">
        <v>74</v>
      </c>
      <c r="E612" t="str">
        <f>"GAB2025231"</f>
        <v>GAB2025231</v>
      </c>
      <c r="F612" s="3">
        <v>45744</v>
      </c>
      <c r="G612">
        <v>202512</v>
      </c>
      <c r="H612" t="s">
        <v>97</v>
      </c>
      <c r="I612" t="s">
        <v>98</v>
      </c>
      <c r="J612" t="s">
        <v>99</v>
      </c>
      <c r="K612" t="s">
        <v>78</v>
      </c>
      <c r="L612" t="s">
        <v>1647</v>
      </c>
      <c r="M612" t="s">
        <v>1648</v>
      </c>
      <c r="N612" t="s">
        <v>1649</v>
      </c>
      <c r="O612" t="s">
        <v>82</v>
      </c>
      <c r="P612" t="str">
        <f>"INV-00034092 031126           "</f>
        <v xml:space="preserve">INV-00034092 031126  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46.61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1</v>
      </c>
      <c r="BI612">
        <v>0.2</v>
      </c>
      <c r="BJ612">
        <v>2</v>
      </c>
      <c r="BK612">
        <v>2</v>
      </c>
      <c r="BL612">
        <v>140.77000000000001</v>
      </c>
      <c r="BM612">
        <v>21.12</v>
      </c>
      <c r="BN612">
        <v>161.88999999999999</v>
      </c>
      <c r="BO612">
        <v>161.88999999999999</v>
      </c>
      <c r="BQ612" t="s">
        <v>1650</v>
      </c>
      <c r="BR612" t="s">
        <v>101</v>
      </c>
      <c r="BS612" t="s">
        <v>83</v>
      </c>
      <c r="BY612">
        <v>9987.6</v>
      </c>
      <c r="CC612" t="s">
        <v>1648</v>
      </c>
      <c r="CD612">
        <v>1438</v>
      </c>
      <c r="CE612" t="s">
        <v>149</v>
      </c>
      <c r="CI612">
        <v>1</v>
      </c>
      <c r="CJ612" t="s">
        <v>83</v>
      </c>
      <c r="CK612">
        <v>23</v>
      </c>
      <c r="CL612" t="s">
        <v>87</v>
      </c>
    </row>
    <row r="613" spans="1:90" x14ac:dyDescent="0.3">
      <c r="A613" t="s">
        <v>72</v>
      </c>
      <c r="B613" t="s">
        <v>73</v>
      </c>
      <c r="C613" t="s">
        <v>74</v>
      </c>
      <c r="E613" t="str">
        <f>"RRGAB2024944"</f>
        <v>RRGAB2024944</v>
      </c>
      <c r="F613" s="3">
        <v>45744</v>
      </c>
      <c r="G613">
        <v>202512</v>
      </c>
      <c r="H613" t="s">
        <v>299</v>
      </c>
      <c r="I613" t="s">
        <v>300</v>
      </c>
      <c r="J613" t="s">
        <v>1166</v>
      </c>
      <c r="K613" t="s">
        <v>78</v>
      </c>
      <c r="L613" t="s">
        <v>97</v>
      </c>
      <c r="M613" t="s">
        <v>98</v>
      </c>
      <c r="N613" t="s">
        <v>99</v>
      </c>
      <c r="O613" t="s">
        <v>100</v>
      </c>
      <c r="P613" t="str">
        <f>"INV-00116180 CT092864         "</f>
        <v xml:space="preserve">INV-00116180 CT092864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46.52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0.1</v>
      </c>
      <c r="BJ613">
        <v>2.1</v>
      </c>
      <c r="BK613">
        <v>3</v>
      </c>
      <c r="BL613">
        <v>146.07</v>
      </c>
      <c r="BM613">
        <v>21.91</v>
      </c>
      <c r="BN613">
        <v>167.98</v>
      </c>
      <c r="BO613">
        <v>167.98</v>
      </c>
      <c r="BQ613" t="s">
        <v>101</v>
      </c>
      <c r="BR613" t="s">
        <v>302</v>
      </c>
      <c r="BS613" t="s">
        <v>83</v>
      </c>
      <c r="BY613">
        <v>10267.6</v>
      </c>
      <c r="CC613" t="s">
        <v>98</v>
      </c>
      <c r="CD613">
        <v>8001</v>
      </c>
      <c r="CE613" t="s">
        <v>149</v>
      </c>
      <c r="CI613">
        <v>3</v>
      </c>
      <c r="CJ613" t="s">
        <v>83</v>
      </c>
      <c r="CK613">
        <v>41</v>
      </c>
      <c r="CL613" t="s">
        <v>87</v>
      </c>
    </row>
    <row r="614" spans="1:90" x14ac:dyDescent="0.3">
      <c r="A614" t="s">
        <v>72</v>
      </c>
      <c r="B614" t="s">
        <v>73</v>
      </c>
      <c r="C614" t="s">
        <v>74</v>
      </c>
      <c r="E614" t="str">
        <f>"009945075909"</f>
        <v>009945075909</v>
      </c>
      <c r="F614" s="3">
        <v>45744</v>
      </c>
      <c r="G614">
        <v>202512</v>
      </c>
      <c r="H614" t="s">
        <v>262</v>
      </c>
      <c r="I614" t="s">
        <v>263</v>
      </c>
      <c r="J614" t="s">
        <v>194</v>
      </c>
      <c r="K614" t="s">
        <v>78</v>
      </c>
      <c r="L614" t="s">
        <v>75</v>
      </c>
      <c r="M614" t="s">
        <v>76</v>
      </c>
      <c r="N614" t="s">
        <v>201</v>
      </c>
      <c r="O614" t="s">
        <v>100</v>
      </c>
      <c r="P614" t="str">
        <f>"NA                            "</f>
        <v xml:space="preserve">NA                   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46.52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2</v>
      </c>
      <c r="BI614">
        <v>12.8</v>
      </c>
      <c r="BJ614">
        <v>11.9</v>
      </c>
      <c r="BK614">
        <v>13</v>
      </c>
      <c r="BL614">
        <v>146.07</v>
      </c>
      <c r="BM614">
        <v>21.91</v>
      </c>
      <c r="BN614">
        <v>167.98</v>
      </c>
      <c r="BO614">
        <v>167.98</v>
      </c>
      <c r="BQ614" t="s">
        <v>550</v>
      </c>
      <c r="BR614" t="s">
        <v>252</v>
      </c>
      <c r="BS614" t="s">
        <v>83</v>
      </c>
      <c r="BY614">
        <v>29700</v>
      </c>
      <c r="BZ614" t="s">
        <v>260</v>
      </c>
      <c r="CC614" t="s">
        <v>76</v>
      </c>
      <c r="CD614">
        <v>4000</v>
      </c>
      <c r="CE614" t="s">
        <v>200</v>
      </c>
      <c r="CI614">
        <v>1</v>
      </c>
      <c r="CJ614" t="s">
        <v>83</v>
      </c>
      <c r="CK614">
        <v>41</v>
      </c>
      <c r="CL614" t="s">
        <v>87</v>
      </c>
    </row>
    <row r="615" spans="1:90" x14ac:dyDescent="0.3">
      <c r="A615" t="s">
        <v>72</v>
      </c>
      <c r="B615" t="s">
        <v>73</v>
      </c>
      <c r="C615" t="s">
        <v>74</v>
      </c>
      <c r="E615" t="str">
        <f>"GAB2025210"</f>
        <v>GAB2025210</v>
      </c>
      <c r="F615" s="3">
        <v>45744</v>
      </c>
      <c r="G615">
        <v>202512</v>
      </c>
      <c r="H615" t="s">
        <v>97</v>
      </c>
      <c r="I615" t="s">
        <v>98</v>
      </c>
      <c r="J615" t="s">
        <v>99</v>
      </c>
      <c r="K615" t="s">
        <v>78</v>
      </c>
      <c r="L615" t="s">
        <v>1429</v>
      </c>
      <c r="M615" t="s">
        <v>1430</v>
      </c>
      <c r="N615" t="s">
        <v>1431</v>
      </c>
      <c r="O615" t="s">
        <v>100</v>
      </c>
      <c r="P615" t="str">
        <f>"INV-00116517 CT093481         "</f>
        <v xml:space="preserve">INV-00116517 CT093481 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65.61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5.3</v>
      </c>
      <c r="BJ615">
        <v>13.5</v>
      </c>
      <c r="BK615">
        <v>14</v>
      </c>
      <c r="BL615">
        <v>203.73</v>
      </c>
      <c r="BM615">
        <v>30.56</v>
      </c>
      <c r="BN615">
        <v>234.29</v>
      </c>
      <c r="BO615">
        <v>234.29</v>
      </c>
      <c r="BR615" t="s">
        <v>101</v>
      </c>
      <c r="BS615" t="s">
        <v>83</v>
      </c>
      <c r="BY615">
        <v>67422.100000000006</v>
      </c>
      <c r="CC615" t="s">
        <v>1430</v>
      </c>
      <c r="CD615">
        <v>4800</v>
      </c>
      <c r="CE615" t="s">
        <v>111</v>
      </c>
      <c r="CI615">
        <v>7</v>
      </c>
      <c r="CJ615" t="s">
        <v>83</v>
      </c>
      <c r="CK615">
        <v>43</v>
      </c>
      <c r="CL615" t="s">
        <v>87</v>
      </c>
    </row>
    <row r="616" spans="1:90" x14ac:dyDescent="0.3">
      <c r="A616" t="s">
        <v>72</v>
      </c>
      <c r="B616" t="s">
        <v>73</v>
      </c>
      <c r="C616" t="s">
        <v>74</v>
      </c>
      <c r="E616" t="str">
        <f>"GAB2025213"</f>
        <v>GAB2025213</v>
      </c>
      <c r="F616" s="3">
        <v>45744</v>
      </c>
      <c r="G616">
        <v>202512</v>
      </c>
      <c r="H616" t="s">
        <v>97</v>
      </c>
      <c r="I616" t="s">
        <v>98</v>
      </c>
      <c r="J616" t="s">
        <v>99</v>
      </c>
      <c r="K616" t="s">
        <v>78</v>
      </c>
      <c r="L616" t="s">
        <v>130</v>
      </c>
      <c r="M616" t="s">
        <v>131</v>
      </c>
      <c r="N616" t="s">
        <v>1651</v>
      </c>
      <c r="O616" t="s">
        <v>100</v>
      </c>
      <c r="P616" t="str">
        <f>"INV-00116528 CT092538         "</f>
        <v xml:space="preserve">INV-00116528 CT092538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77.25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4</v>
      </c>
      <c r="BI616">
        <v>12.6</v>
      </c>
      <c r="BJ616">
        <v>30.9</v>
      </c>
      <c r="BK616">
        <v>31</v>
      </c>
      <c r="BL616">
        <v>238.88</v>
      </c>
      <c r="BM616">
        <v>35.83</v>
      </c>
      <c r="BN616">
        <v>274.70999999999998</v>
      </c>
      <c r="BO616">
        <v>274.70999999999998</v>
      </c>
      <c r="BQ616" t="s">
        <v>1298</v>
      </c>
      <c r="BR616" t="s">
        <v>101</v>
      </c>
      <c r="BS616" t="s">
        <v>83</v>
      </c>
      <c r="BY616">
        <v>154437.26999999999</v>
      </c>
      <c r="CC616" t="s">
        <v>131</v>
      </c>
      <c r="CD616" s="5" t="s">
        <v>136</v>
      </c>
      <c r="CE616" t="s">
        <v>584</v>
      </c>
      <c r="CI616">
        <v>3</v>
      </c>
      <c r="CJ616" t="s">
        <v>83</v>
      </c>
      <c r="CK616">
        <v>41</v>
      </c>
      <c r="CL616" t="s">
        <v>87</v>
      </c>
    </row>
    <row r="617" spans="1:90" x14ac:dyDescent="0.3">
      <c r="A617" t="s">
        <v>72</v>
      </c>
      <c r="B617" t="s">
        <v>73</v>
      </c>
      <c r="C617" t="s">
        <v>74</v>
      </c>
      <c r="E617" t="str">
        <f>"GAB2025214"</f>
        <v>GAB2025214</v>
      </c>
      <c r="F617" s="3">
        <v>45744</v>
      </c>
      <c r="G617">
        <v>202512</v>
      </c>
      <c r="H617" t="s">
        <v>97</v>
      </c>
      <c r="I617" t="s">
        <v>98</v>
      </c>
      <c r="J617" t="s">
        <v>99</v>
      </c>
      <c r="K617" t="s">
        <v>78</v>
      </c>
      <c r="L617" t="s">
        <v>830</v>
      </c>
      <c r="M617" t="s">
        <v>831</v>
      </c>
      <c r="N617" t="s">
        <v>1652</v>
      </c>
      <c r="O617" t="s">
        <v>100</v>
      </c>
      <c r="P617" t="str">
        <f>"INV-00116529 CT093020         "</f>
        <v xml:space="preserve">INV-00116529 CT093020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54.2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8.9</v>
      </c>
      <c r="BJ617">
        <v>18.100000000000001</v>
      </c>
      <c r="BK617">
        <v>19</v>
      </c>
      <c r="BL617">
        <v>169.27</v>
      </c>
      <c r="BM617">
        <v>25.39</v>
      </c>
      <c r="BN617">
        <v>194.66</v>
      </c>
      <c r="BO617">
        <v>194.66</v>
      </c>
      <c r="BQ617" t="s">
        <v>1653</v>
      </c>
      <c r="BR617" t="s">
        <v>101</v>
      </c>
      <c r="BS617" t="s">
        <v>83</v>
      </c>
      <c r="BY617">
        <v>90370.559999999998</v>
      </c>
      <c r="CC617" t="s">
        <v>831</v>
      </c>
      <c r="CD617">
        <v>1559</v>
      </c>
      <c r="CE617" t="s">
        <v>584</v>
      </c>
      <c r="CI617">
        <v>2</v>
      </c>
      <c r="CJ617" t="s">
        <v>83</v>
      </c>
      <c r="CK617">
        <v>41</v>
      </c>
      <c r="CL617" t="s">
        <v>87</v>
      </c>
    </row>
    <row r="618" spans="1:90" x14ac:dyDescent="0.3">
      <c r="A618" t="s">
        <v>72</v>
      </c>
      <c r="B618" t="s">
        <v>73</v>
      </c>
      <c r="C618" t="s">
        <v>74</v>
      </c>
      <c r="E618" t="str">
        <f>"GAB2025215"</f>
        <v>GAB2025215</v>
      </c>
      <c r="F618" s="3">
        <v>45744</v>
      </c>
      <c r="G618">
        <v>202512</v>
      </c>
      <c r="H618" t="s">
        <v>97</v>
      </c>
      <c r="I618" t="s">
        <v>98</v>
      </c>
      <c r="J618" t="s">
        <v>99</v>
      </c>
      <c r="K618" t="s">
        <v>78</v>
      </c>
      <c r="L618" t="s">
        <v>97</v>
      </c>
      <c r="M618" t="s">
        <v>98</v>
      </c>
      <c r="N618" t="s">
        <v>1654</v>
      </c>
      <c r="O618" t="s">
        <v>100</v>
      </c>
      <c r="P618" t="str">
        <f>"INV-00116530 CT092987         "</f>
        <v xml:space="preserve">INV-00116530 CT092987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35.9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1</v>
      </c>
      <c r="BI618">
        <v>1.9</v>
      </c>
      <c r="BJ618">
        <v>7.6</v>
      </c>
      <c r="BK618">
        <v>8</v>
      </c>
      <c r="BL618">
        <v>113.99</v>
      </c>
      <c r="BM618">
        <v>17.100000000000001</v>
      </c>
      <c r="BN618">
        <v>131.09</v>
      </c>
      <c r="BO618">
        <v>131.09</v>
      </c>
      <c r="BR618" t="s">
        <v>101</v>
      </c>
      <c r="BS618" t="s">
        <v>83</v>
      </c>
      <c r="BY618">
        <v>37967.279999999999</v>
      </c>
      <c r="CC618" t="s">
        <v>98</v>
      </c>
      <c r="CD618">
        <v>7560</v>
      </c>
      <c r="CE618" t="s">
        <v>584</v>
      </c>
      <c r="CI618">
        <v>1</v>
      </c>
      <c r="CJ618" t="s">
        <v>83</v>
      </c>
      <c r="CK618">
        <v>42</v>
      </c>
      <c r="CL618" t="s">
        <v>87</v>
      </c>
    </row>
    <row r="619" spans="1:90" x14ac:dyDescent="0.3">
      <c r="A619" t="s">
        <v>72</v>
      </c>
      <c r="B619" t="s">
        <v>73</v>
      </c>
      <c r="C619" t="s">
        <v>74</v>
      </c>
      <c r="E619" t="str">
        <f>"GAB2025216"</f>
        <v>GAB2025216</v>
      </c>
      <c r="F619" s="3">
        <v>45744</v>
      </c>
      <c r="G619">
        <v>202512</v>
      </c>
      <c r="H619" t="s">
        <v>97</v>
      </c>
      <c r="I619" t="s">
        <v>98</v>
      </c>
      <c r="J619" t="s">
        <v>99</v>
      </c>
      <c r="K619" t="s">
        <v>78</v>
      </c>
      <c r="L619" t="s">
        <v>262</v>
      </c>
      <c r="M619" t="s">
        <v>263</v>
      </c>
      <c r="N619" t="s">
        <v>1655</v>
      </c>
      <c r="O619" t="s">
        <v>100</v>
      </c>
      <c r="P619" t="str">
        <f>"INV-00116531 CT092888         "</f>
        <v xml:space="preserve">INV-00116531 CT092888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52.28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1</v>
      </c>
      <c r="BI619">
        <v>9.1</v>
      </c>
      <c r="BJ619">
        <v>17.7</v>
      </c>
      <c r="BK619">
        <v>18</v>
      </c>
      <c r="BL619">
        <v>163.47</v>
      </c>
      <c r="BM619">
        <v>24.52</v>
      </c>
      <c r="BN619">
        <v>187.99</v>
      </c>
      <c r="BO619">
        <v>187.99</v>
      </c>
      <c r="BQ619" t="s">
        <v>1656</v>
      </c>
      <c r="BR619" t="s">
        <v>101</v>
      </c>
      <c r="BS619" t="s">
        <v>83</v>
      </c>
      <c r="BY619">
        <v>88577.600000000006</v>
      </c>
      <c r="CC619" t="s">
        <v>263</v>
      </c>
      <c r="CD619" s="5" t="s">
        <v>444</v>
      </c>
      <c r="CE619" t="s">
        <v>584</v>
      </c>
      <c r="CI619">
        <v>3</v>
      </c>
      <c r="CJ619" t="s">
        <v>83</v>
      </c>
      <c r="CK619">
        <v>41</v>
      </c>
      <c r="CL619" t="s">
        <v>87</v>
      </c>
    </row>
    <row r="620" spans="1:90" x14ac:dyDescent="0.3">
      <c r="A620" t="s">
        <v>72</v>
      </c>
      <c r="B620" t="s">
        <v>73</v>
      </c>
      <c r="C620" t="s">
        <v>74</v>
      </c>
      <c r="E620" t="str">
        <f>"GAB2025217"</f>
        <v>GAB2025217</v>
      </c>
      <c r="F620" s="3">
        <v>45744</v>
      </c>
      <c r="G620">
        <v>202512</v>
      </c>
      <c r="H620" t="s">
        <v>97</v>
      </c>
      <c r="I620" t="s">
        <v>98</v>
      </c>
      <c r="J620" t="s">
        <v>99</v>
      </c>
      <c r="K620" t="s">
        <v>78</v>
      </c>
      <c r="L620" t="s">
        <v>931</v>
      </c>
      <c r="M620" t="s">
        <v>932</v>
      </c>
      <c r="N620" t="s">
        <v>1421</v>
      </c>
      <c r="O620" t="s">
        <v>100</v>
      </c>
      <c r="P620" t="str">
        <f>"INV-00116536 CT091607         "</f>
        <v xml:space="preserve">INV-00116536 CT091607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65.61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1</v>
      </c>
      <c r="BI620">
        <v>1.5</v>
      </c>
      <c r="BJ620">
        <v>6</v>
      </c>
      <c r="BK620">
        <v>6</v>
      </c>
      <c r="BL620">
        <v>203.73</v>
      </c>
      <c r="BM620">
        <v>30.56</v>
      </c>
      <c r="BN620">
        <v>234.29</v>
      </c>
      <c r="BO620">
        <v>234.29</v>
      </c>
      <c r="BR620" t="s">
        <v>101</v>
      </c>
      <c r="BS620" t="s">
        <v>83</v>
      </c>
      <c r="BY620">
        <v>29771.91</v>
      </c>
      <c r="CC620" t="s">
        <v>932</v>
      </c>
      <c r="CD620">
        <v>5100</v>
      </c>
      <c r="CE620" t="s">
        <v>111</v>
      </c>
      <c r="CI620">
        <v>4</v>
      </c>
      <c r="CJ620" t="s">
        <v>83</v>
      </c>
      <c r="CK620">
        <v>43</v>
      </c>
      <c r="CL620" t="s">
        <v>87</v>
      </c>
    </row>
    <row r="621" spans="1:90" x14ac:dyDescent="0.3">
      <c r="A621" t="s">
        <v>72</v>
      </c>
      <c r="B621" t="s">
        <v>73</v>
      </c>
      <c r="C621" t="s">
        <v>74</v>
      </c>
      <c r="E621" t="str">
        <f>"GAB2025218"</f>
        <v>GAB2025218</v>
      </c>
      <c r="F621" s="3">
        <v>45744</v>
      </c>
      <c r="G621">
        <v>202512</v>
      </c>
      <c r="H621" t="s">
        <v>97</v>
      </c>
      <c r="I621" t="s">
        <v>98</v>
      </c>
      <c r="J621" t="s">
        <v>99</v>
      </c>
      <c r="K621" t="s">
        <v>78</v>
      </c>
      <c r="L621" t="s">
        <v>381</v>
      </c>
      <c r="M621" t="s">
        <v>381</v>
      </c>
      <c r="N621" t="s">
        <v>528</v>
      </c>
      <c r="O621" t="s">
        <v>100</v>
      </c>
      <c r="P621" t="str">
        <f>"INV-00116535 CT093429         "</f>
        <v xml:space="preserve">INV-00116535 CT093429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51.38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1</v>
      </c>
      <c r="BI621">
        <v>0.3</v>
      </c>
      <c r="BJ621">
        <v>2.8</v>
      </c>
      <c r="BK621">
        <v>3</v>
      </c>
      <c r="BL621">
        <v>160.74</v>
      </c>
      <c r="BM621">
        <v>24.11</v>
      </c>
      <c r="BN621">
        <v>184.85</v>
      </c>
      <c r="BO621">
        <v>184.85</v>
      </c>
      <c r="BQ621" t="s">
        <v>529</v>
      </c>
      <c r="BR621" t="s">
        <v>101</v>
      </c>
      <c r="BS621" t="s">
        <v>83</v>
      </c>
      <c r="BY621">
        <v>13900.9</v>
      </c>
      <c r="CC621" t="s">
        <v>381</v>
      </c>
      <c r="CD621">
        <v>7646</v>
      </c>
      <c r="CE621" t="s">
        <v>911</v>
      </c>
      <c r="CI621">
        <v>0</v>
      </c>
      <c r="CJ621">
        <v>0</v>
      </c>
      <c r="CK621">
        <v>44</v>
      </c>
      <c r="CL621" t="s">
        <v>87</v>
      </c>
    </row>
    <row r="622" spans="1:90" x14ac:dyDescent="0.3">
      <c r="A622" t="s">
        <v>72</v>
      </c>
      <c r="B622" t="s">
        <v>73</v>
      </c>
      <c r="C622" t="s">
        <v>74</v>
      </c>
      <c r="E622" t="str">
        <f>"GAB2025220"</f>
        <v>GAB2025220</v>
      </c>
      <c r="F622" s="3">
        <v>45744</v>
      </c>
      <c r="G622">
        <v>202512</v>
      </c>
      <c r="H622" t="s">
        <v>97</v>
      </c>
      <c r="I622" t="s">
        <v>98</v>
      </c>
      <c r="J622" t="s">
        <v>99</v>
      </c>
      <c r="K622" t="s">
        <v>78</v>
      </c>
      <c r="L622" t="s">
        <v>79</v>
      </c>
      <c r="M622" t="s">
        <v>80</v>
      </c>
      <c r="N622" t="s">
        <v>604</v>
      </c>
      <c r="O622" t="s">
        <v>100</v>
      </c>
      <c r="P622" t="str">
        <f>"INV-00116537 CT093497         "</f>
        <v xml:space="preserve">INV-00116537 CT093497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77.25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2</v>
      </c>
      <c r="BI622">
        <v>11.8</v>
      </c>
      <c r="BJ622">
        <v>30.7</v>
      </c>
      <c r="BK622">
        <v>31</v>
      </c>
      <c r="BL622">
        <v>238.88</v>
      </c>
      <c r="BM622">
        <v>35.83</v>
      </c>
      <c r="BN622">
        <v>274.70999999999998</v>
      </c>
      <c r="BO622">
        <v>274.70999999999998</v>
      </c>
      <c r="BQ622" t="s">
        <v>459</v>
      </c>
      <c r="BR622" t="s">
        <v>101</v>
      </c>
      <c r="BS622" t="s">
        <v>83</v>
      </c>
      <c r="BY622">
        <v>153358.31</v>
      </c>
      <c r="CC622" t="s">
        <v>80</v>
      </c>
      <c r="CD622" s="5" t="s">
        <v>92</v>
      </c>
      <c r="CE622" t="s">
        <v>111</v>
      </c>
      <c r="CI622">
        <v>3</v>
      </c>
      <c r="CJ622" t="s">
        <v>83</v>
      </c>
      <c r="CK622">
        <v>41</v>
      </c>
      <c r="CL622" t="s">
        <v>87</v>
      </c>
    </row>
    <row r="623" spans="1:90" x14ac:dyDescent="0.3">
      <c r="A623" t="s">
        <v>72</v>
      </c>
      <c r="B623" t="s">
        <v>73</v>
      </c>
      <c r="C623" t="s">
        <v>74</v>
      </c>
      <c r="E623" t="str">
        <f>"GAB2025222"</f>
        <v>GAB2025222</v>
      </c>
      <c r="F623" s="3">
        <v>45744</v>
      </c>
      <c r="G623">
        <v>202512</v>
      </c>
      <c r="H623" t="s">
        <v>97</v>
      </c>
      <c r="I623" t="s">
        <v>98</v>
      </c>
      <c r="J623" t="s">
        <v>99</v>
      </c>
      <c r="K623" t="s">
        <v>78</v>
      </c>
      <c r="L623" t="s">
        <v>182</v>
      </c>
      <c r="M623" t="s">
        <v>183</v>
      </c>
      <c r="N623" t="s">
        <v>184</v>
      </c>
      <c r="O623" t="s">
        <v>100</v>
      </c>
      <c r="P623" t="str">
        <f>"INV-00116550 00116515 CT093501"</f>
        <v>INV-00116550 00116515 CT093501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46.52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1</v>
      </c>
      <c r="BI623">
        <v>1</v>
      </c>
      <c r="BJ623">
        <v>2.4</v>
      </c>
      <c r="BK623">
        <v>3</v>
      </c>
      <c r="BL623">
        <v>146.07</v>
      </c>
      <c r="BM623">
        <v>21.91</v>
      </c>
      <c r="BN623">
        <v>167.98</v>
      </c>
      <c r="BO623">
        <v>167.98</v>
      </c>
      <c r="BQ623" t="s">
        <v>185</v>
      </c>
      <c r="BR623" t="s">
        <v>101</v>
      </c>
      <c r="BS623" t="s">
        <v>83</v>
      </c>
      <c r="BY623">
        <v>12055.68</v>
      </c>
      <c r="CC623" t="s">
        <v>183</v>
      </c>
      <c r="CD623">
        <v>3610</v>
      </c>
      <c r="CE623" t="s">
        <v>111</v>
      </c>
      <c r="CI623">
        <v>3</v>
      </c>
      <c r="CJ623" t="s">
        <v>83</v>
      </c>
      <c r="CK623">
        <v>41</v>
      </c>
      <c r="CL623" t="s">
        <v>87</v>
      </c>
    </row>
    <row r="624" spans="1:90" x14ac:dyDescent="0.3">
      <c r="A624" t="s">
        <v>72</v>
      </c>
      <c r="B624" t="s">
        <v>73</v>
      </c>
      <c r="C624" t="s">
        <v>74</v>
      </c>
      <c r="E624" t="str">
        <f>"GAB2025223"</f>
        <v>GAB2025223</v>
      </c>
      <c r="F624" s="3">
        <v>45744</v>
      </c>
      <c r="G624">
        <v>202512</v>
      </c>
      <c r="H624" t="s">
        <v>97</v>
      </c>
      <c r="I624" t="s">
        <v>98</v>
      </c>
      <c r="J624" t="s">
        <v>99</v>
      </c>
      <c r="K624" t="s">
        <v>78</v>
      </c>
      <c r="L624" t="s">
        <v>262</v>
      </c>
      <c r="M624" t="s">
        <v>263</v>
      </c>
      <c r="N624" t="s">
        <v>270</v>
      </c>
      <c r="O624" t="s">
        <v>100</v>
      </c>
      <c r="P624" t="str">
        <f>"INV-00034106 031502           "</f>
        <v xml:space="preserve">INV-00034106 031502  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46.52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1</v>
      </c>
      <c r="BI624">
        <v>3.8</v>
      </c>
      <c r="BJ624">
        <v>12.4</v>
      </c>
      <c r="BK624">
        <v>13</v>
      </c>
      <c r="BL624">
        <v>146.07</v>
      </c>
      <c r="BM624">
        <v>21.91</v>
      </c>
      <c r="BN624">
        <v>167.98</v>
      </c>
      <c r="BO624">
        <v>167.98</v>
      </c>
      <c r="BQ624" t="s">
        <v>271</v>
      </c>
      <c r="BR624" t="s">
        <v>101</v>
      </c>
      <c r="BS624" t="s">
        <v>83</v>
      </c>
      <c r="BY624">
        <v>62092.800000000003</v>
      </c>
      <c r="CC624" t="s">
        <v>263</v>
      </c>
      <c r="CD624" s="5" t="s">
        <v>274</v>
      </c>
      <c r="CE624" t="s">
        <v>111</v>
      </c>
      <c r="CI624">
        <v>3</v>
      </c>
      <c r="CJ624" t="s">
        <v>83</v>
      </c>
      <c r="CK624">
        <v>41</v>
      </c>
      <c r="CL624" t="s">
        <v>87</v>
      </c>
    </row>
    <row r="625" spans="1:90" x14ac:dyDescent="0.3">
      <c r="A625" t="s">
        <v>72</v>
      </c>
      <c r="B625" t="s">
        <v>73</v>
      </c>
      <c r="C625" t="s">
        <v>74</v>
      </c>
      <c r="E625" t="str">
        <f>"GAB2025226"</f>
        <v>GAB2025226</v>
      </c>
      <c r="F625" s="3">
        <v>45744</v>
      </c>
      <c r="G625">
        <v>202512</v>
      </c>
      <c r="H625" t="s">
        <v>97</v>
      </c>
      <c r="I625" t="s">
        <v>98</v>
      </c>
      <c r="J625" t="s">
        <v>99</v>
      </c>
      <c r="K625" t="s">
        <v>78</v>
      </c>
      <c r="L625" t="s">
        <v>262</v>
      </c>
      <c r="M625" t="s">
        <v>263</v>
      </c>
      <c r="N625" t="s">
        <v>1657</v>
      </c>
      <c r="O625" t="s">
        <v>100</v>
      </c>
      <c r="P625" t="str">
        <f>"INV-00034109 031353           "</f>
        <v xml:space="preserve">INV-00034109 031353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46.52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1</v>
      </c>
      <c r="BI625">
        <v>3.9</v>
      </c>
      <c r="BJ625">
        <v>6.2</v>
      </c>
      <c r="BK625">
        <v>7</v>
      </c>
      <c r="BL625">
        <v>146.07</v>
      </c>
      <c r="BM625">
        <v>21.91</v>
      </c>
      <c r="BN625">
        <v>167.98</v>
      </c>
      <c r="BO625">
        <v>167.98</v>
      </c>
      <c r="BR625" t="s">
        <v>101</v>
      </c>
      <c r="BS625" t="s">
        <v>83</v>
      </c>
      <c r="BY625">
        <v>30888</v>
      </c>
      <c r="CC625" t="s">
        <v>263</v>
      </c>
      <c r="CD625" s="5" t="s">
        <v>1409</v>
      </c>
      <c r="CE625" t="s">
        <v>111</v>
      </c>
      <c r="CI625">
        <v>3</v>
      </c>
      <c r="CJ625" t="s">
        <v>83</v>
      </c>
      <c r="CK625">
        <v>41</v>
      </c>
      <c r="CL62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sdrascd7-IENOMKE130945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2025-03-31T08:07:49Z</dcterms:created>
  <dcterms:modified xsi:type="dcterms:W3CDTF">2025-03-31T08:08:10Z</dcterms:modified>
</cp:coreProperties>
</file>